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drawings/drawing2.xml" ContentType="application/vnd.openxmlformats-officedocument.drawing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drawings/drawing3.xml" ContentType="application/vnd.openxmlformats-officedocument.drawing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drawings/drawing4.xml" ContentType="application/vnd.openxmlformats-officedocument.drawing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tables/table1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75db559d98e73a0/Masaüstü/EMEA Cockpit/CFO Dashboard/"/>
    </mc:Choice>
  </mc:AlternateContent>
  <xr:revisionPtr revIDLastSave="23" documentId="8_{FB77BC63-AEA4-401D-8937-7BC8FF77CAA3}" xr6:coauthVersionLast="47" xr6:coauthVersionMax="47" xr10:uidLastSave="{1BEB34A1-CABC-4760-9CB1-DFE629A695A5}"/>
  <bookViews>
    <workbookView xWindow="-120" yWindow="16080" windowWidth="29040" windowHeight="15720" xr2:uid="{00000000-000D-0000-FFFF-FFFF00000000}"/>
  </bookViews>
  <sheets>
    <sheet name="Summary" sheetId="1" r:id="rId1"/>
    <sheet name="P&amp;L" sheetId="2" r:id="rId2"/>
    <sheet name="Channel" sheetId="3" r:id="rId3"/>
    <sheet name="Brand" sheetId="4" r:id="rId4"/>
    <sheet name="Data" sheetId="5" r:id="rId5"/>
    <sheet name="Calc" sheetId="6" r:id="rId6"/>
    <sheet name="Guide" sheetId="7" r:id="rId7"/>
  </sheets>
  <definedNames>
    <definedName name="AcLbl">Calc!$C$11</definedName>
    <definedName name="ChecksOK">Calc!$E$645</definedName>
    <definedName name="Company">Guide!$D$6</definedName>
    <definedName name="Cur">Guide!$D$7</definedName>
    <definedName name="FATarget">Guide!$D$10</definedName>
    <definedName name="focusBrand">Brand!$W$5</definedName>
    <definedName name="focusChannel">Channel!$W$5</definedName>
    <definedName name="LastAct">Calc!$C$13</definedName>
    <definedName name="lstBrand">Guide!$I$6:$I$11</definedName>
    <definedName name="lstChannel">Guide!$G$6:$G$11</definedName>
    <definedName name="mFrom">Calc!$C$7</definedName>
    <definedName name="mSel">Calc!$C$6</definedName>
    <definedName name="mTo">Calc!$C$8</definedName>
    <definedName name="PerLbl">Calc!$C$12</definedName>
    <definedName name="_xlnm.Print_Area" localSheetId="3">Brand!$A$1:$Z$101</definedName>
    <definedName name="_xlnm.Print_Area" localSheetId="2">Channel!$A$1:$Z$101</definedName>
    <definedName name="_xlnm.Print_Area" localSheetId="1">'P&amp;L'!$A$1:$W$74</definedName>
    <definedName name="_xlnm.Print_Area" localSheetId="0">Summary!$A$1:$Z$143</definedName>
    <definedName name="_xlnm.Print_Titles" localSheetId="4">Data!$7:$7</definedName>
    <definedName name="ScaleLbl">Guide!$D$8</definedName>
    <definedName name="selFY">Summary!$S$3</definedName>
    <definedName name="selMonth">Summary!$U$3</definedName>
    <definedName name="selView">Summary!$W$3</definedName>
    <definedName name="Tol">Guide!$D$9</definedName>
    <definedName name="Unit">Calc!$C$9</definedName>
    <definedName name="UnitLbl">Calc!$C$10</definedName>
    <definedName name="WinM">Calc!$C$14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644" i="6" l="1"/>
  <c r="C643" i="6"/>
  <c r="B643" i="6"/>
  <c r="C642" i="6"/>
  <c r="B642" i="6"/>
  <c r="A607" i="6"/>
  <c r="A606" i="6"/>
  <c r="A605" i="6"/>
  <c r="A604" i="6"/>
  <c r="A603" i="6"/>
  <c r="A602" i="6"/>
  <c r="A589" i="6"/>
  <c r="A588" i="6"/>
  <c r="A587" i="6"/>
  <c r="A586" i="6"/>
  <c r="A585" i="6"/>
  <c r="A584" i="6"/>
  <c r="B566" i="6"/>
  <c r="B565" i="6"/>
  <c r="B564" i="6"/>
  <c r="B555" i="6"/>
  <c r="B554" i="6"/>
  <c r="B553" i="6"/>
  <c r="B546" i="6"/>
  <c r="B545" i="6"/>
  <c r="B544" i="6"/>
  <c r="B543" i="6"/>
  <c r="B536" i="6"/>
  <c r="C528" i="6"/>
  <c r="C527" i="6"/>
  <c r="C526" i="6"/>
  <c r="A526" i="6"/>
  <c r="M522" i="6"/>
  <c r="L522" i="6"/>
  <c r="I522" i="6"/>
  <c r="H522" i="6"/>
  <c r="D522" i="6"/>
  <c r="K521" i="6"/>
  <c r="G521" i="6"/>
  <c r="K520" i="6"/>
  <c r="G520" i="6"/>
  <c r="K519" i="6"/>
  <c r="G519" i="6"/>
  <c r="K518" i="6"/>
  <c r="G518" i="6"/>
  <c r="K517" i="6"/>
  <c r="G517" i="6"/>
  <c r="P516" i="6"/>
  <c r="M516" i="6"/>
  <c r="L516" i="6"/>
  <c r="I516" i="6"/>
  <c r="H516" i="6"/>
  <c r="D516" i="6"/>
  <c r="M512" i="6"/>
  <c r="L512" i="6"/>
  <c r="I512" i="6"/>
  <c r="H512" i="6"/>
  <c r="D512" i="6"/>
  <c r="K511" i="6"/>
  <c r="G511" i="6"/>
  <c r="K510" i="6"/>
  <c r="G510" i="6"/>
  <c r="K509" i="6"/>
  <c r="G509" i="6"/>
  <c r="K508" i="6"/>
  <c r="G508" i="6"/>
  <c r="K507" i="6"/>
  <c r="G507" i="6"/>
  <c r="P506" i="6"/>
  <c r="M506" i="6"/>
  <c r="L506" i="6"/>
  <c r="I506" i="6"/>
  <c r="H506" i="6"/>
  <c r="D506" i="6"/>
  <c r="M502" i="6"/>
  <c r="L502" i="6"/>
  <c r="I502" i="6"/>
  <c r="H502" i="6"/>
  <c r="D502" i="6"/>
  <c r="K501" i="6"/>
  <c r="G501" i="6"/>
  <c r="K500" i="6"/>
  <c r="G500" i="6"/>
  <c r="K499" i="6"/>
  <c r="G499" i="6"/>
  <c r="K498" i="6"/>
  <c r="G498" i="6"/>
  <c r="K497" i="6"/>
  <c r="G497" i="6"/>
  <c r="K496" i="6"/>
  <c r="G496" i="6"/>
  <c r="M495" i="6"/>
  <c r="L495" i="6"/>
  <c r="I495" i="6"/>
  <c r="H495" i="6"/>
  <c r="D495" i="6"/>
  <c r="M491" i="6"/>
  <c r="L491" i="6"/>
  <c r="I491" i="6"/>
  <c r="H491" i="6"/>
  <c r="D491" i="6"/>
  <c r="K490" i="6"/>
  <c r="G490" i="6"/>
  <c r="K489" i="6"/>
  <c r="G489" i="6"/>
  <c r="K488" i="6"/>
  <c r="G488" i="6"/>
  <c r="K487" i="6"/>
  <c r="G487" i="6"/>
  <c r="M486" i="6"/>
  <c r="L486" i="6"/>
  <c r="I486" i="6"/>
  <c r="H486" i="6"/>
  <c r="D486" i="6"/>
  <c r="B482" i="6"/>
  <c r="A482" i="6"/>
  <c r="B481" i="6"/>
  <c r="A481" i="6"/>
  <c r="B480" i="6"/>
  <c r="A480" i="6"/>
  <c r="B479" i="6"/>
  <c r="A479" i="6"/>
  <c r="B478" i="6"/>
  <c r="A478" i="6"/>
  <c r="B477" i="6"/>
  <c r="A477" i="6"/>
  <c r="B476" i="6"/>
  <c r="A476" i="6"/>
  <c r="B475" i="6"/>
  <c r="A475" i="6"/>
  <c r="B474" i="6"/>
  <c r="A474" i="6"/>
  <c r="B473" i="6"/>
  <c r="A473" i="6"/>
  <c r="B472" i="6"/>
  <c r="A472" i="6"/>
  <c r="B471" i="6"/>
  <c r="A471" i="6"/>
  <c r="B470" i="6"/>
  <c r="A470" i="6"/>
  <c r="B469" i="6"/>
  <c r="A469" i="6"/>
  <c r="B468" i="6"/>
  <c r="A468" i="6"/>
  <c r="B467" i="6"/>
  <c r="A467" i="6"/>
  <c r="B466" i="6"/>
  <c r="A466" i="6"/>
  <c r="B465" i="6"/>
  <c r="A465" i="6"/>
  <c r="B464" i="6"/>
  <c r="A464" i="6"/>
  <c r="B463" i="6"/>
  <c r="A463" i="6"/>
  <c r="B462" i="6"/>
  <c r="A462" i="6"/>
  <c r="B461" i="6"/>
  <c r="A461" i="6"/>
  <c r="B460" i="6"/>
  <c r="A460" i="6"/>
  <c r="B459" i="6"/>
  <c r="A459" i="6"/>
  <c r="B458" i="6"/>
  <c r="A458" i="6"/>
  <c r="B457" i="6"/>
  <c r="A457" i="6"/>
  <c r="B456" i="6"/>
  <c r="A456" i="6"/>
  <c r="B455" i="6"/>
  <c r="A455" i="6"/>
  <c r="B454" i="6"/>
  <c r="A454" i="6"/>
  <c r="B453" i="6"/>
  <c r="A453" i="6"/>
  <c r="B452" i="6"/>
  <c r="A452" i="6"/>
  <c r="B451" i="6"/>
  <c r="A451" i="6"/>
  <c r="B450" i="6"/>
  <c r="A450" i="6"/>
  <c r="B449" i="6"/>
  <c r="A449" i="6"/>
  <c r="B448" i="6"/>
  <c r="A448" i="6"/>
  <c r="B447" i="6"/>
  <c r="A447" i="6"/>
  <c r="B408" i="6"/>
  <c r="B407" i="6"/>
  <c r="B406" i="6"/>
  <c r="B405" i="6"/>
  <c r="B404" i="6"/>
  <c r="B403" i="6"/>
  <c r="B401" i="6"/>
  <c r="B400" i="6"/>
  <c r="B399" i="6"/>
  <c r="B398" i="6"/>
  <c r="B397" i="6"/>
  <c r="B396" i="6"/>
  <c r="B394" i="6"/>
  <c r="B393" i="6"/>
  <c r="B392" i="6"/>
  <c r="B391" i="6"/>
  <c r="B390" i="6"/>
  <c r="B389" i="6"/>
  <c r="B387" i="6"/>
  <c r="B386" i="6"/>
  <c r="B385" i="6"/>
  <c r="B384" i="6"/>
  <c r="B383" i="6"/>
  <c r="B382" i="6"/>
  <c r="B372" i="6"/>
  <c r="B371" i="6"/>
  <c r="B370" i="6"/>
  <c r="B369" i="6"/>
  <c r="B368" i="6"/>
  <c r="B367" i="6"/>
  <c r="B365" i="6"/>
  <c r="B364" i="6"/>
  <c r="B363" i="6"/>
  <c r="B362" i="6"/>
  <c r="B361" i="6"/>
  <c r="B360" i="6"/>
  <c r="B358" i="6"/>
  <c r="B357" i="6"/>
  <c r="B356" i="6"/>
  <c r="B355" i="6"/>
  <c r="B354" i="6"/>
  <c r="B353" i="6"/>
  <c r="B351" i="6"/>
  <c r="B350" i="6"/>
  <c r="B349" i="6"/>
  <c r="B348" i="6"/>
  <c r="B347" i="6"/>
  <c r="B346" i="6"/>
  <c r="H342" i="6"/>
  <c r="G342" i="6"/>
  <c r="F342" i="6"/>
  <c r="H341" i="6"/>
  <c r="G341" i="6"/>
  <c r="F341" i="6"/>
  <c r="O117" i="6"/>
  <c r="N117" i="6"/>
  <c r="M117" i="6"/>
  <c r="L117" i="6"/>
  <c r="K117" i="6"/>
  <c r="J117" i="6"/>
  <c r="I117" i="6"/>
  <c r="H117" i="6"/>
  <c r="G117" i="6"/>
  <c r="F117" i="6"/>
  <c r="E117" i="6"/>
  <c r="D117" i="6"/>
  <c r="O93" i="6"/>
  <c r="N93" i="6"/>
  <c r="M93" i="6"/>
  <c r="L93" i="6"/>
  <c r="K93" i="6"/>
  <c r="J93" i="6"/>
  <c r="I93" i="6"/>
  <c r="H93" i="6"/>
  <c r="G93" i="6"/>
  <c r="F93" i="6"/>
  <c r="E93" i="6"/>
  <c r="D93" i="6"/>
  <c r="O92" i="6"/>
  <c r="N92" i="6"/>
  <c r="M92" i="6"/>
  <c r="L92" i="6"/>
  <c r="K92" i="6"/>
  <c r="J92" i="6"/>
  <c r="I92" i="6"/>
  <c r="H92" i="6"/>
  <c r="G92" i="6"/>
  <c r="F92" i="6"/>
  <c r="E92" i="6"/>
  <c r="D92" i="6"/>
  <c r="O68" i="6"/>
  <c r="N68" i="6"/>
  <c r="M68" i="6"/>
  <c r="L68" i="6"/>
  <c r="K68" i="6"/>
  <c r="J68" i="6"/>
  <c r="I68" i="6"/>
  <c r="H68" i="6"/>
  <c r="G68" i="6"/>
  <c r="F68" i="6"/>
  <c r="E68" i="6"/>
  <c r="D68" i="6"/>
  <c r="O67" i="6"/>
  <c r="N67" i="6"/>
  <c r="M67" i="6"/>
  <c r="L67" i="6"/>
  <c r="K67" i="6"/>
  <c r="J67" i="6"/>
  <c r="I67" i="6"/>
  <c r="H67" i="6"/>
  <c r="G67" i="6"/>
  <c r="F67" i="6"/>
  <c r="E67" i="6"/>
  <c r="D67" i="6"/>
  <c r="O43" i="6"/>
  <c r="N43" i="6"/>
  <c r="M43" i="6"/>
  <c r="L43" i="6"/>
  <c r="K43" i="6"/>
  <c r="J43" i="6"/>
  <c r="I43" i="6"/>
  <c r="H43" i="6"/>
  <c r="G43" i="6"/>
  <c r="F43" i="6"/>
  <c r="E43" i="6"/>
  <c r="D43" i="6"/>
  <c r="O42" i="6"/>
  <c r="N42" i="6"/>
  <c r="M42" i="6"/>
  <c r="L42" i="6"/>
  <c r="K42" i="6"/>
  <c r="J42" i="6"/>
  <c r="I42" i="6"/>
  <c r="H42" i="6"/>
  <c r="G42" i="6"/>
  <c r="F42" i="6"/>
  <c r="E42" i="6"/>
  <c r="D42" i="6"/>
  <c r="K19" i="6"/>
  <c r="O18" i="6"/>
  <c r="N18" i="6"/>
  <c r="M18" i="6"/>
  <c r="L18" i="6"/>
  <c r="K18" i="6"/>
  <c r="J18" i="6"/>
  <c r="I18" i="6"/>
  <c r="I118" i="6" s="1"/>
  <c r="H18" i="6"/>
  <c r="G18" i="6"/>
  <c r="F18" i="6"/>
  <c r="E18" i="6"/>
  <c r="D18" i="6"/>
  <c r="C13" i="6"/>
  <c r="C12" i="6"/>
  <c r="B540" i="6" s="1"/>
  <c r="C11" i="6"/>
  <c r="E13" i="4" s="1"/>
  <c r="C10" i="6"/>
  <c r="C9" i="6"/>
  <c r="E110" i="6" s="1"/>
  <c r="C7" i="6"/>
  <c r="C6" i="6"/>
  <c r="C8" i="6" s="1"/>
  <c r="AJ1746" i="5"/>
  <c r="AI1746" i="5"/>
  <c r="AG1746" i="5"/>
  <c r="AF1746" i="5"/>
  <c r="AJ1745" i="5"/>
  <c r="AI1745" i="5"/>
  <c r="AG1745" i="5"/>
  <c r="AF1745" i="5"/>
  <c r="AJ1744" i="5"/>
  <c r="AI1744" i="5"/>
  <c r="AG1744" i="5"/>
  <c r="AF1744" i="5"/>
  <c r="AJ1743" i="5"/>
  <c r="AI1743" i="5"/>
  <c r="AG1743" i="5"/>
  <c r="AF1743" i="5"/>
  <c r="AJ1742" i="5"/>
  <c r="AI1742" i="5"/>
  <c r="AG1742" i="5"/>
  <c r="AF1742" i="5"/>
  <c r="AJ1741" i="5"/>
  <c r="AI1741" i="5"/>
  <c r="AG1741" i="5"/>
  <c r="AF1741" i="5"/>
  <c r="AJ1740" i="5"/>
  <c r="AI1740" i="5"/>
  <c r="AG1740" i="5"/>
  <c r="AF1740" i="5"/>
  <c r="AJ1739" i="5"/>
  <c r="AI1739" i="5"/>
  <c r="AG1739" i="5"/>
  <c r="AF1739" i="5"/>
  <c r="AJ1738" i="5"/>
  <c r="AI1738" i="5"/>
  <c r="AG1738" i="5"/>
  <c r="AF1738" i="5"/>
  <c r="AJ1737" i="5"/>
  <c r="AI1737" i="5"/>
  <c r="AG1737" i="5"/>
  <c r="AF1737" i="5"/>
  <c r="AJ1736" i="5"/>
  <c r="AI1736" i="5"/>
  <c r="AG1736" i="5"/>
  <c r="AF1736" i="5"/>
  <c r="AJ1735" i="5"/>
  <c r="AI1735" i="5"/>
  <c r="AG1735" i="5"/>
  <c r="AF1735" i="5"/>
  <c r="AJ1734" i="5"/>
  <c r="AI1734" i="5"/>
  <c r="AG1734" i="5"/>
  <c r="AF1734" i="5"/>
  <c r="AJ1733" i="5"/>
  <c r="AI1733" i="5"/>
  <c r="AG1733" i="5"/>
  <c r="AF1733" i="5"/>
  <c r="AJ1732" i="5"/>
  <c r="AI1732" i="5"/>
  <c r="AG1732" i="5"/>
  <c r="AF1732" i="5"/>
  <c r="AJ1731" i="5"/>
  <c r="AI1731" i="5"/>
  <c r="AG1731" i="5"/>
  <c r="AF1731" i="5"/>
  <c r="AJ1730" i="5"/>
  <c r="AI1730" i="5"/>
  <c r="AG1730" i="5"/>
  <c r="AF1730" i="5"/>
  <c r="AJ1729" i="5"/>
  <c r="AI1729" i="5"/>
  <c r="AG1729" i="5"/>
  <c r="AF1729" i="5"/>
  <c r="AJ1728" i="5"/>
  <c r="AI1728" i="5"/>
  <c r="AG1728" i="5"/>
  <c r="AF1728" i="5"/>
  <c r="AJ1727" i="5"/>
  <c r="AI1727" i="5"/>
  <c r="AG1727" i="5"/>
  <c r="AF1727" i="5"/>
  <c r="AJ1726" i="5"/>
  <c r="AI1726" i="5"/>
  <c r="AG1726" i="5"/>
  <c r="AF1726" i="5"/>
  <c r="AJ1725" i="5"/>
  <c r="AI1725" i="5"/>
  <c r="AG1725" i="5"/>
  <c r="AF1725" i="5"/>
  <c r="AJ1724" i="5"/>
  <c r="AI1724" i="5"/>
  <c r="AG1724" i="5"/>
  <c r="AF1724" i="5"/>
  <c r="AJ1723" i="5"/>
  <c r="AI1723" i="5"/>
  <c r="AG1723" i="5"/>
  <c r="AF1723" i="5"/>
  <c r="AJ1722" i="5"/>
  <c r="AI1722" i="5"/>
  <c r="AG1722" i="5"/>
  <c r="AH1722" i="5" s="1"/>
  <c r="AF1722" i="5"/>
  <c r="AJ1721" i="5"/>
  <c r="AI1721" i="5"/>
  <c r="AG1721" i="5"/>
  <c r="AF1721" i="5"/>
  <c r="AJ1720" i="5"/>
  <c r="AI1720" i="5"/>
  <c r="AG1720" i="5"/>
  <c r="AF1720" i="5"/>
  <c r="AJ1719" i="5"/>
  <c r="AI1719" i="5"/>
  <c r="AG1719" i="5"/>
  <c r="AF1719" i="5"/>
  <c r="AJ1718" i="5"/>
  <c r="AI1718" i="5"/>
  <c r="AG1718" i="5"/>
  <c r="AH1718" i="5" s="1"/>
  <c r="AF1718" i="5"/>
  <c r="AJ1717" i="5"/>
  <c r="AI1717" i="5"/>
  <c r="AG1717" i="5"/>
  <c r="AF1717" i="5"/>
  <c r="AJ1716" i="5"/>
  <c r="AI1716" i="5"/>
  <c r="AG1716" i="5"/>
  <c r="AF1716" i="5"/>
  <c r="AJ1715" i="5"/>
  <c r="AI1715" i="5"/>
  <c r="AG1715" i="5"/>
  <c r="AF1715" i="5"/>
  <c r="AJ1714" i="5"/>
  <c r="AI1714" i="5"/>
  <c r="AG1714" i="5"/>
  <c r="AH1714" i="5" s="1"/>
  <c r="AF1714" i="5"/>
  <c r="AJ1713" i="5"/>
  <c r="AI1713" i="5"/>
  <c r="AG1713" i="5"/>
  <c r="AF1713" i="5"/>
  <c r="AJ1712" i="5"/>
  <c r="AI1712" i="5"/>
  <c r="AG1712" i="5"/>
  <c r="AF1712" i="5"/>
  <c r="AJ1711" i="5"/>
  <c r="AI1711" i="5"/>
  <c r="AG1711" i="5"/>
  <c r="AF1711" i="5"/>
  <c r="AJ1710" i="5"/>
  <c r="AI1710" i="5"/>
  <c r="AG1710" i="5"/>
  <c r="AF1710" i="5"/>
  <c r="AJ1709" i="5"/>
  <c r="AI1709" i="5"/>
  <c r="AG1709" i="5"/>
  <c r="AF1709" i="5"/>
  <c r="AJ1708" i="5"/>
  <c r="AI1708" i="5"/>
  <c r="AG1708" i="5"/>
  <c r="AF1708" i="5"/>
  <c r="AJ1707" i="5"/>
  <c r="AI1707" i="5"/>
  <c r="AG1707" i="5"/>
  <c r="AF1707" i="5"/>
  <c r="AJ1706" i="5"/>
  <c r="AI1706" i="5"/>
  <c r="AG1706" i="5"/>
  <c r="AF1706" i="5"/>
  <c r="AJ1705" i="5"/>
  <c r="AI1705" i="5"/>
  <c r="AG1705" i="5"/>
  <c r="AF1705" i="5"/>
  <c r="AJ1704" i="5"/>
  <c r="AI1704" i="5"/>
  <c r="AG1704" i="5"/>
  <c r="AF1704" i="5"/>
  <c r="AJ1703" i="5"/>
  <c r="AI1703" i="5"/>
  <c r="AG1703" i="5"/>
  <c r="AF1703" i="5"/>
  <c r="AJ1702" i="5"/>
  <c r="AI1702" i="5"/>
  <c r="AG1702" i="5"/>
  <c r="AF1702" i="5"/>
  <c r="AJ1701" i="5"/>
  <c r="AI1701" i="5"/>
  <c r="AG1701" i="5"/>
  <c r="AF1701" i="5"/>
  <c r="AJ1700" i="5"/>
  <c r="AI1700" i="5"/>
  <c r="AG1700" i="5"/>
  <c r="AF1700" i="5"/>
  <c r="AJ1699" i="5"/>
  <c r="AI1699" i="5"/>
  <c r="AG1699" i="5"/>
  <c r="AF1699" i="5"/>
  <c r="AJ1698" i="5"/>
  <c r="AI1698" i="5"/>
  <c r="AG1698" i="5"/>
  <c r="AH1698" i="5" s="1"/>
  <c r="AF1698" i="5"/>
  <c r="AJ1697" i="5"/>
  <c r="AI1697" i="5"/>
  <c r="AG1697" i="5"/>
  <c r="AF1697" i="5"/>
  <c r="AJ1696" i="5"/>
  <c r="AI1696" i="5"/>
  <c r="AG1696" i="5"/>
  <c r="AF1696" i="5"/>
  <c r="AJ1695" i="5"/>
  <c r="AI1695" i="5"/>
  <c r="AG1695" i="5"/>
  <c r="AF1695" i="5"/>
  <c r="AJ1694" i="5"/>
  <c r="AI1694" i="5"/>
  <c r="AH1694" i="5"/>
  <c r="AG1694" i="5"/>
  <c r="AF1694" i="5"/>
  <c r="AJ1693" i="5"/>
  <c r="AI1693" i="5"/>
  <c r="AG1693" i="5"/>
  <c r="AF1693" i="5"/>
  <c r="AJ1692" i="5"/>
  <c r="AI1692" i="5"/>
  <c r="AG1692" i="5"/>
  <c r="AF1692" i="5"/>
  <c r="AJ1691" i="5"/>
  <c r="AI1691" i="5"/>
  <c r="AG1691" i="5"/>
  <c r="AF1691" i="5"/>
  <c r="AJ1690" i="5"/>
  <c r="AI1690" i="5"/>
  <c r="AG1690" i="5"/>
  <c r="AH1690" i="5" s="1"/>
  <c r="AF1690" i="5"/>
  <c r="AJ1689" i="5"/>
  <c r="AI1689" i="5"/>
  <c r="AG1689" i="5"/>
  <c r="AF1689" i="5"/>
  <c r="AJ1688" i="5"/>
  <c r="AI1688" i="5"/>
  <c r="AG1688" i="5"/>
  <c r="AF1688" i="5"/>
  <c r="AJ1687" i="5"/>
  <c r="AI1687" i="5"/>
  <c r="AG1687" i="5"/>
  <c r="AF1687" i="5"/>
  <c r="AJ1686" i="5"/>
  <c r="AI1686" i="5"/>
  <c r="AG1686" i="5"/>
  <c r="AF1686" i="5"/>
  <c r="AJ1685" i="5"/>
  <c r="AI1685" i="5"/>
  <c r="AG1685" i="5"/>
  <c r="AF1685" i="5"/>
  <c r="AJ1684" i="5"/>
  <c r="AI1684" i="5"/>
  <c r="AG1684" i="5"/>
  <c r="AF1684" i="5"/>
  <c r="AJ1683" i="5"/>
  <c r="AI1683" i="5"/>
  <c r="AG1683" i="5"/>
  <c r="AF1683" i="5"/>
  <c r="AJ1682" i="5"/>
  <c r="AI1682" i="5"/>
  <c r="AG1682" i="5"/>
  <c r="AF1682" i="5"/>
  <c r="AJ1681" i="5"/>
  <c r="AI1681" i="5"/>
  <c r="AG1681" i="5"/>
  <c r="AF1681" i="5"/>
  <c r="AJ1680" i="5"/>
  <c r="AI1680" i="5"/>
  <c r="AG1680" i="5"/>
  <c r="AF1680" i="5"/>
  <c r="AJ1679" i="5"/>
  <c r="AI1679" i="5"/>
  <c r="AG1679" i="5"/>
  <c r="AF1679" i="5"/>
  <c r="AJ1678" i="5"/>
  <c r="AI1678" i="5"/>
  <c r="AG1678" i="5"/>
  <c r="AF1678" i="5"/>
  <c r="AJ1677" i="5"/>
  <c r="AI1677" i="5"/>
  <c r="AG1677" i="5"/>
  <c r="AF1677" i="5"/>
  <c r="AJ1676" i="5"/>
  <c r="AI1676" i="5"/>
  <c r="AG1676" i="5"/>
  <c r="AF1676" i="5"/>
  <c r="AJ1675" i="5"/>
  <c r="AI1675" i="5"/>
  <c r="AG1675" i="5"/>
  <c r="AF1675" i="5"/>
  <c r="AJ1674" i="5"/>
  <c r="AI1674" i="5"/>
  <c r="AG1674" i="5"/>
  <c r="AF1674" i="5"/>
  <c r="AJ1673" i="5"/>
  <c r="AI1673" i="5"/>
  <c r="AG1673" i="5"/>
  <c r="AF1673" i="5"/>
  <c r="AJ1672" i="5"/>
  <c r="AI1672" i="5"/>
  <c r="AG1672" i="5"/>
  <c r="AF1672" i="5"/>
  <c r="AJ1671" i="5"/>
  <c r="AI1671" i="5"/>
  <c r="AG1671" i="5"/>
  <c r="AF1671" i="5"/>
  <c r="AJ1670" i="5"/>
  <c r="AI1670" i="5"/>
  <c r="AG1670" i="5"/>
  <c r="AF1670" i="5"/>
  <c r="AJ1669" i="5"/>
  <c r="AI1669" i="5"/>
  <c r="AG1669" i="5"/>
  <c r="AF1669" i="5"/>
  <c r="AJ1668" i="5"/>
  <c r="AI1668" i="5"/>
  <c r="AG1668" i="5"/>
  <c r="AF1668" i="5"/>
  <c r="AJ1667" i="5"/>
  <c r="AI1667" i="5"/>
  <c r="AG1667" i="5"/>
  <c r="AF1667" i="5"/>
  <c r="AJ1666" i="5"/>
  <c r="AI1666" i="5"/>
  <c r="AG1666" i="5"/>
  <c r="AF1666" i="5"/>
  <c r="AJ1665" i="5"/>
  <c r="AI1665" i="5"/>
  <c r="AG1665" i="5"/>
  <c r="AF1665" i="5"/>
  <c r="AJ1664" i="5"/>
  <c r="AI1664" i="5"/>
  <c r="AG1664" i="5"/>
  <c r="AF1664" i="5"/>
  <c r="AJ1663" i="5"/>
  <c r="AI1663" i="5"/>
  <c r="AG1663" i="5"/>
  <c r="AF1663" i="5"/>
  <c r="AJ1662" i="5"/>
  <c r="AI1662" i="5"/>
  <c r="AG1662" i="5"/>
  <c r="AF1662" i="5"/>
  <c r="AJ1661" i="5"/>
  <c r="AI1661" i="5"/>
  <c r="AG1661" i="5"/>
  <c r="AF1661" i="5"/>
  <c r="AJ1660" i="5"/>
  <c r="AI1660" i="5"/>
  <c r="AG1660" i="5"/>
  <c r="AF1660" i="5"/>
  <c r="AJ1659" i="5"/>
  <c r="AI1659" i="5"/>
  <c r="AG1659" i="5"/>
  <c r="AF1659" i="5"/>
  <c r="AJ1658" i="5"/>
  <c r="AI1658" i="5"/>
  <c r="AG1658" i="5"/>
  <c r="AF1658" i="5"/>
  <c r="AJ1657" i="5"/>
  <c r="AI1657" i="5"/>
  <c r="AG1657" i="5"/>
  <c r="AF1657" i="5"/>
  <c r="AJ1656" i="5"/>
  <c r="AI1656" i="5"/>
  <c r="AG1656" i="5"/>
  <c r="AF1656" i="5"/>
  <c r="AJ1655" i="5"/>
  <c r="AI1655" i="5"/>
  <c r="AG1655" i="5"/>
  <c r="AF1655" i="5"/>
  <c r="AJ1654" i="5"/>
  <c r="AI1654" i="5"/>
  <c r="AG1654" i="5"/>
  <c r="AF1654" i="5"/>
  <c r="AJ1653" i="5"/>
  <c r="AI1653" i="5"/>
  <c r="AG1653" i="5"/>
  <c r="AF1653" i="5"/>
  <c r="AJ1652" i="5"/>
  <c r="AI1652" i="5"/>
  <c r="AG1652" i="5"/>
  <c r="AF1652" i="5"/>
  <c r="AJ1651" i="5"/>
  <c r="AI1651" i="5"/>
  <c r="AG1651" i="5"/>
  <c r="AF1651" i="5"/>
  <c r="AJ1650" i="5"/>
  <c r="AI1650" i="5"/>
  <c r="AG1650" i="5"/>
  <c r="AF1650" i="5"/>
  <c r="AJ1649" i="5"/>
  <c r="AI1649" i="5"/>
  <c r="AG1649" i="5"/>
  <c r="AF1649" i="5"/>
  <c r="AJ1648" i="5"/>
  <c r="AI1648" i="5"/>
  <c r="AG1648" i="5"/>
  <c r="AF1648" i="5"/>
  <c r="AJ1647" i="5"/>
  <c r="AI1647" i="5"/>
  <c r="AG1647" i="5"/>
  <c r="AF1647" i="5"/>
  <c r="AJ1646" i="5"/>
  <c r="AI1646" i="5"/>
  <c r="AG1646" i="5"/>
  <c r="AF1646" i="5"/>
  <c r="AJ1645" i="5"/>
  <c r="AI1645" i="5"/>
  <c r="AG1645" i="5"/>
  <c r="AF1645" i="5"/>
  <c r="AJ1644" i="5"/>
  <c r="AI1644" i="5"/>
  <c r="AG1644" i="5"/>
  <c r="AF1644" i="5"/>
  <c r="AJ1643" i="5"/>
  <c r="AI1643" i="5"/>
  <c r="AG1643" i="5"/>
  <c r="AF1643" i="5"/>
  <c r="AJ1642" i="5"/>
  <c r="AI1642" i="5"/>
  <c r="AG1642" i="5"/>
  <c r="AF1642" i="5"/>
  <c r="AJ1641" i="5"/>
  <c r="AI1641" i="5"/>
  <c r="AG1641" i="5"/>
  <c r="AF1641" i="5"/>
  <c r="AJ1640" i="5"/>
  <c r="AI1640" i="5"/>
  <c r="AG1640" i="5"/>
  <c r="AF1640" i="5"/>
  <c r="AJ1639" i="5"/>
  <c r="AI1639" i="5"/>
  <c r="AG1639" i="5"/>
  <c r="AF1639" i="5"/>
  <c r="AJ1638" i="5"/>
  <c r="AI1638" i="5"/>
  <c r="AG1638" i="5"/>
  <c r="AF1638" i="5"/>
  <c r="AJ1637" i="5"/>
  <c r="AI1637" i="5"/>
  <c r="AG1637" i="5"/>
  <c r="AF1637" i="5"/>
  <c r="AJ1636" i="5"/>
  <c r="AI1636" i="5"/>
  <c r="AG1636" i="5"/>
  <c r="AF1636" i="5"/>
  <c r="AJ1635" i="5"/>
  <c r="AI1635" i="5"/>
  <c r="AG1635" i="5"/>
  <c r="AF1635" i="5"/>
  <c r="AJ1634" i="5"/>
  <c r="AI1634" i="5"/>
  <c r="AG1634" i="5"/>
  <c r="AF1634" i="5"/>
  <c r="AJ1633" i="5"/>
  <c r="AI1633" i="5"/>
  <c r="AG1633" i="5"/>
  <c r="AF1633" i="5"/>
  <c r="AJ1632" i="5"/>
  <c r="AI1632" i="5"/>
  <c r="AG1632" i="5"/>
  <c r="AF1632" i="5"/>
  <c r="AJ1631" i="5"/>
  <c r="AI1631" i="5"/>
  <c r="AG1631" i="5"/>
  <c r="AF1631" i="5"/>
  <c r="AJ1630" i="5"/>
  <c r="AI1630" i="5"/>
  <c r="AG1630" i="5"/>
  <c r="AF1630" i="5"/>
  <c r="AJ1629" i="5"/>
  <c r="AI1629" i="5"/>
  <c r="AG1629" i="5"/>
  <c r="AF1629" i="5"/>
  <c r="AJ1628" i="5"/>
  <c r="AI1628" i="5"/>
  <c r="AG1628" i="5"/>
  <c r="AF1628" i="5"/>
  <c r="AJ1627" i="5"/>
  <c r="AI1627" i="5"/>
  <c r="AG1627" i="5"/>
  <c r="AF1627" i="5"/>
  <c r="AJ1626" i="5"/>
  <c r="AI1626" i="5"/>
  <c r="AG1626" i="5"/>
  <c r="AF1626" i="5"/>
  <c r="AJ1625" i="5"/>
  <c r="AI1625" i="5"/>
  <c r="AG1625" i="5"/>
  <c r="AF1625" i="5"/>
  <c r="AJ1624" i="5"/>
  <c r="AI1624" i="5"/>
  <c r="AG1624" i="5"/>
  <c r="AF1624" i="5"/>
  <c r="AJ1623" i="5"/>
  <c r="AI1623" i="5"/>
  <c r="AG1623" i="5"/>
  <c r="AF1623" i="5"/>
  <c r="AJ1622" i="5"/>
  <c r="AI1622" i="5"/>
  <c r="AG1622" i="5"/>
  <c r="AH1622" i="5" s="1"/>
  <c r="AF1622" i="5"/>
  <c r="AJ1621" i="5"/>
  <c r="AI1621" i="5"/>
  <c r="AG1621" i="5"/>
  <c r="AF1621" i="5"/>
  <c r="AJ1620" i="5"/>
  <c r="AI1620" i="5"/>
  <c r="AG1620" i="5"/>
  <c r="AF1620" i="5"/>
  <c r="AJ1619" i="5"/>
  <c r="AI1619" i="5"/>
  <c r="AG1619" i="5"/>
  <c r="AF1619" i="5"/>
  <c r="AJ1618" i="5"/>
  <c r="AI1618" i="5"/>
  <c r="AG1618" i="5"/>
  <c r="AH1618" i="5" s="1"/>
  <c r="AF1618" i="5"/>
  <c r="AJ1617" i="5"/>
  <c r="AI1617" i="5"/>
  <c r="AG1617" i="5"/>
  <c r="AF1617" i="5"/>
  <c r="AJ1616" i="5"/>
  <c r="AI1616" i="5"/>
  <c r="AG1616" i="5"/>
  <c r="AF1616" i="5"/>
  <c r="AJ1615" i="5"/>
  <c r="AI1615" i="5"/>
  <c r="AG1615" i="5"/>
  <c r="AF1615" i="5"/>
  <c r="AJ1614" i="5"/>
  <c r="AI1614" i="5"/>
  <c r="AH1614" i="5"/>
  <c r="AG1614" i="5"/>
  <c r="AF1614" i="5"/>
  <c r="AJ1613" i="5"/>
  <c r="AI1613" i="5"/>
  <c r="AG1613" i="5"/>
  <c r="AF1613" i="5"/>
  <c r="AH1613" i="5" s="1"/>
  <c r="AJ1612" i="5"/>
  <c r="AI1612" i="5"/>
  <c r="AG1612" i="5"/>
  <c r="AF1612" i="5"/>
  <c r="AJ1611" i="5"/>
  <c r="AI1611" i="5"/>
  <c r="AG1611" i="5"/>
  <c r="AF1611" i="5"/>
  <c r="AJ1610" i="5"/>
  <c r="AI1610" i="5"/>
  <c r="AG1610" i="5"/>
  <c r="AF1610" i="5"/>
  <c r="AJ1609" i="5"/>
  <c r="AI1609" i="5"/>
  <c r="AG1609" i="5"/>
  <c r="AF1609" i="5"/>
  <c r="AH1609" i="5" s="1"/>
  <c r="AJ1608" i="5"/>
  <c r="AI1608" i="5"/>
  <c r="AG1608" i="5"/>
  <c r="AF1608" i="5"/>
  <c r="AJ1607" i="5"/>
  <c r="AI1607" i="5"/>
  <c r="AG1607" i="5"/>
  <c r="AF1607" i="5"/>
  <c r="AH1607" i="5" s="1"/>
  <c r="AJ1606" i="5"/>
  <c r="AI1606" i="5"/>
  <c r="AG1606" i="5"/>
  <c r="AF1606" i="5"/>
  <c r="AJ1605" i="5"/>
  <c r="AI1605" i="5"/>
  <c r="AG1605" i="5"/>
  <c r="AF1605" i="5"/>
  <c r="AJ1604" i="5"/>
  <c r="AI1604" i="5"/>
  <c r="AG1604" i="5"/>
  <c r="AF1604" i="5"/>
  <c r="AJ1603" i="5"/>
  <c r="AI1603" i="5"/>
  <c r="AG1603" i="5"/>
  <c r="AF1603" i="5"/>
  <c r="AJ1602" i="5"/>
  <c r="AI1602" i="5"/>
  <c r="AG1602" i="5"/>
  <c r="AF1602" i="5"/>
  <c r="AJ1601" i="5"/>
  <c r="AI1601" i="5"/>
  <c r="AG1601" i="5"/>
  <c r="AF1601" i="5"/>
  <c r="AJ1600" i="5"/>
  <c r="AI1600" i="5"/>
  <c r="AG1600" i="5"/>
  <c r="AF1600" i="5"/>
  <c r="AJ1599" i="5"/>
  <c r="AI1599" i="5"/>
  <c r="AG1599" i="5"/>
  <c r="AF1599" i="5"/>
  <c r="AJ1598" i="5"/>
  <c r="AI1598" i="5"/>
  <c r="AG1598" i="5"/>
  <c r="AF1598" i="5"/>
  <c r="AJ1597" i="5"/>
  <c r="AI1597" i="5"/>
  <c r="AG1597" i="5"/>
  <c r="AF1597" i="5"/>
  <c r="AJ1596" i="5"/>
  <c r="AI1596" i="5"/>
  <c r="AG1596" i="5"/>
  <c r="AF1596" i="5"/>
  <c r="AJ1595" i="5"/>
  <c r="AI1595" i="5"/>
  <c r="AG1595" i="5"/>
  <c r="AF1595" i="5"/>
  <c r="AJ1594" i="5"/>
  <c r="AI1594" i="5"/>
  <c r="AG1594" i="5"/>
  <c r="AH1594" i="5" s="1"/>
  <c r="AF1594" i="5"/>
  <c r="AJ1593" i="5"/>
  <c r="AI1593" i="5"/>
  <c r="AG1593" i="5"/>
  <c r="AF1593" i="5"/>
  <c r="AJ1592" i="5"/>
  <c r="AI1592" i="5"/>
  <c r="AG1592" i="5"/>
  <c r="AF1592" i="5"/>
  <c r="AJ1591" i="5"/>
  <c r="AI1591" i="5"/>
  <c r="AG1591" i="5"/>
  <c r="AF1591" i="5"/>
  <c r="AJ1590" i="5"/>
  <c r="AI1590" i="5"/>
  <c r="AG1590" i="5"/>
  <c r="AH1590" i="5" s="1"/>
  <c r="AF1590" i="5"/>
  <c r="AJ1589" i="5"/>
  <c r="AI1589" i="5"/>
  <c r="AG1589" i="5"/>
  <c r="AF1589" i="5"/>
  <c r="AJ1588" i="5"/>
  <c r="AI1588" i="5"/>
  <c r="AG1588" i="5"/>
  <c r="AF1588" i="5"/>
  <c r="AJ1587" i="5"/>
  <c r="AI1587" i="5"/>
  <c r="AG1587" i="5"/>
  <c r="AF1587" i="5"/>
  <c r="AJ1586" i="5"/>
  <c r="AI1586" i="5"/>
  <c r="AG1586" i="5"/>
  <c r="AF1586" i="5"/>
  <c r="AJ1585" i="5"/>
  <c r="AI1585" i="5"/>
  <c r="AG1585" i="5"/>
  <c r="AF1585" i="5"/>
  <c r="AJ1584" i="5"/>
  <c r="AI1584" i="5"/>
  <c r="AG1584" i="5"/>
  <c r="AF1584" i="5"/>
  <c r="AJ1583" i="5"/>
  <c r="AI1583" i="5"/>
  <c r="AG1583" i="5"/>
  <c r="AF1583" i="5"/>
  <c r="AJ1582" i="5"/>
  <c r="AI1582" i="5"/>
  <c r="AG1582" i="5"/>
  <c r="AF1582" i="5"/>
  <c r="AJ1581" i="5"/>
  <c r="AI1581" i="5"/>
  <c r="AG1581" i="5"/>
  <c r="AF1581" i="5"/>
  <c r="AK1580" i="5"/>
  <c r="AJ1580" i="5"/>
  <c r="AI1580" i="5"/>
  <c r="AG1580" i="5"/>
  <c r="AF1580" i="5"/>
  <c r="AH1580" i="5" s="1"/>
  <c r="AJ1579" i="5"/>
  <c r="AI1579" i="5"/>
  <c r="AG1579" i="5"/>
  <c r="AF1579" i="5"/>
  <c r="AJ1578" i="5"/>
  <c r="AI1578" i="5"/>
  <c r="AG1578" i="5"/>
  <c r="AF1578" i="5"/>
  <c r="AJ1577" i="5"/>
  <c r="AI1577" i="5"/>
  <c r="AG1577" i="5"/>
  <c r="AF1577" i="5"/>
  <c r="AJ1576" i="5"/>
  <c r="AI1576" i="5"/>
  <c r="AG1576" i="5"/>
  <c r="AF1576" i="5"/>
  <c r="AH1576" i="5" s="1"/>
  <c r="AJ1575" i="5"/>
  <c r="AI1575" i="5"/>
  <c r="AG1575" i="5"/>
  <c r="AF1575" i="5"/>
  <c r="AJ1574" i="5"/>
  <c r="AI1574" i="5"/>
  <c r="AG1574" i="5"/>
  <c r="AF1574" i="5"/>
  <c r="AJ1573" i="5"/>
  <c r="AI1573" i="5"/>
  <c r="AG1573" i="5"/>
  <c r="AH1573" i="5" s="1"/>
  <c r="AK1573" i="5" s="1"/>
  <c r="AF1573" i="5"/>
  <c r="AJ1572" i="5"/>
  <c r="AI1572" i="5"/>
  <c r="AG1572" i="5"/>
  <c r="AF1572" i="5"/>
  <c r="AJ1571" i="5"/>
  <c r="AI1571" i="5"/>
  <c r="AG1571" i="5"/>
  <c r="AF1571" i="5"/>
  <c r="AJ1570" i="5"/>
  <c r="AI1570" i="5"/>
  <c r="AG1570" i="5"/>
  <c r="AF1570" i="5"/>
  <c r="AJ1569" i="5"/>
  <c r="AI1569" i="5"/>
  <c r="AG1569" i="5"/>
  <c r="AH1569" i="5" s="1"/>
  <c r="AF1569" i="5"/>
  <c r="AJ1568" i="5"/>
  <c r="AI1568" i="5"/>
  <c r="AG1568" i="5"/>
  <c r="AF1568" i="5"/>
  <c r="AJ1567" i="5"/>
  <c r="AI1567" i="5"/>
  <c r="AG1567" i="5"/>
  <c r="AF1567" i="5"/>
  <c r="AJ1566" i="5"/>
  <c r="AI1566" i="5"/>
  <c r="AG1566" i="5"/>
  <c r="AF1566" i="5"/>
  <c r="AJ1565" i="5"/>
  <c r="AI1565" i="5"/>
  <c r="AG1565" i="5"/>
  <c r="AF1565" i="5"/>
  <c r="AJ1564" i="5"/>
  <c r="AI1564" i="5"/>
  <c r="AG1564" i="5"/>
  <c r="AF1564" i="5"/>
  <c r="AJ1563" i="5"/>
  <c r="AI1563" i="5"/>
  <c r="AG1563" i="5"/>
  <c r="AF1563" i="5"/>
  <c r="AJ1562" i="5"/>
  <c r="AI1562" i="5"/>
  <c r="AG1562" i="5"/>
  <c r="AF1562" i="5"/>
  <c r="AJ1561" i="5"/>
  <c r="AI1561" i="5"/>
  <c r="AG1561" i="5"/>
  <c r="AF1561" i="5"/>
  <c r="AJ1560" i="5"/>
  <c r="AI1560" i="5"/>
  <c r="AG1560" i="5"/>
  <c r="AF1560" i="5"/>
  <c r="AJ1559" i="5"/>
  <c r="AI1559" i="5"/>
  <c r="AG1559" i="5"/>
  <c r="AF1559" i="5"/>
  <c r="AJ1558" i="5"/>
  <c r="AI1558" i="5"/>
  <c r="AG1558" i="5"/>
  <c r="AF1558" i="5"/>
  <c r="AJ1557" i="5"/>
  <c r="AI1557" i="5"/>
  <c r="AG1557" i="5"/>
  <c r="AF1557" i="5"/>
  <c r="AJ1556" i="5"/>
  <c r="AI1556" i="5"/>
  <c r="AG1556" i="5"/>
  <c r="AF1556" i="5"/>
  <c r="AJ1555" i="5"/>
  <c r="AI1555" i="5"/>
  <c r="AG1555" i="5"/>
  <c r="AF1555" i="5"/>
  <c r="AJ1554" i="5"/>
  <c r="AI1554" i="5"/>
  <c r="AG1554" i="5"/>
  <c r="AF1554" i="5"/>
  <c r="AH1554" i="5" s="1"/>
  <c r="AJ1553" i="5"/>
  <c r="AI1553" i="5"/>
  <c r="AG1553" i="5"/>
  <c r="AF1553" i="5"/>
  <c r="AJ1552" i="5"/>
  <c r="AI1552" i="5"/>
  <c r="AG1552" i="5"/>
  <c r="AF1552" i="5"/>
  <c r="AJ1551" i="5"/>
  <c r="AI1551" i="5"/>
  <c r="AG1551" i="5"/>
  <c r="AF1551" i="5"/>
  <c r="AJ1550" i="5"/>
  <c r="AI1550" i="5"/>
  <c r="AG1550" i="5"/>
  <c r="AF1550" i="5"/>
  <c r="AJ1549" i="5"/>
  <c r="AI1549" i="5"/>
  <c r="AG1549" i="5"/>
  <c r="AF1549" i="5"/>
  <c r="AJ1548" i="5"/>
  <c r="AI1548" i="5"/>
  <c r="AG1548" i="5"/>
  <c r="AF1548" i="5"/>
  <c r="AJ1547" i="5"/>
  <c r="AI1547" i="5"/>
  <c r="AG1547" i="5"/>
  <c r="AF1547" i="5"/>
  <c r="AJ1546" i="5"/>
  <c r="AI1546" i="5"/>
  <c r="AG1546" i="5"/>
  <c r="AF1546" i="5"/>
  <c r="AJ1545" i="5"/>
  <c r="AI1545" i="5"/>
  <c r="AG1545" i="5"/>
  <c r="AF1545" i="5"/>
  <c r="AJ1544" i="5"/>
  <c r="AI1544" i="5"/>
  <c r="AG1544" i="5"/>
  <c r="AF1544" i="5"/>
  <c r="AJ1543" i="5"/>
  <c r="AI1543" i="5"/>
  <c r="AG1543" i="5"/>
  <c r="AF1543" i="5"/>
  <c r="AJ1542" i="5"/>
  <c r="AI1542" i="5"/>
  <c r="AG1542" i="5"/>
  <c r="AF1542" i="5"/>
  <c r="AJ1541" i="5"/>
  <c r="AI1541" i="5"/>
  <c r="AG1541" i="5"/>
  <c r="AF1541" i="5"/>
  <c r="AJ1540" i="5"/>
  <c r="AI1540" i="5"/>
  <c r="AG1540" i="5"/>
  <c r="AF1540" i="5"/>
  <c r="AJ1539" i="5"/>
  <c r="AI1539" i="5"/>
  <c r="AG1539" i="5"/>
  <c r="AF1539" i="5"/>
  <c r="AJ1538" i="5"/>
  <c r="AI1538" i="5"/>
  <c r="AG1538" i="5"/>
  <c r="AF1538" i="5"/>
  <c r="AH1538" i="5" s="1"/>
  <c r="AJ1537" i="5"/>
  <c r="AI1537" i="5"/>
  <c r="AG1537" i="5"/>
  <c r="AF1537" i="5"/>
  <c r="AJ1536" i="5"/>
  <c r="AI1536" i="5"/>
  <c r="AG1536" i="5"/>
  <c r="AF1536" i="5"/>
  <c r="AJ1535" i="5"/>
  <c r="AI1535" i="5"/>
  <c r="AG1535" i="5"/>
  <c r="AF1535" i="5"/>
  <c r="AJ1534" i="5"/>
  <c r="AI1534" i="5"/>
  <c r="AG1534" i="5"/>
  <c r="AF1534" i="5"/>
  <c r="AJ1533" i="5"/>
  <c r="AI1533" i="5"/>
  <c r="AG1533" i="5"/>
  <c r="AF1533" i="5"/>
  <c r="AJ1532" i="5"/>
  <c r="AI1532" i="5"/>
  <c r="AG1532" i="5"/>
  <c r="AF1532" i="5"/>
  <c r="AJ1531" i="5"/>
  <c r="AI1531" i="5"/>
  <c r="AG1531" i="5"/>
  <c r="AF1531" i="5"/>
  <c r="AJ1530" i="5"/>
  <c r="AI1530" i="5"/>
  <c r="AG1530" i="5"/>
  <c r="AF1530" i="5"/>
  <c r="AJ1529" i="5"/>
  <c r="AI1529" i="5"/>
  <c r="AG1529" i="5"/>
  <c r="AF1529" i="5"/>
  <c r="AJ1528" i="5"/>
  <c r="AI1528" i="5"/>
  <c r="AG1528" i="5"/>
  <c r="AF1528" i="5"/>
  <c r="AJ1527" i="5"/>
  <c r="AI1527" i="5"/>
  <c r="AG1527" i="5"/>
  <c r="AF1527" i="5"/>
  <c r="AJ1526" i="5"/>
  <c r="AI1526" i="5"/>
  <c r="AG1526" i="5"/>
  <c r="AF1526" i="5"/>
  <c r="AJ1525" i="5"/>
  <c r="AI1525" i="5"/>
  <c r="AG1525" i="5"/>
  <c r="AF1525" i="5"/>
  <c r="AJ1524" i="5"/>
  <c r="AI1524" i="5"/>
  <c r="AG1524" i="5"/>
  <c r="AF1524" i="5"/>
  <c r="AJ1523" i="5"/>
  <c r="AI1523" i="5"/>
  <c r="AG1523" i="5"/>
  <c r="AF1523" i="5"/>
  <c r="AJ1522" i="5"/>
  <c r="AI1522" i="5"/>
  <c r="AG1522" i="5"/>
  <c r="AF1522" i="5"/>
  <c r="AJ1521" i="5"/>
  <c r="AI1521" i="5"/>
  <c r="AG1521" i="5"/>
  <c r="AF1521" i="5"/>
  <c r="AJ1520" i="5"/>
  <c r="AI1520" i="5"/>
  <c r="AG1520" i="5"/>
  <c r="AF1520" i="5"/>
  <c r="AJ1519" i="5"/>
  <c r="AI1519" i="5"/>
  <c r="AG1519" i="5"/>
  <c r="AF1519" i="5"/>
  <c r="AJ1518" i="5"/>
  <c r="AI1518" i="5"/>
  <c r="AG1518" i="5"/>
  <c r="AF1518" i="5"/>
  <c r="AJ1517" i="5"/>
  <c r="AI1517" i="5"/>
  <c r="AG1517" i="5"/>
  <c r="AF1517" i="5"/>
  <c r="AJ1516" i="5"/>
  <c r="AI1516" i="5"/>
  <c r="AG1516" i="5"/>
  <c r="AF1516" i="5"/>
  <c r="AJ1515" i="5"/>
  <c r="AI1515" i="5"/>
  <c r="AG1515" i="5"/>
  <c r="AF1515" i="5"/>
  <c r="AJ1514" i="5"/>
  <c r="AI1514" i="5"/>
  <c r="AG1514" i="5"/>
  <c r="AF1514" i="5"/>
  <c r="AJ1513" i="5"/>
  <c r="AI1513" i="5"/>
  <c r="AG1513" i="5"/>
  <c r="AH1513" i="5" s="1"/>
  <c r="AF1513" i="5"/>
  <c r="AJ1512" i="5"/>
  <c r="AI1512" i="5"/>
  <c r="AG1512" i="5"/>
  <c r="AF1512" i="5"/>
  <c r="AJ1511" i="5"/>
  <c r="AI1511" i="5"/>
  <c r="AG1511" i="5"/>
  <c r="AF1511" i="5"/>
  <c r="AJ1510" i="5"/>
  <c r="AI1510" i="5"/>
  <c r="AG1510" i="5"/>
  <c r="AF1510" i="5"/>
  <c r="AJ1509" i="5"/>
  <c r="AI1509" i="5"/>
  <c r="AG1509" i="5"/>
  <c r="AH1509" i="5" s="1"/>
  <c r="AF1509" i="5"/>
  <c r="AJ1508" i="5"/>
  <c r="AI1508" i="5"/>
  <c r="AG1508" i="5"/>
  <c r="AF1508" i="5"/>
  <c r="AJ1507" i="5"/>
  <c r="AI1507" i="5"/>
  <c r="AG1507" i="5"/>
  <c r="AF1507" i="5"/>
  <c r="AJ1506" i="5"/>
  <c r="AI1506" i="5"/>
  <c r="AG1506" i="5"/>
  <c r="AF1506" i="5"/>
  <c r="AJ1505" i="5"/>
  <c r="AI1505" i="5"/>
  <c r="AG1505" i="5"/>
  <c r="AF1505" i="5"/>
  <c r="AJ1504" i="5"/>
  <c r="AI1504" i="5"/>
  <c r="AG1504" i="5"/>
  <c r="AF1504" i="5"/>
  <c r="AH1504" i="5" s="1"/>
  <c r="AJ1503" i="5"/>
  <c r="AI1503" i="5"/>
  <c r="AG1503" i="5"/>
  <c r="AF1503" i="5"/>
  <c r="AJ1502" i="5"/>
  <c r="AI1502" i="5"/>
  <c r="AG1502" i="5"/>
  <c r="AF1502" i="5"/>
  <c r="AJ1501" i="5"/>
  <c r="AI1501" i="5"/>
  <c r="AG1501" i="5"/>
  <c r="AF1501" i="5"/>
  <c r="AJ1500" i="5"/>
  <c r="AI1500" i="5"/>
  <c r="AG1500" i="5"/>
  <c r="AF1500" i="5"/>
  <c r="AH1500" i="5" s="1"/>
  <c r="AJ1499" i="5"/>
  <c r="AI1499" i="5"/>
  <c r="AG1499" i="5"/>
  <c r="AF1499" i="5"/>
  <c r="AJ1498" i="5"/>
  <c r="AI1498" i="5"/>
  <c r="AG1498" i="5"/>
  <c r="AF1498" i="5"/>
  <c r="AJ1497" i="5"/>
  <c r="AI1497" i="5"/>
  <c r="AG1497" i="5"/>
  <c r="AF1497" i="5"/>
  <c r="AJ1496" i="5"/>
  <c r="AI1496" i="5"/>
  <c r="AG1496" i="5"/>
  <c r="AF1496" i="5"/>
  <c r="AJ1495" i="5"/>
  <c r="AI1495" i="5"/>
  <c r="AG1495" i="5"/>
  <c r="AF1495" i="5"/>
  <c r="AJ1494" i="5"/>
  <c r="AI1494" i="5"/>
  <c r="AG1494" i="5"/>
  <c r="AF1494" i="5"/>
  <c r="AJ1493" i="5"/>
  <c r="AI1493" i="5"/>
  <c r="AG1493" i="5"/>
  <c r="AH1493" i="5" s="1"/>
  <c r="AF1493" i="5"/>
  <c r="AJ1492" i="5"/>
  <c r="AI1492" i="5"/>
  <c r="AG1492" i="5"/>
  <c r="AF1492" i="5"/>
  <c r="AJ1491" i="5"/>
  <c r="AI1491" i="5"/>
  <c r="AG1491" i="5"/>
  <c r="AF1491" i="5"/>
  <c r="AJ1490" i="5"/>
  <c r="AI1490" i="5"/>
  <c r="AG1490" i="5"/>
  <c r="AF1490" i="5"/>
  <c r="AJ1489" i="5"/>
  <c r="AI1489" i="5"/>
  <c r="AG1489" i="5"/>
  <c r="AF1489" i="5"/>
  <c r="AJ1488" i="5"/>
  <c r="AI1488" i="5"/>
  <c r="AG1488" i="5"/>
  <c r="AF1488" i="5"/>
  <c r="AJ1487" i="5"/>
  <c r="AI1487" i="5"/>
  <c r="AG1487" i="5"/>
  <c r="AF1487" i="5"/>
  <c r="AJ1486" i="5"/>
  <c r="AI1486" i="5"/>
  <c r="AG1486" i="5"/>
  <c r="AF1486" i="5"/>
  <c r="AH1486" i="5" s="1"/>
  <c r="AJ1485" i="5"/>
  <c r="AI1485" i="5"/>
  <c r="AG1485" i="5"/>
  <c r="AF1485" i="5"/>
  <c r="AJ1484" i="5"/>
  <c r="AI1484" i="5"/>
  <c r="AG1484" i="5"/>
  <c r="AF1484" i="5"/>
  <c r="AJ1483" i="5"/>
  <c r="AI1483" i="5"/>
  <c r="AG1483" i="5"/>
  <c r="AF1483" i="5"/>
  <c r="AJ1482" i="5"/>
  <c r="AI1482" i="5"/>
  <c r="AG1482" i="5"/>
  <c r="AF1482" i="5"/>
  <c r="AJ1481" i="5"/>
  <c r="AI1481" i="5"/>
  <c r="AG1481" i="5"/>
  <c r="AF1481" i="5"/>
  <c r="AJ1480" i="5"/>
  <c r="AI1480" i="5"/>
  <c r="AG1480" i="5"/>
  <c r="AF1480" i="5"/>
  <c r="AJ1479" i="5"/>
  <c r="AI1479" i="5"/>
  <c r="AG1479" i="5"/>
  <c r="AF1479" i="5"/>
  <c r="AJ1478" i="5"/>
  <c r="AI1478" i="5"/>
  <c r="AG1478" i="5"/>
  <c r="AF1478" i="5"/>
  <c r="AJ1477" i="5"/>
  <c r="AI1477" i="5"/>
  <c r="AG1477" i="5"/>
  <c r="AF1477" i="5"/>
  <c r="AJ1476" i="5"/>
  <c r="AI1476" i="5"/>
  <c r="AG1476" i="5"/>
  <c r="AF1476" i="5"/>
  <c r="AJ1475" i="5"/>
  <c r="AI1475" i="5"/>
  <c r="AG1475" i="5"/>
  <c r="AF1475" i="5"/>
  <c r="AJ1474" i="5"/>
  <c r="AI1474" i="5"/>
  <c r="AG1474" i="5"/>
  <c r="AH1474" i="5" s="1"/>
  <c r="AF1474" i="5"/>
  <c r="AJ1473" i="5"/>
  <c r="AI1473" i="5"/>
  <c r="AG1473" i="5"/>
  <c r="AF1473" i="5"/>
  <c r="AJ1472" i="5"/>
  <c r="AI1472" i="5"/>
  <c r="AG1472" i="5"/>
  <c r="AF1472" i="5"/>
  <c r="AJ1471" i="5"/>
  <c r="AI1471" i="5"/>
  <c r="AG1471" i="5"/>
  <c r="AF1471" i="5"/>
  <c r="AJ1470" i="5"/>
  <c r="AI1470" i="5"/>
  <c r="AG1470" i="5"/>
  <c r="AF1470" i="5"/>
  <c r="AJ1469" i="5"/>
  <c r="AI1469" i="5"/>
  <c r="AG1469" i="5"/>
  <c r="AF1469" i="5"/>
  <c r="AJ1468" i="5"/>
  <c r="AI1468" i="5"/>
  <c r="AG1468" i="5"/>
  <c r="AF1468" i="5"/>
  <c r="AJ1467" i="5"/>
  <c r="AI1467" i="5"/>
  <c r="AG1467" i="5"/>
  <c r="AF1467" i="5"/>
  <c r="AJ1466" i="5"/>
  <c r="AI1466" i="5"/>
  <c r="AG1466" i="5"/>
  <c r="AF1466" i="5"/>
  <c r="AJ1465" i="5"/>
  <c r="AI1465" i="5"/>
  <c r="AG1465" i="5"/>
  <c r="AF1465" i="5"/>
  <c r="AJ1464" i="5"/>
  <c r="AI1464" i="5"/>
  <c r="AG1464" i="5"/>
  <c r="AF1464" i="5"/>
  <c r="AJ1463" i="5"/>
  <c r="AI1463" i="5"/>
  <c r="AG1463" i="5"/>
  <c r="AF1463" i="5"/>
  <c r="AJ1462" i="5"/>
  <c r="AI1462" i="5"/>
  <c r="AG1462" i="5"/>
  <c r="AF1462" i="5"/>
  <c r="AJ1461" i="5"/>
  <c r="AI1461" i="5"/>
  <c r="AG1461" i="5"/>
  <c r="AF1461" i="5"/>
  <c r="AJ1460" i="5"/>
  <c r="AI1460" i="5"/>
  <c r="AG1460" i="5"/>
  <c r="AF1460" i="5"/>
  <c r="AJ1459" i="5"/>
  <c r="AI1459" i="5"/>
  <c r="AG1459" i="5"/>
  <c r="AF1459" i="5"/>
  <c r="AJ1458" i="5"/>
  <c r="AI1458" i="5"/>
  <c r="AG1458" i="5"/>
  <c r="AF1458" i="5"/>
  <c r="AJ1457" i="5"/>
  <c r="AI1457" i="5"/>
  <c r="AG1457" i="5"/>
  <c r="AF1457" i="5"/>
  <c r="AJ1456" i="5"/>
  <c r="AI1456" i="5"/>
  <c r="AG1456" i="5"/>
  <c r="AF1456" i="5"/>
  <c r="AJ1455" i="5"/>
  <c r="AI1455" i="5"/>
  <c r="AG1455" i="5"/>
  <c r="AF1455" i="5"/>
  <c r="AJ1454" i="5"/>
  <c r="AI1454" i="5"/>
  <c r="AG1454" i="5"/>
  <c r="AH1454" i="5" s="1"/>
  <c r="AF1454" i="5"/>
  <c r="AJ1453" i="5"/>
  <c r="AI1453" i="5"/>
  <c r="AG1453" i="5"/>
  <c r="AF1453" i="5"/>
  <c r="AJ1452" i="5"/>
  <c r="AI1452" i="5"/>
  <c r="AG1452" i="5"/>
  <c r="AF1452" i="5"/>
  <c r="AJ1451" i="5"/>
  <c r="AI1451" i="5"/>
  <c r="AG1451" i="5"/>
  <c r="AF1451" i="5"/>
  <c r="AJ1450" i="5"/>
  <c r="AI1450" i="5"/>
  <c r="AG1450" i="5"/>
  <c r="AH1450" i="5" s="1"/>
  <c r="AF1450" i="5"/>
  <c r="AJ1449" i="5"/>
  <c r="AI1449" i="5"/>
  <c r="AG1449" i="5"/>
  <c r="AF1449" i="5"/>
  <c r="AJ1448" i="5"/>
  <c r="AI1448" i="5"/>
  <c r="AG1448" i="5"/>
  <c r="AF1448" i="5"/>
  <c r="AJ1447" i="5"/>
  <c r="AI1447" i="5"/>
  <c r="AG1447" i="5"/>
  <c r="AF1447" i="5"/>
  <c r="AJ1446" i="5"/>
  <c r="AI1446" i="5"/>
  <c r="AG1446" i="5"/>
  <c r="AH1446" i="5" s="1"/>
  <c r="AF1446" i="5"/>
  <c r="AJ1445" i="5"/>
  <c r="AI1445" i="5"/>
  <c r="AG1445" i="5"/>
  <c r="AH1445" i="5" s="1"/>
  <c r="AF1445" i="5"/>
  <c r="AJ1444" i="5"/>
  <c r="AI1444" i="5"/>
  <c r="AG1444" i="5"/>
  <c r="AF1444" i="5"/>
  <c r="AJ1443" i="5"/>
  <c r="AI1443" i="5"/>
  <c r="AG1443" i="5"/>
  <c r="AH1443" i="5" s="1"/>
  <c r="AF1443" i="5"/>
  <c r="AJ1442" i="5"/>
  <c r="AI1442" i="5"/>
  <c r="AG1442" i="5"/>
  <c r="AH1442" i="5" s="1"/>
  <c r="AF1442" i="5"/>
  <c r="AJ1441" i="5"/>
  <c r="AI1441" i="5"/>
  <c r="AG1441" i="5"/>
  <c r="AH1441" i="5" s="1"/>
  <c r="AF1441" i="5"/>
  <c r="AJ1440" i="5"/>
  <c r="AI1440" i="5"/>
  <c r="AG1440" i="5"/>
  <c r="AF1440" i="5"/>
  <c r="AJ1439" i="5"/>
  <c r="AI1439" i="5"/>
  <c r="AG1439" i="5"/>
  <c r="AH1439" i="5" s="1"/>
  <c r="AF1439" i="5"/>
  <c r="AJ1438" i="5"/>
  <c r="AI1438" i="5"/>
  <c r="AG1438" i="5"/>
  <c r="AF1438" i="5"/>
  <c r="AH1438" i="5" s="1"/>
  <c r="AJ1437" i="5"/>
  <c r="AI1437" i="5"/>
  <c r="AG1437" i="5"/>
  <c r="AF1437" i="5"/>
  <c r="AJ1436" i="5"/>
  <c r="AI1436" i="5"/>
  <c r="AG1436" i="5"/>
  <c r="AF1436" i="5"/>
  <c r="AJ1435" i="5"/>
  <c r="AI1435" i="5"/>
  <c r="AG1435" i="5"/>
  <c r="AH1435" i="5" s="1"/>
  <c r="AF1435" i="5"/>
  <c r="AJ1434" i="5"/>
  <c r="AI1434" i="5"/>
  <c r="AG1434" i="5"/>
  <c r="AF1434" i="5"/>
  <c r="AJ1433" i="5"/>
  <c r="AI1433" i="5"/>
  <c r="AG1433" i="5"/>
  <c r="AF1433" i="5"/>
  <c r="AJ1432" i="5"/>
  <c r="AI1432" i="5"/>
  <c r="AG1432" i="5"/>
  <c r="AF1432" i="5"/>
  <c r="AJ1431" i="5"/>
  <c r="AI1431" i="5"/>
  <c r="AG1431" i="5"/>
  <c r="AH1431" i="5" s="1"/>
  <c r="AF1431" i="5"/>
  <c r="AJ1430" i="5"/>
  <c r="AI1430" i="5"/>
  <c r="AG1430" i="5"/>
  <c r="AF1430" i="5"/>
  <c r="AJ1429" i="5"/>
  <c r="AI1429" i="5"/>
  <c r="AG1429" i="5"/>
  <c r="AH1429" i="5" s="1"/>
  <c r="AF1429" i="5"/>
  <c r="AJ1428" i="5"/>
  <c r="AI1428" i="5"/>
  <c r="AG1428" i="5"/>
  <c r="AF1428" i="5"/>
  <c r="AJ1427" i="5"/>
  <c r="AK1427" i="5" s="1"/>
  <c r="AI1427" i="5"/>
  <c r="AG1427" i="5"/>
  <c r="AH1427" i="5" s="1"/>
  <c r="AF1427" i="5"/>
  <c r="AJ1426" i="5"/>
  <c r="AI1426" i="5"/>
  <c r="AG1426" i="5"/>
  <c r="AF1426" i="5"/>
  <c r="AH1426" i="5" s="1"/>
  <c r="AJ1425" i="5"/>
  <c r="AI1425" i="5"/>
  <c r="AG1425" i="5"/>
  <c r="AF1425" i="5"/>
  <c r="AJ1424" i="5"/>
  <c r="AI1424" i="5"/>
  <c r="AG1424" i="5"/>
  <c r="AF1424" i="5"/>
  <c r="AJ1423" i="5"/>
  <c r="AI1423" i="5"/>
  <c r="AG1423" i="5"/>
  <c r="AF1423" i="5"/>
  <c r="AJ1422" i="5"/>
  <c r="AI1422" i="5"/>
  <c r="AG1422" i="5"/>
  <c r="AF1422" i="5"/>
  <c r="AJ1421" i="5"/>
  <c r="AI1421" i="5"/>
  <c r="AG1421" i="5"/>
  <c r="AF1421" i="5"/>
  <c r="AJ1420" i="5"/>
  <c r="AI1420" i="5"/>
  <c r="AG1420" i="5"/>
  <c r="AF1420" i="5"/>
  <c r="AJ1419" i="5"/>
  <c r="AI1419" i="5"/>
  <c r="AG1419" i="5"/>
  <c r="AF1419" i="5"/>
  <c r="AJ1418" i="5"/>
  <c r="AI1418" i="5"/>
  <c r="AG1418" i="5"/>
  <c r="AF1418" i="5"/>
  <c r="AJ1417" i="5"/>
  <c r="AI1417" i="5"/>
  <c r="AG1417" i="5"/>
  <c r="AF1417" i="5"/>
  <c r="AJ1416" i="5"/>
  <c r="AI1416" i="5"/>
  <c r="AG1416" i="5"/>
  <c r="AF1416" i="5"/>
  <c r="AJ1415" i="5"/>
  <c r="AI1415" i="5"/>
  <c r="AG1415" i="5"/>
  <c r="AF1415" i="5"/>
  <c r="AJ1414" i="5"/>
  <c r="AI1414" i="5"/>
  <c r="AG1414" i="5"/>
  <c r="AF1414" i="5"/>
  <c r="AJ1413" i="5"/>
  <c r="AI1413" i="5"/>
  <c r="AG1413" i="5"/>
  <c r="AF1413" i="5"/>
  <c r="AH1413" i="5" s="1"/>
  <c r="AK1413" i="5" s="1"/>
  <c r="AJ1412" i="5"/>
  <c r="AI1412" i="5"/>
  <c r="AG1412" i="5"/>
  <c r="AF1412" i="5"/>
  <c r="AJ1411" i="5"/>
  <c r="AI1411" i="5"/>
  <c r="AG1411" i="5"/>
  <c r="AF1411" i="5"/>
  <c r="AJ1410" i="5"/>
  <c r="AI1410" i="5"/>
  <c r="AG1410" i="5"/>
  <c r="AH1410" i="5" s="1"/>
  <c r="AF1410" i="5"/>
  <c r="AJ1409" i="5"/>
  <c r="AI1409" i="5"/>
  <c r="AG1409" i="5"/>
  <c r="AF1409" i="5"/>
  <c r="AJ1408" i="5"/>
  <c r="AI1408" i="5"/>
  <c r="AG1408" i="5"/>
  <c r="AF1408" i="5"/>
  <c r="AJ1407" i="5"/>
  <c r="AI1407" i="5"/>
  <c r="AG1407" i="5"/>
  <c r="AF1407" i="5"/>
  <c r="AJ1406" i="5"/>
  <c r="AI1406" i="5"/>
  <c r="AH1406" i="5"/>
  <c r="AG1406" i="5"/>
  <c r="AF1406" i="5"/>
  <c r="AJ1405" i="5"/>
  <c r="AI1405" i="5"/>
  <c r="AG1405" i="5"/>
  <c r="AF1405" i="5"/>
  <c r="AJ1404" i="5"/>
  <c r="AI1404" i="5"/>
  <c r="AG1404" i="5"/>
  <c r="AF1404" i="5"/>
  <c r="AJ1403" i="5"/>
  <c r="AI1403" i="5"/>
  <c r="AG1403" i="5"/>
  <c r="AF1403" i="5"/>
  <c r="AJ1402" i="5"/>
  <c r="AI1402" i="5"/>
  <c r="AG1402" i="5"/>
  <c r="AF1402" i="5"/>
  <c r="AJ1401" i="5"/>
  <c r="AI1401" i="5"/>
  <c r="AG1401" i="5"/>
  <c r="AF1401" i="5"/>
  <c r="AJ1400" i="5"/>
  <c r="AI1400" i="5"/>
  <c r="AG1400" i="5"/>
  <c r="AF1400" i="5"/>
  <c r="AJ1399" i="5"/>
  <c r="AI1399" i="5"/>
  <c r="AG1399" i="5"/>
  <c r="AF1399" i="5"/>
  <c r="AJ1398" i="5"/>
  <c r="AI1398" i="5"/>
  <c r="AG1398" i="5"/>
  <c r="AF1398" i="5"/>
  <c r="AJ1397" i="5"/>
  <c r="AI1397" i="5"/>
  <c r="AG1397" i="5"/>
  <c r="AF1397" i="5"/>
  <c r="AH1397" i="5" s="1"/>
  <c r="AJ1396" i="5"/>
  <c r="AI1396" i="5"/>
  <c r="AG1396" i="5"/>
  <c r="AF1396" i="5"/>
  <c r="AJ1395" i="5"/>
  <c r="AI1395" i="5"/>
  <c r="AG1395" i="5"/>
  <c r="AF1395" i="5"/>
  <c r="AJ1394" i="5"/>
  <c r="AI1394" i="5"/>
  <c r="AG1394" i="5"/>
  <c r="AF1394" i="5"/>
  <c r="AJ1393" i="5"/>
  <c r="AI1393" i="5"/>
  <c r="AG1393" i="5"/>
  <c r="AF1393" i="5"/>
  <c r="AJ1392" i="5"/>
  <c r="AI1392" i="5"/>
  <c r="AG1392" i="5"/>
  <c r="AF1392" i="5"/>
  <c r="AJ1391" i="5"/>
  <c r="AI1391" i="5"/>
  <c r="AG1391" i="5"/>
  <c r="AF1391" i="5"/>
  <c r="AJ1390" i="5"/>
  <c r="AI1390" i="5"/>
  <c r="AG1390" i="5"/>
  <c r="AF1390" i="5"/>
  <c r="AJ1389" i="5"/>
  <c r="AI1389" i="5"/>
  <c r="AG1389" i="5"/>
  <c r="AF1389" i="5"/>
  <c r="AJ1388" i="5"/>
  <c r="AI1388" i="5"/>
  <c r="AG1388" i="5"/>
  <c r="AF1388" i="5"/>
  <c r="AJ1387" i="5"/>
  <c r="AI1387" i="5"/>
  <c r="AG1387" i="5"/>
  <c r="AF1387" i="5"/>
  <c r="AJ1386" i="5"/>
  <c r="AI1386" i="5"/>
  <c r="AG1386" i="5"/>
  <c r="AF1386" i="5"/>
  <c r="AJ1385" i="5"/>
  <c r="AI1385" i="5"/>
  <c r="AG1385" i="5"/>
  <c r="AF1385" i="5"/>
  <c r="AJ1384" i="5"/>
  <c r="AI1384" i="5"/>
  <c r="AG1384" i="5"/>
  <c r="AF1384" i="5"/>
  <c r="AJ1383" i="5"/>
  <c r="AI1383" i="5"/>
  <c r="AG1383" i="5"/>
  <c r="AF1383" i="5"/>
  <c r="AJ1382" i="5"/>
  <c r="AI1382" i="5"/>
  <c r="AG1382" i="5"/>
  <c r="AF1382" i="5"/>
  <c r="AJ1381" i="5"/>
  <c r="AI1381" i="5"/>
  <c r="AG1381" i="5"/>
  <c r="AF1381" i="5"/>
  <c r="AJ1380" i="5"/>
  <c r="AI1380" i="5"/>
  <c r="AG1380" i="5"/>
  <c r="AF1380" i="5"/>
  <c r="AJ1379" i="5"/>
  <c r="AI1379" i="5"/>
  <c r="AG1379" i="5"/>
  <c r="AF1379" i="5"/>
  <c r="AJ1378" i="5"/>
  <c r="AI1378" i="5"/>
  <c r="AG1378" i="5"/>
  <c r="AF1378" i="5"/>
  <c r="AJ1377" i="5"/>
  <c r="AI1377" i="5"/>
  <c r="AG1377" i="5"/>
  <c r="AF1377" i="5"/>
  <c r="AJ1376" i="5"/>
  <c r="AI1376" i="5"/>
  <c r="AG1376" i="5"/>
  <c r="AF1376" i="5"/>
  <c r="AJ1375" i="5"/>
  <c r="AI1375" i="5"/>
  <c r="AG1375" i="5"/>
  <c r="AF1375" i="5"/>
  <c r="AJ1374" i="5"/>
  <c r="AI1374" i="5"/>
  <c r="AG1374" i="5"/>
  <c r="AF1374" i="5"/>
  <c r="AJ1373" i="5"/>
  <c r="AI1373" i="5"/>
  <c r="AG1373" i="5"/>
  <c r="AF1373" i="5"/>
  <c r="AJ1372" i="5"/>
  <c r="AI1372" i="5"/>
  <c r="AG1372" i="5"/>
  <c r="AF1372" i="5"/>
  <c r="AJ1371" i="5"/>
  <c r="AI1371" i="5"/>
  <c r="AG1371" i="5"/>
  <c r="AF1371" i="5"/>
  <c r="AJ1370" i="5"/>
  <c r="AI1370" i="5"/>
  <c r="AG1370" i="5"/>
  <c r="AF1370" i="5"/>
  <c r="AJ1369" i="5"/>
  <c r="AI1369" i="5"/>
  <c r="AG1369" i="5"/>
  <c r="AF1369" i="5"/>
  <c r="AJ1368" i="5"/>
  <c r="AI1368" i="5"/>
  <c r="AG1368" i="5"/>
  <c r="AF1368" i="5"/>
  <c r="AJ1367" i="5"/>
  <c r="AI1367" i="5"/>
  <c r="AG1367" i="5"/>
  <c r="AF1367" i="5"/>
  <c r="AJ1366" i="5"/>
  <c r="AI1366" i="5"/>
  <c r="AG1366" i="5"/>
  <c r="AF1366" i="5"/>
  <c r="AJ1365" i="5"/>
  <c r="AI1365" i="5"/>
  <c r="AG1365" i="5"/>
  <c r="AF1365" i="5"/>
  <c r="AJ1364" i="5"/>
  <c r="AI1364" i="5"/>
  <c r="AG1364" i="5"/>
  <c r="AF1364" i="5"/>
  <c r="AJ1363" i="5"/>
  <c r="AI1363" i="5"/>
  <c r="AG1363" i="5"/>
  <c r="AF1363" i="5"/>
  <c r="AJ1362" i="5"/>
  <c r="AI1362" i="5"/>
  <c r="AG1362" i="5"/>
  <c r="AF1362" i="5"/>
  <c r="AJ1361" i="5"/>
  <c r="AI1361" i="5"/>
  <c r="AG1361" i="5"/>
  <c r="AF1361" i="5"/>
  <c r="AJ1360" i="5"/>
  <c r="AI1360" i="5"/>
  <c r="AG1360" i="5"/>
  <c r="AF1360" i="5"/>
  <c r="AJ1359" i="5"/>
  <c r="AI1359" i="5"/>
  <c r="AG1359" i="5"/>
  <c r="AF1359" i="5"/>
  <c r="AJ1358" i="5"/>
  <c r="AI1358" i="5"/>
  <c r="AG1358" i="5"/>
  <c r="AH1358" i="5" s="1"/>
  <c r="AF1358" i="5"/>
  <c r="AJ1357" i="5"/>
  <c r="AI1357" i="5"/>
  <c r="AG1357" i="5"/>
  <c r="AF1357" i="5"/>
  <c r="AJ1356" i="5"/>
  <c r="AI1356" i="5"/>
  <c r="AG1356" i="5"/>
  <c r="AF1356" i="5"/>
  <c r="AJ1355" i="5"/>
  <c r="AI1355" i="5"/>
  <c r="AG1355" i="5"/>
  <c r="AF1355" i="5"/>
  <c r="AJ1354" i="5"/>
  <c r="AI1354" i="5"/>
  <c r="AG1354" i="5"/>
  <c r="AF1354" i="5"/>
  <c r="AJ1353" i="5"/>
  <c r="AI1353" i="5"/>
  <c r="AG1353" i="5"/>
  <c r="AF1353" i="5"/>
  <c r="AJ1352" i="5"/>
  <c r="AI1352" i="5"/>
  <c r="AG1352" i="5"/>
  <c r="AF1352" i="5"/>
  <c r="AJ1351" i="5"/>
  <c r="AI1351" i="5"/>
  <c r="AG1351" i="5"/>
  <c r="AF1351" i="5"/>
  <c r="AJ1350" i="5"/>
  <c r="AI1350" i="5"/>
  <c r="AG1350" i="5"/>
  <c r="AF1350" i="5"/>
  <c r="AJ1349" i="5"/>
  <c r="AI1349" i="5"/>
  <c r="AG1349" i="5"/>
  <c r="AF1349" i="5"/>
  <c r="AJ1348" i="5"/>
  <c r="AI1348" i="5"/>
  <c r="AG1348" i="5"/>
  <c r="AF1348" i="5"/>
  <c r="AJ1347" i="5"/>
  <c r="AI1347" i="5"/>
  <c r="AG1347" i="5"/>
  <c r="AF1347" i="5"/>
  <c r="AJ1346" i="5"/>
  <c r="AI1346" i="5"/>
  <c r="AG1346" i="5"/>
  <c r="AF1346" i="5"/>
  <c r="AJ1345" i="5"/>
  <c r="AI1345" i="5"/>
  <c r="AG1345" i="5"/>
  <c r="AF1345" i="5"/>
  <c r="AJ1344" i="5"/>
  <c r="AI1344" i="5"/>
  <c r="AG1344" i="5"/>
  <c r="AF1344" i="5"/>
  <c r="AJ1343" i="5"/>
  <c r="AI1343" i="5"/>
  <c r="AG1343" i="5"/>
  <c r="AF1343" i="5"/>
  <c r="AJ1342" i="5"/>
  <c r="AI1342" i="5"/>
  <c r="AG1342" i="5"/>
  <c r="AF1342" i="5"/>
  <c r="AJ1341" i="5"/>
  <c r="AI1341" i="5"/>
  <c r="AG1341" i="5"/>
  <c r="AF1341" i="5"/>
  <c r="AJ1340" i="5"/>
  <c r="AI1340" i="5"/>
  <c r="AG1340" i="5"/>
  <c r="AF1340" i="5"/>
  <c r="AJ1339" i="5"/>
  <c r="AI1339" i="5"/>
  <c r="AG1339" i="5"/>
  <c r="AF1339" i="5"/>
  <c r="AJ1338" i="5"/>
  <c r="AI1338" i="5"/>
  <c r="AG1338" i="5"/>
  <c r="AF1338" i="5"/>
  <c r="AJ1337" i="5"/>
  <c r="AI1337" i="5"/>
  <c r="AG1337" i="5"/>
  <c r="AF1337" i="5"/>
  <c r="AJ1336" i="5"/>
  <c r="AI1336" i="5"/>
  <c r="AG1336" i="5"/>
  <c r="AF1336" i="5"/>
  <c r="AJ1335" i="5"/>
  <c r="AI1335" i="5"/>
  <c r="AG1335" i="5"/>
  <c r="AF1335" i="5"/>
  <c r="AJ1334" i="5"/>
  <c r="AI1334" i="5"/>
  <c r="AG1334" i="5"/>
  <c r="AF1334" i="5"/>
  <c r="AJ1333" i="5"/>
  <c r="AI1333" i="5"/>
  <c r="AG1333" i="5"/>
  <c r="AF1333" i="5"/>
  <c r="AJ1332" i="5"/>
  <c r="AI1332" i="5"/>
  <c r="AG1332" i="5"/>
  <c r="AF1332" i="5"/>
  <c r="AJ1331" i="5"/>
  <c r="AI1331" i="5"/>
  <c r="AG1331" i="5"/>
  <c r="AF1331" i="5"/>
  <c r="AJ1330" i="5"/>
  <c r="AI1330" i="5"/>
  <c r="AG1330" i="5"/>
  <c r="AH1330" i="5" s="1"/>
  <c r="AF1330" i="5"/>
  <c r="AJ1329" i="5"/>
  <c r="AI1329" i="5"/>
  <c r="AG1329" i="5"/>
  <c r="AF1329" i="5"/>
  <c r="AJ1328" i="5"/>
  <c r="AI1328" i="5"/>
  <c r="AG1328" i="5"/>
  <c r="AF1328" i="5"/>
  <c r="AJ1327" i="5"/>
  <c r="AI1327" i="5"/>
  <c r="AG1327" i="5"/>
  <c r="AF1327" i="5"/>
  <c r="AJ1326" i="5"/>
  <c r="AI1326" i="5"/>
  <c r="AG1326" i="5"/>
  <c r="AF1326" i="5"/>
  <c r="AJ1325" i="5"/>
  <c r="AI1325" i="5"/>
  <c r="AG1325" i="5"/>
  <c r="AF1325" i="5"/>
  <c r="AJ1324" i="5"/>
  <c r="AI1324" i="5"/>
  <c r="AG1324" i="5"/>
  <c r="AF1324" i="5"/>
  <c r="AJ1323" i="5"/>
  <c r="AI1323" i="5"/>
  <c r="AG1323" i="5"/>
  <c r="AH1323" i="5" s="1"/>
  <c r="AF1323" i="5"/>
  <c r="AJ1322" i="5"/>
  <c r="AI1322" i="5"/>
  <c r="AG1322" i="5"/>
  <c r="AF1322" i="5"/>
  <c r="AJ1321" i="5"/>
  <c r="AI1321" i="5"/>
  <c r="AG1321" i="5"/>
  <c r="AF1321" i="5"/>
  <c r="AJ1320" i="5"/>
  <c r="AI1320" i="5"/>
  <c r="AG1320" i="5"/>
  <c r="AF1320" i="5"/>
  <c r="AJ1319" i="5"/>
  <c r="AI1319" i="5"/>
  <c r="AG1319" i="5"/>
  <c r="AF1319" i="5"/>
  <c r="AJ1318" i="5"/>
  <c r="AI1318" i="5"/>
  <c r="AG1318" i="5"/>
  <c r="AF1318" i="5"/>
  <c r="AJ1317" i="5"/>
  <c r="AI1317" i="5"/>
  <c r="AG1317" i="5"/>
  <c r="AF1317" i="5"/>
  <c r="AJ1316" i="5"/>
  <c r="AI1316" i="5"/>
  <c r="AG1316" i="5"/>
  <c r="AF1316" i="5"/>
  <c r="AJ1315" i="5"/>
  <c r="AI1315" i="5"/>
  <c r="AG1315" i="5"/>
  <c r="AF1315" i="5"/>
  <c r="AJ1314" i="5"/>
  <c r="AI1314" i="5"/>
  <c r="AG1314" i="5"/>
  <c r="AF1314" i="5"/>
  <c r="AJ1313" i="5"/>
  <c r="AI1313" i="5"/>
  <c r="AG1313" i="5"/>
  <c r="AF1313" i="5"/>
  <c r="AJ1312" i="5"/>
  <c r="AI1312" i="5"/>
  <c r="AG1312" i="5"/>
  <c r="AF1312" i="5"/>
  <c r="AJ1311" i="5"/>
  <c r="AI1311" i="5"/>
  <c r="AG1311" i="5"/>
  <c r="AH1311" i="5" s="1"/>
  <c r="AF1311" i="5"/>
  <c r="AJ1310" i="5"/>
  <c r="AI1310" i="5"/>
  <c r="AG1310" i="5"/>
  <c r="AF1310" i="5"/>
  <c r="AJ1309" i="5"/>
  <c r="AI1309" i="5"/>
  <c r="AG1309" i="5"/>
  <c r="AF1309" i="5"/>
  <c r="AJ1308" i="5"/>
  <c r="AI1308" i="5"/>
  <c r="AG1308" i="5"/>
  <c r="AF1308" i="5"/>
  <c r="AJ1307" i="5"/>
  <c r="AI1307" i="5"/>
  <c r="AG1307" i="5"/>
  <c r="AH1307" i="5" s="1"/>
  <c r="AF1307" i="5"/>
  <c r="AJ1306" i="5"/>
  <c r="AI1306" i="5"/>
  <c r="AH1306" i="5"/>
  <c r="AG1306" i="5"/>
  <c r="AF1306" i="5"/>
  <c r="AJ1305" i="5"/>
  <c r="AI1305" i="5"/>
  <c r="AG1305" i="5"/>
  <c r="AF1305" i="5"/>
  <c r="AH1305" i="5" s="1"/>
  <c r="AJ1304" i="5"/>
  <c r="AI1304" i="5"/>
  <c r="AG1304" i="5"/>
  <c r="AF1304" i="5"/>
  <c r="AJ1303" i="5"/>
  <c r="AI1303" i="5"/>
  <c r="AG1303" i="5"/>
  <c r="AF1303" i="5"/>
  <c r="AH1303" i="5" s="1"/>
  <c r="AJ1302" i="5"/>
  <c r="AI1302" i="5"/>
  <c r="AG1302" i="5"/>
  <c r="AH1302" i="5" s="1"/>
  <c r="AF1302" i="5"/>
  <c r="AJ1301" i="5"/>
  <c r="AI1301" i="5"/>
  <c r="AG1301" i="5"/>
  <c r="AF1301" i="5"/>
  <c r="AJ1300" i="5"/>
  <c r="AI1300" i="5"/>
  <c r="AG1300" i="5"/>
  <c r="AF1300" i="5"/>
  <c r="AJ1299" i="5"/>
  <c r="AI1299" i="5"/>
  <c r="AG1299" i="5"/>
  <c r="AH1299" i="5" s="1"/>
  <c r="AF1299" i="5"/>
  <c r="AJ1298" i="5"/>
  <c r="AI1298" i="5"/>
  <c r="AG1298" i="5"/>
  <c r="AF1298" i="5"/>
  <c r="AH1298" i="5" s="1"/>
  <c r="AJ1297" i="5"/>
  <c r="AI1297" i="5"/>
  <c r="AG1297" i="5"/>
  <c r="AF1297" i="5"/>
  <c r="AJ1296" i="5"/>
  <c r="AI1296" i="5"/>
  <c r="AG1296" i="5"/>
  <c r="AF1296" i="5"/>
  <c r="AJ1295" i="5"/>
  <c r="AI1295" i="5"/>
  <c r="AG1295" i="5"/>
  <c r="AF1295" i="5"/>
  <c r="AJ1294" i="5"/>
  <c r="AI1294" i="5"/>
  <c r="AG1294" i="5"/>
  <c r="AF1294" i="5"/>
  <c r="AJ1293" i="5"/>
  <c r="AI1293" i="5"/>
  <c r="AG1293" i="5"/>
  <c r="AF1293" i="5"/>
  <c r="AJ1292" i="5"/>
  <c r="AI1292" i="5"/>
  <c r="AG1292" i="5"/>
  <c r="AF1292" i="5"/>
  <c r="AJ1291" i="5"/>
  <c r="AI1291" i="5"/>
  <c r="AG1291" i="5"/>
  <c r="AH1291" i="5" s="1"/>
  <c r="AF1291" i="5"/>
  <c r="AJ1290" i="5"/>
  <c r="AI1290" i="5"/>
  <c r="AG1290" i="5"/>
  <c r="AF1290" i="5"/>
  <c r="AJ1289" i="5"/>
  <c r="AI1289" i="5"/>
  <c r="AG1289" i="5"/>
  <c r="AF1289" i="5"/>
  <c r="AJ1288" i="5"/>
  <c r="AI1288" i="5"/>
  <c r="AG1288" i="5"/>
  <c r="AF1288" i="5"/>
  <c r="AJ1287" i="5"/>
  <c r="AI1287" i="5"/>
  <c r="AG1287" i="5"/>
  <c r="AF1287" i="5"/>
  <c r="AJ1286" i="5"/>
  <c r="AI1286" i="5"/>
  <c r="AG1286" i="5"/>
  <c r="AF1286" i="5"/>
  <c r="AJ1285" i="5"/>
  <c r="AI1285" i="5"/>
  <c r="AG1285" i="5"/>
  <c r="AF1285" i="5"/>
  <c r="AJ1284" i="5"/>
  <c r="AI1284" i="5"/>
  <c r="AG1284" i="5"/>
  <c r="AF1284" i="5"/>
  <c r="AH1284" i="5" s="1"/>
  <c r="AJ1283" i="5"/>
  <c r="AI1283" i="5"/>
  <c r="AG1283" i="5"/>
  <c r="AF1283" i="5"/>
  <c r="AJ1282" i="5"/>
  <c r="AI1282" i="5"/>
  <c r="AG1282" i="5"/>
  <c r="AF1282" i="5"/>
  <c r="AJ1281" i="5"/>
  <c r="AI1281" i="5"/>
  <c r="AG1281" i="5"/>
  <c r="AF1281" i="5"/>
  <c r="AJ1280" i="5"/>
  <c r="AI1280" i="5"/>
  <c r="AG1280" i="5"/>
  <c r="AH1280" i="5" s="1"/>
  <c r="AK1280" i="5" s="1"/>
  <c r="AF1280" i="5"/>
  <c r="AJ1279" i="5"/>
  <c r="AI1279" i="5"/>
  <c r="AH1279" i="5"/>
  <c r="AG1279" i="5"/>
  <c r="AF1279" i="5"/>
  <c r="AJ1278" i="5"/>
  <c r="AI1278" i="5"/>
  <c r="AG1278" i="5"/>
  <c r="AF1278" i="5"/>
  <c r="AJ1277" i="5"/>
  <c r="AI1277" i="5"/>
  <c r="AG1277" i="5"/>
  <c r="AF1277" i="5"/>
  <c r="AJ1276" i="5"/>
  <c r="AI1276" i="5"/>
  <c r="AG1276" i="5"/>
  <c r="AF1276" i="5"/>
  <c r="AH1276" i="5" s="1"/>
  <c r="AJ1275" i="5"/>
  <c r="AI1275" i="5"/>
  <c r="AG1275" i="5"/>
  <c r="AF1275" i="5"/>
  <c r="AJ1274" i="5"/>
  <c r="AI1274" i="5"/>
  <c r="AG1274" i="5"/>
  <c r="AF1274" i="5"/>
  <c r="AJ1273" i="5"/>
  <c r="AI1273" i="5"/>
  <c r="AG1273" i="5"/>
  <c r="AF1273" i="5"/>
  <c r="AJ1272" i="5"/>
  <c r="AI1272" i="5"/>
  <c r="AG1272" i="5"/>
  <c r="AF1272" i="5"/>
  <c r="AJ1271" i="5"/>
  <c r="AI1271" i="5"/>
  <c r="AG1271" i="5"/>
  <c r="AF1271" i="5"/>
  <c r="AJ1270" i="5"/>
  <c r="AI1270" i="5"/>
  <c r="AG1270" i="5"/>
  <c r="AF1270" i="5"/>
  <c r="AJ1269" i="5"/>
  <c r="AI1269" i="5"/>
  <c r="AG1269" i="5"/>
  <c r="AF1269" i="5"/>
  <c r="AJ1268" i="5"/>
  <c r="AI1268" i="5"/>
  <c r="AG1268" i="5"/>
  <c r="AF1268" i="5"/>
  <c r="AJ1267" i="5"/>
  <c r="AI1267" i="5"/>
  <c r="AG1267" i="5"/>
  <c r="AF1267" i="5"/>
  <c r="AJ1266" i="5"/>
  <c r="AI1266" i="5"/>
  <c r="AG1266" i="5"/>
  <c r="AF1266" i="5"/>
  <c r="AJ1265" i="5"/>
  <c r="AI1265" i="5"/>
  <c r="AG1265" i="5"/>
  <c r="AF1265" i="5"/>
  <c r="AJ1264" i="5"/>
  <c r="AI1264" i="5"/>
  <c r="AG1264" i="5"/>
  <c r="AF1264" i="5"/>
  <c r="AJ1263" i="5"/>
  <c r="AI1263" i="5"/>
  <c r="AG1263" i="5"/>
  <c r="AF1263" i="5"/>
  <c r="AJ1262" i="5"/>
  <c r="AI1262" i="5"/>
  <c r="AG1262" i="5"/>
  <c r="AF1262" i="5"/>
  <c r="AJ1261" i="5"/>
  <c r="AI1261" i="5"/>
  <c r="AG1261" i="5"/>
  <c r="AF1261" i="5"/>
  <c r="AJ1260" i="5"/>
  <c r="AI1260" i="5"/>
  <c r="AG1260" i="5"/>
  <c r="AF1260" i="5"/>
  <c r="AH1260" i="5" s="1"/>
  <c r="AK1260" i="5" s="1"/>
  <c r="AJ1259" i="5"/>
  <c r="AI1259" i="5"/>
  <c r="AG1259" i="5"/>
  <c r="AH1259" i="5" s="1"/>
  <c r="AF1259" i="5"/>
  <c r="AJ1258" i="5"/>
  <c r="AI1258" i="5"/>
  <c r="AG1258" i="5"/>
  <c r="AF1258" i="5"/>
  <c r="AJ1257" i="5"/>
  <c r="AI1257" i="5"/>
  <c r="AG1257" i="5"/>
  <c r="AF1257" i="5"/>
  <c r="AJ1256" i="5"/>
  <c r="AI1256" i="5"/>
  <c r="AG1256" i="5"/>
  <c r="AF1256" i="5"/>
  <c r="AJ1255" i="5"/>
  <c r="AI1255" i="5"/>
  <c r="AG1255" i="5"/>
  <c r="AF1255" i="5"/>
  <c r="AJ1254" i="5"/>
  <c r="AI1254" i="5"/>
  <c r="AG1254" i="5"/>
  <c r="AF1254" i="5"/>
  <c r="AJ1253" i="5"/>
  <c r="AI1253" i="5"/>
  <c r="AG1253" i="5"/>
  <c r="AF1253" i="5"/>
  <c r="AJ1252" i="5"/>
  <c r="AI1252" i="5"/>
  <c r="AG1252" i="5"/>
  <c r="AH1252" i="5" s="1"/>
  <c r="AK1252" i="5" s="1"/>
  <c r="AF1252" i="5"/>
  <c r="AJ1251" i="5"/>
  <c r="AI1251" i="5"/>
  <c r="AG1251" i="5"/>
  <c r="AF1251" i="5"/>
  <c r="AJ1250" i="5"/>
  <c r="AI1250" i="5"/>
  <c r="AG1250" i="5"/>
  <c r="AF1250" i="5"/>
  <c r="AJ1249" i="5"/>
  <c r="AI1249" i="5"/>
  <c r="AG1249" i="5"/>
  <c r="AF1249" i="5"/>
  <c r="AJ1248" i="5"/>
  <c r="AI1248" i="5"/>
  <c r="AG1248" i="5"/>
  <c r="AF1248" i="5"/>
  <c r="AJ1247" i="5"/>
  <c r="AI1247" i="5"/>
  <c r="AG1247" i="5"/>
  <c r="AF1247" i="5"/>
  <c r="AH1247" i="5" s="1"/>
  <c r="AJ1246" i="5"/>
  <c r="AI1246" i="5"/>
  <c r="AG1246" i="5"/>
  <c r="AF1246" i="5"/>
  <c r="AJ1245" i="5"/>
  <c r="AI1245" i="5"/>
  <c r="AG1245" i="5"/>
  <c r="AF1245" i="5"/>
  <c r="AJ1244" i="5"/>
  <c r="AI1244" i="5"/>
  <c r="AG1244" i="5"/>
  <c r="AH1244" i="5" s="1"/>
  <c r="AF1244" i="5"/>
  <c r="AJ1243" i="5"/>
  <c r="AI1243" i="5"/>
  <c r="AG1243" i="5"/>
  <c r="AF1243" i="5"/>
  <c r="AJ1242" i="5"/>
  <c r="AI1242" i="5"/>
  <c r="AG1242" i="5"/>
  <c r="AF1242" i="5"/>
  <c r="AJ1241" i="5"/>
  <c r="AI1241" i="5"/>
  <c r="AG1241" i="5"/>
  <c r="AF1241" i="5"/>
  <c r="AJ1240" i="5"/>
  <c r="AI1240" i="5"/>
  <c r="AG1240" i="5"/>
  <c r="AF1240" i="5"/>
  <c r="AJ1239" i="5"/>
  <c r="AI1239" i="5"/>
  <c r="AG1239" i="5"/>
  <c r="AF1239" i="5"/>
  <c r="AJ1238" i="5"/>
  <c r="AI1238" i="5"/>
  <c r="AG1238" i="5"/>
  <c r="AF1238" i="5"/>
  <c r="AJ1237" i="5"/>
  <c r="AI1237" i="5"/>
  <c r="AG1237" i="5"/>
  <c r="AF1237" i="5"/>
  <c r="AJ1236" i="5"/>
  <c r="AI1236" i="5"/>
  <c r="AG1236" i="5"/>
  <c r="AF1236" i="5"/>
  <c r="AJ1235" i="5"/>
  <c r="AI1235" i="5"/>
  <c r="AG1235" i="5"/>
  <c r="AF1235" i="5"/>
  <c r="AJ1234" i="5"/>
  <c r="AI1234" i="5"/>
  <c r="AG1234" i="5"/>
  <c r="AF1234" i="5"/>
  <c r="AJ1233" i="5"/>
  <c r="AI1233" i="5"/>
  <c r="AG1233" i="5"/>
  <c r="AF1233" i="5"/>
  <c r="AJ1232" i="5"/>
  <c r="AI1232" i="5"/>
  <c r="AG1232" i="5"/>
  <c r="AF1232" i="5"/>
  <c r="AJ1231" i="5"/>
  <c r="AI1231" i="5"/>
  <c r="AG1231" i="5"/>
  <c r="AF1231" i="5"/>
  <c r="AJ1230" i="5"/>
  <c r="AI1230" i="5"/>
  <c r="AG1230" i="5"/>
  <c r="AF1230" i="5"/>
  <c r="AJ1229" i="5"/>
  <c r="AI1229" i="5"/>
  <c r="AG1229" i="5"/>
  <c r="AF1229" i="5"/>
  <c r="AJ1228" i="5"/>
  <c r="AI1228" i="5"/>
  <c r="AH1228" i="5"/>
  <c r="AG1228" i="5"/>
  <c r="AF1228" i="5"/>
  <c r="AJ1227" i="5"/>
  <c r="AI1227" i="5"/>
  <c r="AG1227" i="5"/>
  <c r="AF1227" i="5"/>
  <c r="AJ1226" i="5"/>
  <c r="AI1226" i="5"/>
  <c r="AG1226" i="5"/>
  <c r="AF1226" i="5"/>
  <c r="AJ1225" i="5"/>
  <c r="AI1225" i="5"/>
  <c r="AG1225" i="5"/>
  <c r="AF1225" i="5"/>
  <c r="AJ1224" i="5"/>
  <c r="AI1224" i="5"/>
  <c r="AG1224" i="5"/>
  <c r="AH1224" i="5" s="1"/>
  <c r="AF1224" i="5"/>
  <c r="AJ1223" i="5"/>
  <c r="AI1223" i="5"/>
  <c r="AG1223" i="5"/>
  <c r="AF1223" i="5"/>
  <c r="AJ1222" i="5"/>
  <c r="AI1222" i="5"/>
  <c r="AG1222" i="5"/>
  <c r="AF1222" i="5"/>
  <c r="AJ1221" i="5"/>
  <c r="AI1221" i="5"/>
  <c r="AG1221" i="5"/>
  <c r="AF1221" i="5"/>
  <c r="AJ1220" i="5"/>
  <c r="AI1220" i="5"/>
  <c r="AG1220" i="5"/>
  <c r="AF1220" i="5"/>
  <c r="AJ1219" i="5"/>
  <c r="AI1219" i="5"/>
  <c r="AG1219" i="5"/>
  <c r="AF1219" i="5"/>
  <c r="AJ1218" i="5"/>
  <c r="AI1218" i="5"/>
  <c r="AG1218" i="5"/>
  <c r="AF1218" i="5"/>
  <c r="AJ1217" i="5"/>
  <c r="AI1217" i="5"/>
  <c r="AG1217" i="5"/>
  <c r="AF1217" i="5"/>
  <c r="AJ1216" i="5"/>
  <c r="AI1216" i="5"/>
  <c r="AG1216" i="5"/>
  <c r="AF1216" i="5"/>
  <c r="AJ1215" i="5"/>
  <c r="AI1215" i="5"/>
  <c r="AG1215" i="5"/>
  <c r="AF1215" i="5"/>
  <c r="AH1215" i="5" s="1"/>
  <c r="AJ1214" i="5"/>
  <c r="AI1214" i="5"/>
  <c r="AG1214" i="5"/>
  <c r="AF1214" i="5"/>
  <c r="AJ1213" i="5"/>
  <c r="AI1213" i="5"/>
  <c r="AG1213" i="5"/>
  <c r="AF1213" i="5"/>
  <c r="AJ1212" i="5"/>
  <c r="AI1212" i="5"/>
  <c r="AG1212" i="5"/>
  <c r="AF1212" i="5"/>
  <c r="AH1212" i="5" s="1"/>
  <c r="AJ1211" i="5"/>
  <c r="AI1211" i="5"/>
  <c r="AG1211" i="5"/>
  <c r="AF1211" i="5"/>
  <c r="AJ1210" i="5"/>
  <c r="AI1210" i="5"/>
  <c r="AG1210" i="5"/>
  <c r="AF1210" i="5"/>
  <c r="AJ1209" i="5"/>
  <c r="AI1209" i="5"/>
  <c r="AG1209" i="5"/>
  <c r="AF1209" i="5"/>
  <c r="AJ1208" i="5"/>
  <c r="AI1208" i="5"/>
  <c r="AG1208" i="5"/>
  <c r="AF1208" i="5"/>
  <c r="AJ1207" i="5"/>
  <c r="AI1207" i="5"/>
  <c r="AG1207" i="5"/>
  <c r="AF1207" i="5"/>
  <c r="AJ1206" i="5"/>
  <c r="AI1206" i="5"/>
  <c r="AG1206" i="5"/>
  <c r="AF1206" i="5"/>
  <c r="AJ1205" i="5"/>
  <c r="AI1205" i="5"/>
  <c r="AG1205" i="5"/>
  <c r="AF1205" i="5"/>
  <c r="AJ1204" i="5"/>
  <c r="AI1204" i="5"/>
  <c r="AG1204" i="5"/>
  <c r="AF1204" i="5"/>
  <c r="AJ1203" i="5"/>
  <c r="AI1203" i="5"/>
  <c r="AG1203" i="5"/>
  <c r="AF1203" i="5"/>
  <c r="AJ1202" i="5"/>
  <c r="AI1202" i="5"/>
  <c r="AG1202" i="5"/>
  <c r="AF1202" i="5"/>
  <c r="AJ1201" i="5"/>
  <c r="AI1201" i="5"/>
  <c r="AG1201" i="5"/>
  <c r="AF1201" i="5"/>
  <c r="AJ1200" i="5"/>
  <c r="AI1200" i="5"/>
  <c r="AG1200" i="5"/>
  <c r="AH1200" i="5" s="1"/>
  <c r="AF1200" i="5"/>
  <c r="AJ1199" i="5"/>
  <c r="AI1199" i="5"/>
  <c r="AG1199" i="5"/>
  <c r="AF1199" i="5"/>
  <c r="AJ1198" i="5"/>
  <c r="AI1198" i="5"/>
  <c r="AG1198" i="5"/>
  <c r="AF1198" i="5"/>
  <c r="AJ1197" i="5"/>
  <c r="AI1197" i="5"/>
  <c r="AG1197" i="5"/>
  <c r="AF1197" i="5"/>
  <c r="AJ1196" i="5"/>
  <c r="AI1196" i="5"/>
  <c r="AG1196" i="5"/>
  <c r="AF1196" i="5"/>
  <c r="AJ1195" i="5"/>
  <c r="AI1195" i="5"/>
  <c r="AG1195" i="5"/>
  <c r="AF1195" i="5"/>
  <c r="AH1195" i="5" s="1"/>
  <c r="AJ1194" i="5"/>
  <c r="AI1194" i="5"/>
  <c r="AG1194" i="5"/>
  <c r="AF1194" i="5"/>
  <c r="AJ1193" i="5"/>
  <c r="AI1193" i="5"/>
  <c r="AG1193" i="5"/>
  <c r="AF1193" i="5"/>
  <c r="AJ1192" i="5"/>
  <c r="AI1192" i="5"/>
  <c r="AG1192" i="5"/>
  <c r="AH1192" i="5" s="1"/>
  <c r="AF1192" i="5"/>
  <c r="AJ1191" i="5"/>
  <c r="AI1191" i="5"/>
  <c r="AG1191" i="5"/>
  <c r="AF1191" i="5"/>
  <c r="AJ1190" i="5"/>
  <c r="AI1190" i="5"/>
  <c r="AG1190" i="5"/>
  <c r="AF1190" i="5"/>
  <c r="AJ1189" i="5"/>
  <c r="AI1189" i="5"/>
  <c r="AG1189" i="5"/>
  <c r="AF1189" i="5"/>
  <c r="AJ1188" i="5"/>
  <c r="AI1188" i="5"/>
  <c r="AG1188" i="5"/>
  <c r="AH1188" i="5" s="1"/>
  <c r="AF1188" i="5"/>
  <c r="AJ1187" i="5"/>
  <c r="AI1187" i="5"/>
  <c r="AG1187" i="5"/>
  <c r="AF1187" i="5"/>
  <c r="AJ1186" i="5"/>
  <c r="AI1186" i="5"/>
  <c r="AG1186" i="5"/>
  <c r="AF1186" i="5"/>
  <c r="AJ1185" i="5"/>
  <c r="AI1185" i="5"/>
  <c r="AG1185" i="5"/>
  <c r="AF1185" i="5"/>
  <c r="AJ1184" i="5"/>
  <c r="AI1184" i="5"/>
  <c r="AG1184" i="5"/>
  <c r="AF1184" i="5"/>
  <c r="AJ1183" i="5"/>
  <c r="AI1183" i="5"/>
  <c r="AG1183" i="5"/>
  <c r="AF1183" i="5"/>
  <c r="AJ1182" i="5"/>
  <c r="AI1182" i="5"/>
  <c r="AG1182" i="5"/>
  <c r="AF1182" i="5"/>
  <c r="AJ1181" i="5"/>
  <c r="AI1181" i="5"/>
  <c r="AG1181" i="5"/>
  <c r="AF1181" i="5"/>
  <c r="AJ1180" i="5"/>
  <c r="AI1180" i="5"/>
  <c r="AG1180" i="5"/>
  <c r="AF1180" i="5"/>
  <c r="AJ1179" i="5"/>
  <c r="AI1179" i="5"/>
  <c r="AG1179" i="5"/>
  <c r="AF1179" i="5"/>
  <c r="AJ1178" i="5"/>
  <c r="AI1178" i="5"/>
  <c r="AG1178" i="5"/>
  <c r="AF1178" i="5"/>
  <c r="AJ1177" i="5"/>
  <c r="AI1177" i="5"/>
  <c r="AG1177" i="5"/>
  <c r="AF1177" i="5"/>
  <c r="AJ1176" i="5"/>
  <c r="AI1176" i="5"/>
  <c r="AG1176" i="5"/>
  <c r="AH1176" i="5" s="1"/>
  <c r="AF1176" i="5"/>
  <c r="AJ1175" i="5"/>
  <c r="AI1175" i="5"/>
  <c r="AG1175" i="5"/>
  <c r="AF1175" i="5"/>
  <c r="AJ1174" i="5"/>
  <c r="AI1174" i="5"/>
  <c r="AG1174" i="5"/>
  <c r="AF1174" i="5"/>
  <c r="AJ1173" i="5"/>
  <c r="AI1173" i="5"/>
  <c r="AG1173" i="5"/>
  <c r="AF1173" i="5"/>
  <c r="AJ1172" i="5"/>
  <c r="AI1172" i="5"/>
  <c r="AG1172" i="5"/>
  <c r="AH1172" i="5" s="1"/>
  <c r="AF1172" i="5"/>
  <c r="AJ1171" i="5"/>
  <c r="AI1171" i="5"/>
  <c r="AG1171" i="5"/>
  <c r="AH1171" i="5" s="1"/>
  <c r="AK1171" i="5" s="1"/>
  <c r="AF1171" i="5"/>
  <c r="AJ1170" i="5"/>
  <c r="AI1170" i="5"/>
  <c r="AG1170" i="5"/>
  <c r="AF1170" i="5"/>
  <c r="AJ1169" i="5"/>
  <c r="AI1169" i="5"/>
  <c r="AG1169" i="5"/>
  <c r="AF1169" i="5"/>
  <c r="AJ1168" i="5"/>
  <c r="AI1168" i="5"/>
  <c r="AG1168" i="5"/>
  <c r="AH1168" i="5" s="1"/>
  <c r="AF1168" i="5"/>
  <c r="AJ1167" i="5"/>
  <c r="AI1167" i="5"/>
  <c r="AG1167" i="5"/>
  <c r="AF1167" i="5"/>
  <c r="AJ1166" i="5"/>
  <c r="AI1166" i="5"/>
  <c r="AG1166" i="5"/>
  <c r="AF1166" i="5"/>
  <c r="AJ1165" i="5"/>
  <c r="AI1165" i="5"/>
  <c r="AG1165" i="5"/>
  <c r="AF1165" i="5"/>
  <c r="AJ1164" i="5"/>
  <c r="AI1164" i="5"/>
  <c r="AG1164" i="5"/>
  <c r="AH1164" i="5" s="1"/>
  <c r="AF1164" i="5"/>
  <c r="AJ1163" i="5"/>
  <c r="AI1163" i="5"/>
  <c r="AH1163" i="5"/>
  <c r="AG1163" i="5"/>
  <c r="AF1163" i="5"/>
  <c r="AJ1162" i="5"/>
  <c r="AI1162" i="5"/>
  <c r="AG1162" i="5"/>
  <c r="AF1162" i="5"/>
  <c r="AJ1161" i="5"/>
  <c r="AI1161" i="5"/>
  <c r="AG1161" i="5"/>
  <c r="AF1161" i="5"/>
  <c r="AJ1160" i="5"/>
  <c r="AI1160" i="5"/>
  <c r="AG1160" i="5"/>
  <c r="AF1160" i="5"/>
  <c r="AH1160" i="5" s="1"/>
  <c r="AJ1159" i="5"/>
  <c r="AI1159" i="5"/>
  <c r="AG1159" i="5"/>
  <c r="AF1159" i="5"/>
  <c r="AJ1158" i="5"/>
  <c r="AI1158" i="5"/>
  <c r="AG1158" i="5"/>
  <c r="AF1158" i="5"/>
  <c r="AJ1157" i="5"/>
  <c r="AI1157" i="5"/>
  <c r="AG1157" i="5"/>
  <c r="AF1157" i="5"/>
  <c r="AJ1156" i="5"/>
  <c r="AI1156" i="5"/>
  <c r="AG1156" i="5"/>
  <c r="AF1156" i="5"/>
  <c r="AH1156" i="5" s="1"/>
  <c r="AK1156" i="5" s="1"/>
  <c r="AJ1155" i="5"/>
  <c r="AI1155" i="5"/>
  <c r="AG1155" i="5"/>
  <c r="AF1155" i="5"/>
  <c r="AJ1154" i="5"/>
  <c r="AI1154" i="5"/>
  <c r="AG1154" i="5"/>
  <c r="AF1154" i="5"/>
  <c r="AJ1153" i="5"/>
  <c r="AI1153" i="5"/>
  <c r="AG1153" i="5"/>
  <c r="AF1153" i="5"/>
  <c r="AJ1152" i="5"/>
  <c r="AI1152" i="5"/>
  <c r="AG1152" i="5"/>
  <c r="AF1152" i="5"/>
  <c r="AJ1151" i="5"/>
  <c r="AI1151" i="5"/>
  <c r="AG1151" i="5"/>
  <c r="AF1151" i="5"/>
  <c r="AJ1150" i="5"/>
  <c r="AI1150" i="5"/>
  <c r="AG1150" i="5"/>
  <c r="AF1150" i="5"/>
  <c r="AJ1149" i="5"/>
  <c r="AI1149" i="5"/>
  <c r="AG1149" i="5"/>
  <c r="AF1149" i="5"/>
  <c r="AJ1148" i="5"/>
  <c r="AI1148" i="5"/>
  <c r="AG1148" i="5"/>
  <c r="AF1148" i="5"/>
  <c r="AJ1147" i="5"/>
  <c r="AI1147" i="5"/>
  <c r="AG1147" i="5"/>
  <c r="AF1147" i="5"/>
  <c r="AJ1146" i="5"/>
  <c r="AI1146" i="5"/>
  <c r="AG1146" i="5"/>
  <c r="AF1146" i="5"/>
  <c r="AJ1145" i="5"/>
  <c r="AI1145" i="5"/>
  <c r="AG1145" i="5"/>
  <c r="AF1145" i="5"/>
  <c r="AJ1144" i="5"/>
  <c r="AI1144" i="5"/>
  <c r="AG1144" i="5"/>
  <c r="AF1144" i="5"/>
  <c r="AJ1143" i="5"/>
  <c r="AI1143" i="5"/>
  <c r="AG1143" i="5"/>
  <c r="AF1143" i="5"/>
  <c r="AJ1142" i="5"/>
  <c r="AI1142" i="5"/>
  <c r="AG1142" i="5"/>
  <c r="AF1142" i="5"/>
  <c r="AJ1141" i="5"/>
  <c r="AI1141" i="5"/>
  <c r="AG1141" i="5"/>
  <c r="AF1141" i="5"/>
  <c r="AJ1140" i="5"/>
  <c r="AI1140" i="5"/>
  <c r="AG1140" i="5"/>
  <c r="AF1140" i="5"/>
  <c r="AJ1139" i="5"/>
  <c r="AI1139" i="5"/>
  <c r="AG1139" i="5"/>
  <c r="AH1139" i="5" s="1"/>
  <c r="AF1139" i="5"/>
  <c r="AJ1138" i="5"/>
  <c r="AI1138" i="5"/>
  <c r="AG1138" i="5"/>
  <c r="AF1138" i="5"/>
  <c r="AJ1137" i="5"/>
  <c r="AI1137" i="5"/>
  <c r="AG1137" i="5"/>
  <c r="AF1137" i="5"/>
  <c r="AJ1136" i="5"/>
  <c r="AI1136" i="5"/>
  <c r="AG1136" i="5"/>
  <c r="AF1136" i="5"/>
  <c r="AH1136" i="5" s="1"/>
  <c r="AJ1135" i="5"/>
  <c r="AI1135" i="5"/>
  <c r="AG1135" i="5"/>
  <c r="AF1135" i="5"/>
  <c r="AJ1134" i="5"/>
  <c r="AI1134" i="5"/>
  <c r="AG1134" i="5"/>
  <c r="AF1134" i="5"/>
  <c r="AJ1133" i="5"/>
  <c r="AI1133" i="5"/>
  <c r="AG1133" i="5"/>
  <c r="AF1133" i="5"/>
  <c r="AJ1132" i="5"/>
  <c r="AI1132" i="5"/>
  <c r="AG1132" i="5"/>
  <c r="AH1132" i="5" s="1"/>
  <c r="AK1132" i="5" s="1"/>
  <c r="AF1132" i="5"/>
  <c r="AJ1131" i="5"/>
  <c r="AI1131" i="5"/>
  <c r="AG1131" i="5"/>
  <c r="AF1131" i="5"/>
  <c r="AJ1130" i="5"/>
  <c r="AI1130" i="5"/>
  <c r="AG1130" i="5"/>
  <c r="AF1130" i="5"/>
  <c r="AJ1129" i="5"/>
  <c r="AI1129" i="5"/>
  <c r="AG1129" i="5"/>
  <c r="AF1129" i="5"/>
  <c r="AJ1128" i="5"/>
  <c r="AI1128" i="5"/>
  <c r="AG1128" i="5"/>
  <c r="AH1128" i="5" s="1"/>
  <c r="AF1128" i="5"/>
  <c r="AJ1127" i="5"/>
  <c r="AI1127" i="5"/>
  <c r="AG1127" i="5"/>
  <c r="AF1127" i="5"/>
  <c r="AJ1126" i="5"/>
  <c r="AI1126" i="5"/>
  <c r="AG1126" i="5"/>
  <c r="AF1126" i="5"/>
  <c r="AJ1125" i="5"/>
  <c r="AI1125" i="5"/>
  <c r="AG1125" i="5"/>
  <c r="AF1125" i="5"/>
  <c r="AJ1124" i="5"/>
  <c r="AI1124" i="5"/>
  <c r="AG1124" i="5"/>
  <c r="AH1124" i="5" s="1"/>
  <c r="AF1124" i="5"/>
  <c r="AJ1123" i="5"/>
  <c r="AI1123" i="5"/>
  <c r="AH1123" i="5"/>
  <c r="AG1123" i="5"/>
  <c r="AF1123" i="5"/>
  <c r="AJ1122" i="5"/>
  <c r="AI1122" i="5"/>
  <c r="AG1122" i="5"/>
  <c r="AF1122" i="5"/>
  <c r="AJ1121" i="5"/>
  <c r="AI1121" i="5"/>
  <c r="AG1121" i="5"/>
  <c r="AF1121" i="5"/>
  <c r="AJ1120" i="5"/>
  <c r="AI1120" i="5"/>
  <c r="AG1120" i="5"/>
  <c r="AF1120" i="5"/>
  <c r="AJ1119" i="5"/>
  <c r="AI1119" i="5"/>
  <c r="AG1119" i="5"/>
  <c r="AF1119" i="5"/>
  <c r="AJ1118" i="5"/>
  <c r="AI1118" i="5"/>
  <c r="AG1118" i="5"/>
  <c r="AF1118" i="5"/>
  <c r="AJ1117" i="5"/>
  <c r="AI1117" i="5"/>
  <c r="AG1117" i="5"/>
  <c r="AF1117" i="5"/>
  <c r="AJ1116" i="5"/>
  <c r="AI1116" i="5"/>
  <c r="AG1116" i="5"/>
  <c r="AF1116" i="5"/>
  <c r="AJ1115" i="5"/>
  <c r="AI1115" i="5"/>
  <c r="AG1115" i="5"/>
  <c r="AF1115" i="5"/>
  <c r="AJ1114" i="5"/>
  <c r="AI1114" i="5"/>
  <c r="AG1114" i="5"/>
  <c r="AF1114" i="5"/>
  <c r="AJ1113" i="5"/>
  <c r="AI1113" i="5"/>
  <c r="AG1113" i="5"/>
  <c r="AF1113" i="5"/>
  <c r="AJ1112" i="5"/>
  <c r="AI1112" i="5"/>
  <c r="AG1112" i="5"/>
  <c r="AF1112" i="5"/>
  <c r="AJ1111" i="5"/>
  <c r="AI1111" i="5"/>
  <c r="AG1111" i="5"/>
  <c r="AF1111" i="5"/>
  <c r="AJ1110" i="5"/>
  <c r="AI1110" i="5"/>
  <c r="AG1110" i="5"/>
  <c r="AF1110" i="5"/>
  <c r="AJ1109" i="5"/>
  <c r="AI1109" i="5"/>
  <c r="AG1109" i="5"/>
  <c r="AF1109" i="5"/>
  <c r="AJ1108" i="5"/>
  <c r="AI1108" i="5"/>
  <c r="AG1108" i="5"/>
  <c r="AF1108" i="5"/>
  <c r="AJ1107" i="5"/>
  <c r="AI1107" i="5"/>
  <c r="AG1107" i="5"/>
  <c r="AF1107" i="5"/>
  <c r="AJ1106" i="5"/>
  <c r="AI1106" i="5"/>
  <c r="AG1106" i="5"/>
  <c r="AF1106" i="5"/>
  <c r="AJ1105" i="5"/>
  <c r="AI1105" i="5"/>
  <c r="AG1105" i="5"/>
  <c r="AF1105" i="5"/>
  <c r="AJ1104" i="5"/>
  <c r="AI1104" i="5"/>
  <c r="AG1104" i="5"/>
  <c r="AF1104" i="5"/>
  <c r="AH1104" i="5" s="1"/>
  <c r="AJ1103" i="5"/>
  <c r="AI1103" i="5"/>
  <c r="AG1103" i="5"/>
  <c r="AF1103" i="5"/>
  <c r="AH1103" i="5" s="1"/>
  <c r="AJ1102" i="5"/>
  <c r="AI1102" i="5"/>
  <c r="AG1102" i="5"/>
  <c r="AF1102" i="5"/>
  <c r="AJ1101" i="5"/>
  <c r="AI1101" i="5"/>
  <c r="AG1101" i="5"/>
  <c r="AF1101" i="5"/>
  <c r="AH1101" i="5" s="1"/>
  <c r="AJ1100" i="5"/>
  <c r="AI1100" i="5"/>
  <c r="AG1100" i="5"/>
  <c r="AF1100" i="5"/>
  <c r="AJ1099" i="5"/>
  <c r="AI1099" i="5"/>
  <c r="AG1099" i="5"/>
  <c r="AF1099" i="5"/>
  <c r="AH1099" i="5" s="1"/>
  <c r="AJ1098" i="5"/>
  <c r="AI1098" i="5"/>
  <c r="AG1098" i="5"/>
  <c r="AF1098" i="5"/>
  <c r="AJ1097" i="5"/>
  <c r="AI1097" i="5"/>
  <c r="AG1097" i="5"/>
  <c r="AF1097" i="5"/>
  <c r="AJ1096" i="5"/>
  <c r="AI1096" i="5"/>
  <c r="AG1096" i="5"/>
  <c r="AF1096" i="5"/>
  <c r="AJ1095" i="5"/>
  <c r="AI1095" i="5"/>
  <c r="AG1095" i="5"/>
  <c r="AF1095" i="5"/>
  <c r="AJ1094" i="5"/>
  <c r="AI1094" i="5"/>
  <c r="AG1094" i="5"/>
  <c r="AF1094" i="5"/>
  <c r="AJ1093" i="5"/>
  <c r="AI1093" i="5"/>
  <c r="AG1093" i="5"/>
  <c r="AF1093" i="5"/>
  <c r="AJ1092" i="5"/>
  <c r="AI1092" i="5"/>
  <c r="AG1092" i="5"/>
  <c r="AF1092" i="5"/>
  <c r="AJ1091" i="5"/>
  <c r="AI1091" i="5"/>
  <c r="AG1091" i="5"/>
  <c r="AF1091" i="5"/>
  <c r="AH1091" i="5" s="1"/>
  <c r="AJ1090" i="5"/>
  <c r="AI1090" i="5"/>
  <c r="AG1090" i="5"/>
  <c r="AF1090" i="5"/>
  <c r="AJ1089" i="5"/>
  <c r="AI1089" i="5"/>
  <c r="AG1089" i="5"/>
  <c r="AF1089" i="5"/>
  <c r="AJ1088" i="5"/>
  <c r="AI1088" i="5"/>
  <c r="AG1088" i="5"/>
  <c r="AH1088" i="5" s="1"/>
  <c r="AF1088" i="5"/>
  <c r="AJ1087" i="5"/>
  <c r="AI1087" i="5"/>
  <c r="AG1087" i="5"/>
  <c r="AH1087" i="5" s="1"/>
  <c r="AF1087" i="5"/>
  <c r="AJ1086" i="5"/>
  <c r="AI1086" i="5"/>
  <c r="AG1086" i="5"/>
  <c r="AF1086" i="5"/>
  <c r="AJ1085" i="5"/>
  <c r="AI1085" i="5"/>
  <c r="AG1085" i="5"/>
  <c r="AF1085" i="5"/>
  <c r="AJ1084" i="5"/>
  <c r="AI1084" i="5"/>
  <c r="AG1084" i="5"/>
  <c r="AH1084" i="5" s="1"/>
  <c r="AF1084" i="5"/>
  <c r="AJ1083" i="5"/>
  <c r="AI1083" i="5"/>
  <c r="AG1083" i="5"/>
  <c r="AF1083" i="5"/>
  <c r="AJ1082" i="5"/>
  <c r="AI1082" i="5"/>
  <c r="AG1082" i="5"/>
  <c r="AF1082" i="5"/>
  <c r="AJ1081" i="5"/>
  <c r="AI1081" i="5"/>
  <c r="AG1081" i="5"/>
  <c r="AF1081" i="5"/>
  <c r="AJ1080" i="5"/>
  <c r="AI1080" i="5"/>
  <c r="AG1080" i="5"/>
  <c r="AH1080" i="5" s="1"/>
  <c r="AF1080" i="5"/>
  <c r="AJ1079" i="5"/>
  <c r="AI1079" i="5"/>
  <c r="AG1079" i="5"/>
  <c r="AF1079" i="5"/>
  <c r="AJ1078" i="5"/>
  <c r="AI1078" i="5"/>
  <c r="AG1078" i="5"/>
  <c r="AF1078" i="5"/>
  <c r="AJ1077" i="5"/>
  <c r="AI1077" i="5"/>
  <c r="AG1077" i="5"/>
  <c r="AF1077" i="5"/>
  <c r="AJ1076" i="5"/>
  <c r="AI1076" i="5"/>
  <c r="AG1076" i="5"/>
  <c r="AF1076" i="5"/>
  <c r="AJ1075" i="5"/>
  <c r="AI1075" i="5"/>
  <c r="AG1075" i="5"/>
  <c r="AF1075" i="5"/>
  <c r="AJ1074" i="5"/>
  <c r="AI1074" i="5"/>
  <c r="AG1074" i="5"/>
  <c r="AF1074" i="5"/>
  <c r="AJ1073" i="5"/>
  <c r="AI1073" i="5"/>
  <c r="AG1073" i="5"/>
  <c r="AF1073" i="5"/>
  <c r="AJ1072" i="5"/>
  <c r="AI1072" i="5"/>
  <c r="AG1072" i="5"/>
  <c r="AF1072" i="5"/>
  <c r="AJ1071" i="5"/>
  <c r="AI1071" i="5"/>
  <c r="AG1071" i="5"/>
  <c r="AH1071" i="5" s="1"/>
  <c r="AF1071" i="5"/>
  <c r="AJ1070" i="5"/>
  <c r="AI1070" i="5"/>
  <c r="AG1070" i="5"/>
  <c r="AF1070" i="5"/>
  <c r="AJ1069" i="5"/>
  <c r="AI1069" i="5"/>
  <c r="AG1069" i="5"/>
  <c r="AF1069" i="5"/>
  <c r="AJ1068" i="5"/>
  <c r="AI1068" i="5"/>
  <c r="AG1068" i="5"/>
  <c r="AF1068" i="5"/>
  <c r="AJ1067" i="5"/>
  <c r="AI1067" i="5"/>
  <c r="AG1067" i="5"/>
  <c r="AF1067" i="5"/>
  <c r="AJ1066" i="5"/>
  <c r="AI1066" i="5"/>
  <c r="AG1066" i="5"/>
  <c r="AF1066" i="5"/>
  <c r="AJ1065" i="5"/>
  <c r="AI1065" i="5"/>
  <c r="AG1065" i="5"/>
  <c r="AF1065" i="5"/>
  <c r="AJ1064" i="5"/>
  <c r="AI1064" i="5"/>
  <c r="AG1064" i="5"/>
  <c r="AH1064" i="5" s="1"/>
  <c r="AF1064" i="5"/>
  <c r="AJ1063" i="5"/>
  <c r="AI1063" i="5"/>
  <c r="AG1063" i="5"/>
  <c r="AF1063" i="5"/>
  <c r="AJ1062" i="5"/>
  <c r="AI1062" i="5"/>
  <c r="AG1062" i="5"/>
  <c r="AF1062" i="5"/>
  <c r="AJ1061" i="5"/>
  <c r="AI1061" i="5"/>
  <c r="AG1061" i="5"/>
  <c r="AF1061" i="5"/>
  <c r="AJ1060" i="5"/>
  <c r="AI1060" i="5"/>
  <c r="AG1060" i="5"/>
  <c r="AH1060" i="5" s="1"/>
  <c r="AF1060" i="5"/>
  <c r="AJ1059" i="5"/>
  <c r="AI1059" i="5"/>
  <c r="AG1059" i="5"/>
  <c r="AF1059" i="5"/>
  <c r="AJ1058" i="5"/>
  <c r="AI1058" i="5"/>
  <c r="AG1058" i="5"/>
  <c r="AF1058" i="5"/>
  <c r="AJ1057" i="5"/>
  <c r="AI1057" i="5"/>
  <c r="AG1057" i="5"/>
  <c r="AF1057" i="5"/>
  <c r="AJ1056" i="5"/>
  <c r="AI1056" i="5"/>
  <c r="AG1056" i="5"/>
  <c r="AF1056" i="5"/>
  <c r="AJ1055" i="5"/>
  <c r="AI1055" i="5"/>
  <c r="AG1055" i="5"/>
  <c r="AH1055" i="5" s="1"/>
  <c r="AF1055" i="5"/>
  <c r="AJ1054" i="5"/>
  <c r="AI1054" i="5"/>
  <c r="AG1054" i="5"/>
  <c r="AF1054" i="5"/>
  <c r="AJ1053" i="5"/>
  <c r="AI1053" i="5"/>
  <c r="AG1053" i="5"/>
  <c r="AF1053" i="5"/>
  <c r="AJ1052" i="5"/>
  <c r="AI1052" i="5"/>
  <c r="AG1052" i="5"/>
  <c r="AH1052" i="5" s="1"/>
  <c r="AF1052" i="5"/>
  <c r="AJ1051" i="5"/>
  <c r="AI1051" i="5"/>
  <c r="AG1051" i="5"/>
  <c r="AF1051" i="5"/>
  <c r="AJ1050" i="5"/>
  <c r="AI1050" i="5"/>
  <c r="AG1050" i="5"/>
  <c r="AF1050" i="5"/>
  <c r="AJ1049" i="5"/>
  <c r="AI1049" i="5"/>
  <c r="AG1049" i="5"/>
  <c r="AF1049" i="5"/>
  <c r="AJ1048" i="5"/>
  <c r="AI1048" i="5"/>
  <c r="AG1048" i="5"/>
  <c r="AF1048" i="5"/>
  <c r="AJ1047" i="5"/>
  <c r="AI1047" i="5"/>
  <c r="AG1047" i="5"/>
  <c r="AF1047" i="5"/>
  <c r="AJ1046" i="5"/>
  <c r="AI1046" i="5"/>
  <c r="AG1046" i="5"/>
  <c r="AF1046" i="5"/>
  <c r="AJ1045" i="5"/>
  <c r="AI1045" i="5"/>
  <c r="AG1045" i="5"/>
  <c r="AF1045" i="5"/>
  <c r="AJ1044" i="5"/>
  <c r="AI1044" i="5"/>
  <c r="AG1044" i="5"/>
  <c r="AF1044" i="5"/>
  <c r="AJ1043" i="5"/>
  <c r="AI1043" i="5"/>
  <c r="AG1043" i="5"/>
  <c r="AF1043" i="5"/>
  <c r="AH1043" i="5" s="1"/>
  <c r="AJ1042" i="5"/>
  <c r="AI1042" i="5"/>
  <c r="AG1042" i="5"/>
  <c r="AF1042" i="5"/>
  <c r="AJ1041" i="5"/>
  <c r="AI1041" i="5"/>
  <c r="AG1041" i="5"/>
  <c r="AF1041" i="5"/>
  <c r="AJ1040" i="5"/>
  <c r="AI1040" i="5"/>
  <c r="AG1040" i="5"/>
  <c r="AH1040" i="5" s="1"/>
  <c r="AF1040" i="5"/>
  <c r="AJ1039" i="5"/>
  <c r="AI1039" i="5"/>
  <c r="AG1039" i="5"/>
  <c r="AF1039" i="5"/>
  <c r="AJ1038" i="5"/>
  <c r="AI1038" i="5"/>
  <c r="AG1038" i="5"/>
  <c r="AF1038" i="5"/>
  <c r="AJ1037" i="5"/>
  <c r="AI1037" i="5"/>
  <c r="AG1037" i="5"/>
  <c r="AF1037" i="5"/>
  <c r="AJ1036" i="5"/>
  <c r="AI1036" i="5"/>
  <c r="AG1036" i="5"/>
  <c r="AH1036" i="5" s="1"/>
  <c r="AF1036" i="5"/>
  <c r="AJ1035" i="5"/>
  <c r="AI1035" i="5"/>
  <c r="AG1035" i="5"/>
  <c r="AF1035" i="5"/>
  <c r="AJ1034" i="5"/>
  <c r="AI1034" i="5"/>
  <c r="AG1034" i="5"/>
  <c r="AF1034" i="5"/>
  <c r="AJ1033" i="5"/>
  <c r="AI1033" i="5"/>
  <c r="AG1033" i="5"/>
  <c r="AF1033" i="5"/>
  <c r="AJ1032" i="5"/>
  <c r="AI1032" i="5"/>
  <c r="AG1032" i="5"/>
  <c r="AF1032" i="5"/>
  <c r="AJ1031" i="5"/>
  <c r="AI1031" i="5"/>
  <c r="AG1031" i="5"/>
  <c r="AF1031" i="5"/>
  <c r="AH1031" i="5" s="1"/>
  <c r="AJ1030" i="5"/>
  <c r="AI1030" i="5"/>
  <c r="AG1030" i="5"/>
  <c r="AF1030" i="5"/>
  <c r="AJ1029" i="5"/>
  <c r="AI1029" i="5"/>
  <c r="AG1029" i="5"/>
  <c r="AF1029" i="5"/>
  <c r="AH1029" i="5" s="1"/>
  <c r="AJ1028" i="5"/>
  <c r="AI1028" i="5"/>
  <c r="AG1028" i="5"/>
  <c r="AF1028" i="5"/>
  <c r="AJ1027" i="5"/>
  <c r="AI1027" i="5"/>
  <c r="AG1027" i="5"/>
  <c r="AF1027" i="5"/>
  <c r="AJ1026" i="5"/>
  <c r="AI1026" i="5"/>
  <c r="AG1026" i="5"/>
  <c r="AF1026" i="5"/>
  <c r="AJ1025" i="5"/>
  <c r="AI1025" i="5"/>
  <c r="AG1025" i="5"/>
  <c r="AF1025" i="5"/>
  <c r="AJ1024" i="5"/>
  <c r="AI1024" i="5"/>
  <c r="AG1024" i="5"/>
  <c r="AF1024" i="5"/>
  <c r="AJ1023" i="5"/>
  <c r="AI1023" i="5"/>
  <c r="AG1023" i="5"/>
  <c r="AF1023" i="5"/>
  <c r="AJ1022" i="5"/>
  <c r="AI1022" i="5"/>
  <c r="AG1022" i="5"/>
  <c r="AF1022" i="5"/>
  <c r="AJ1021" i="5"/>
  <c r="AI1021" i="5"/>
  <c r="AG1021" i="5"/>
  <c r="AF1021" i="5"/>
  <c r="AJ1020" i="5"/>
  <c r="AI1020" i="5"/>
  <c r="AG1020" i="5"/>
  <c r="AF1020" i="5"/>
  <c r="AJ1019" i="5"/>
  <c r="AI1019" i="5"/>
  <c r="AG1019" i="5"/>
  <c r="AF1019" i="5"/>
  <c r="AJ1018" i="5"/>
  <c r="AI1018" i="5"/>
  <c r="AG1018" i="5"/>
  <c r="AF1018" i="5"/>
  <c r="AJ1017" i="5"/>
  <c r="AI1017" i="5"/>
  <c r="AG1017" i="5"/>
  <c r="AF1017" i="5"/>
  <c r="AJ1016" i="5"/>
  <c r="AI1016" i="5"/>
  <c r="AG1016" i="5"/>
  <c r="AF1016" i="5"/>
  <c r="AJ1015" i="5"/>
  <c r="AI1015" i="5"/>
  <c r="AG1015" i="5"/>
  <c r="AF1015" i="5"/>
  <c r="AH1015" i="5" s="1"/>
  <c r="AJ1014" i="5"/>
  <c r="AI1014" i="5"/>
  <c r="AG1014" i="5"/>
  <c r="AF1014" i="5"/>
  <c r="AJ1013" i="5"/>
  <c r="AI1013" i="5"/>
  <c r="AG1013" i="5"/>
  <c r="AF1013" i="5"/>
  <c r="AJ1012" i="5"/>
  <c r="AI1012" i="5"/>
  <c r="AG1012" i="5"/>
  <c r="AF1012" i="5"/>
  <c r="AJ1011" i="5"/>
  <c r="AI1011" i="5"/>
  <c r="AG1011" i="5"/>
  <c r="AF1011" i="5"/>
  <c r="AJ1010" i="5"/>
  <c r="AI1010" i="5"/>
  <c r="AG1010" i="5"/>
  <c r="AF1010" i="5"/>
  <c r="AJ1009" i="5"/>
  <c r="AI1009" i="5"/>
  <c r="AG1009" i="5"/>
  <c r="AF1009" i="5"/>
  <c r="AJ1008" i="5"/>
  <c r="AI1008" i="5"/>
  <c r="AG1008" i="5"/>
  <c r="AF1008" i="5"/>
  <c r="AJ1007" i="5"/>
  <c r="AI1007" i="5"/>
  <c r="AG1007" i="5"/>
  <c r="AF1007" i="5"/>
  <c r="AJ1006" i="5"/>
  <c r="AI1006" i="5"/>
  <c r="AG1006" i="5"/>
  <c r="AF1006" i="5"/>
  <c r="AJ1005" i="5"/>
  <c r="AI1005" i="5"/>
  <c r="AG1005" i="5"/>
  <c r="AF1005" i="5"/>
  <c r="AJ1004" i="5"/>
  <c r="AI1004" i="5"/>
  <c r="AG1004" i="5"/>
  <c r="AF1004" i="5"/>
  <c r="AJ1003" i="5"/>
  <c r="AI1003" i="5"/>
  <c r="AG1003" i="5"/>
  <c r="AF1003" i="5"/>
  <c r="AJ1002" i="5"/>
  <c r="AI1002" i="5"/>
  <c r="AG1002" i="5"/>
  <c r="AF1002" i="5"/>
  <c r="AJ1001" i="5"/>
  <c r="AI1001" i="5"/>
  <c r="AG1001" i="5"/>
  <c r="AF1001" i="5"/>
  <c r="AJ1000" i="5"/>
  <c r="AI1000" i="5"/>
  <c r="AG1000" i="5"/>
  <c r="AF1000" i="5"/>
  <c r="AJ999" i="5"/>
  <c r="AI999" i="5"/>
  <c r="AG999" i="5"/>
  <c r="AF999" i="5"/>
  <c r="AJ998" i="5"/>
  <c r="AI998" i="5"/>
  <c r="AG998" i="5"/>
  <c r="AF998" i="5"/>
  <c r="AJ997" i="5"/>
  <c r="AI997" i="5"/>
  <c r="AG997" i="5"/>
  <c r="AF997" i="5"/>
  <c r="AJ996" i="5"/>
  <c r="AI996" i="5"/>
  <c r="AG996" i="5"/>
  <c r="AF996" i="5"/>
  <c r="AJ995" i="5"/>
  <c r="AI995" i="5"/>
  <c r="AG995" i="5"/>
  <c r="AF995" i="5"/>
  <c r="AH995" i="5" s="1"/>
  <c r="AJ994" i="5"/>
  <c r="AI994" i="5"/>
  <c r="AG994" i="5"/>
  <c r="AF994" i="5"/>
  <c r="AJ993" i="5"/>
  <c r="AI993" i="5"/>
  <c r="AG993" i="5"/>
  <c r="AF993" i="5"/>
  <c r="AJ992" i="5"/>
  <c r="AI992" i="5"/>
  <c r="AG992" i="5"/>
  <c r="AF992" i="5"/>
  <c r="AJ991" i="5"/>
  <c r="AI991" i="5"/>
  <c r="AG991" i="5"/>
  <c r="AF991" i="5"/>
  <c r="AJ990" i="5"/>
  <c r="AI990" i="5"/>
  <c r="AG990" i="5"/>
  <c r="AF990" i="5"/>
  <c r="AJ989" i="5"/>
  <c r="AI989" i="5"/>
  <c r="AG989" i="5"/>
  <c r="AF989" i="5"/>
  <c r="AH989" i="5" s="1"/>
  <c r="AJ988" i="5"/>
  <c r="AI988" i="5"/>
  <c r="AG988" i="5"/>
  <c r="AF988" i="5"/>
  <c r="AJ987" i="5"/>
  <c r="AI987" i="5"/>
  <c r="AG987" i="5"/>
  <c r="AF987" i="5"/>
  <c r="AJ986" i="5"/>
  <c r="AI986" i="5"/>
  <c r="AG986" i="5"/>
  <c r="AF986" i="5"/>
  <c r="AJ985" i="5"/>
  <c r="AI985" i="5"/>
  <c r="AG985" i="5"/>
  <c r="AF985" i="5"/>
  <c r="AJ984" i="5"/>
  <c r="AI984" i="5"/>
  <c r="AG984" i="5"/>
  <c r="AF984" i="5"/>
  <c r="AJ983" i="5"/>
  <c r="AI983" i="5"/>
  <c r="AG983" i="5"/>
  <c r="AF983" i="5"/>
  <c r="AH983" i="5" s="1"/>
  <c r="AJ982" i="5"/>
  <c r="AI982" i="5"/>
  <c r="AG982" i="5"/>
  <c r="AF982" i="5"/>
  <c r="AJ981" i="5"/>
  <c r="AI981" i="5"/>
  <c r="AG981" i="5"/>
  <c r="AF981" i="5"/>
  <c r="AH981" i="5" s="1"/>
  <c r="AJ980" i="5"/>
  <c r="AI980" i="5"/>
  <c r="AG980" i="5"/>
  <c r="AF980" i="5"/>
  <c r="AJ979" i="5"/>
  <c r="AI979" i="5"/>
  <c r="AG979" i="5"/>
  <c r="AF979" i="5"/>
  <c r="AH979" i="5" s="1"/>
  <c r="AJ978" i="5"/>
  <c r="AI978" i="5"/>
  <c r="AG978" i="5"/>
  <c r="AF978" i="5"/>
  <c r="AJ977" i="5"/>
  <c r="AI977" i="5"/>
  <c r="AG977" i="5"/>
  <c r="AF977" i="5"/>
  <c r="AJ976" i="5"/>
  <c r="AI976" i="5"/>
  <c r="AG976" i="5"/>
  <c r="AF976" i="5"/>
  <c r="AJ975" i="5"/>
  <c r="AI975" i="5"/>
  <c r="AG975" i="5"/>
  <c r="AF975" i="5"/>
  <c r="AH975" i="5" s="1"/>
  <c r="AJ974" i="5"/>
  <c r="AI974" i="5"/>
  <c r="AG974" i="5"/>
  <c r="AF974" i="5"/>
  <c r="AJ973" i="5"/>
  <c r="AI973" i="5"/>
  <c r="AG973" i="5"/>
  <c r="AF973" i="5"/>
  <c r="AH973" i="5" s="1"/>
  <c r="AJ972" i="5"/>
  <c r="AI972" i="5"/>
  <c r="AG972" i="5"/>
  <c r="AF972" i="5"/>
  <c r="AJ971" i="5"/>
  <c r="AI971" i="5"/>
  <c r="AG971" i="5"/>
  <c r="AF971" i="5"/>
  <c r="AH971" i="5" s="1"/>
  <c r="AJ970" i="5"/>
  <c r="AI970" i="5"/>
  <c r="AG970" i="5"/>
  <c r="AF970" i="5"/>
  <c r="AJ969" i="5"/>
  <c r="AI969" i="5"/>
  <c r="AG969" i="5"/>
  <c r="AF969" i="5"/>
  <c r="AJ968" i="5"/>
  <c r="AI968" i="5"/>
  <c r="AG968" i="5"/>
  <c r="AF968" i="5"/>
  <c r="AJ967" i="5"/>
  <c r="AI967" i="5"/>
  <c r="AG967" i="5"/>
  <c r="AF967" i="5"/>
  <c r="AJ966" i="5"/>
  <c r="AI966" i="5"/>
  <c r="AG966" i="5"/>
  <c r="AF966" i="5"/>
  <c r="AJ965" i="5"/>
  <c r="AI965" i="5"/>
  <c r="AG965" i="5"/>
  <c r="AF965" i="5"/>
  <c r="AJ964" i="5"/>
  <c r="AI964" i="5"/>
  <c r="AG964" i="5"/>
  <c r="AF964" i="5"/>
  <c r="AJ963" i="5"/>
  <c r="AI963" i="5"/>
  <c r="AG963" i="5"/>
  <c r="AF963" i="5"/>
  <c r="AJ962" i="5"/>
  <c r="AI962" i="5"/>
  <c r="AG962" i="5"/>
  <c r="AF962" i="5"/>
  <c r="AJ961" i="5"/>
  <c r="AI961" i="5"/>
  <c r="AG961" i="5"/>
  <c r="AF961" i="5"/>
  <c r="AJ960" i="5"/>
  <c r="AI960" i="5"/>
  <c r="AG960" i="5"/>
  <c r="AF960" i="5"/>
  <c r="AJ959" i="5"/>
  <c r="AI959" i="5"/>
  <c r="AG959" i="5"/>
  <c r="AF959" i="5"/>
  <c r="AJ958" i="5"/>
  <c r="AI958" i="5"/>
  <c r="AG958" i="5"/>
  <c r="AF958" i="5"/>
  <c r="AJ957" i="5"/>
  <c r="AI957" i="5"/>
  <c r="AG957" i="5"/>
  <c r="AF957" i="5"/>
  <c r="AJ956" i="5"/>
  <c r="AI956" i="5"/>
  <c r="AG956" i="5"/>
  <c r="AF956" i="5"/>
  <c r="AJ955" i="5"/>
  <c r="AI955" i="5"/>
  <c r="AG955" i="5"/>
  <c r="AF955" i="5"/>
  <c r="AJ954" i="5"/>
  <c r="AI954" i="5"/>
  <c r="AG954" i="5"/>
  <c r="AF954" i="5"/>
  <c r="AJ953" i="5"/>
  <c r="AI953" i="5"/>
  <c r="AG953" i="5"/>
  <c r="AF953" i="5"/>
  <c r="AJ952" i="5"/>
  <c r="AI952" i="5"/>
  <c r="AG952" i="5"/>
  <c r="AH952" i="5" s="1"/>
  <c r="AF952" i="5"/>
  <c r="AJ951" i="5"/>
  <c r="AI951" i="5"/>
  <c r="AG951" i="5"/>
  <c r="AF951" i="5"/>
  <c r="AJ950" i="5"/>
  <c r="AI950" i="5"/>
  <c r="AG950" i="5"/>
  <c r="AF950" i="5"/>
  <c r="AJ949" i="5"/>
  <c r="AI949" i="5"/>
  <c r="AG949" i="5"/>
  <c r="AF949" i="5"/>
  <c r="AJ948" i="5"/>
  <c r="AI948" i="5"/>
  <c r="AG948" i="5"/>
  <c r="AH948" i="5" s="1"/>
  <c r="AF948" i="5"/>
  <c r="AJ947" i="5"/>
  <c r="AI947" i="5"/>
  <c r="AG947" i="5"/>
  <c r="AF947" i="5"/>
  <c r="AJ946" i="5"/>
  <c r="AI946" i="5"/>
  <c r="AG946" i="5"/>
  <c r="AF946" i="5"/>
  <c r="AJ945" i="5"/>
  <c r="AI945" i="5"/>
  <c r="AG945" i="5"/>
  <c r="AF945" i="5"/>
  <c r="AJ944" i="5"/>
  <c r="AI944" i="5"/>
  <c r="AG944" i="5"/>
  <c r="AF944" i="5"/>
  <c r="AJ943" i="5"/>
  <c r="AI943" i="5"/>
  <c r="AG943" i="5"/>
  <c r="AF943" i="5"/>
  <c r="AJ942" i="5"/>
  <c r="AI942" i="5"/>
  <c r="AG942" i="5"/>
  <c r="AF942" i="5"/>
  <c r="AJ941" i="5"/>
  <c r="AI941" i="5"/>
  <c r="AG941" i="5"/>
  <c r="AF941" i="5"/>
  <c r="AJ940" i="5"/>
  <c r="AI940" i="5"/>
  <c r="AG940" i="5"/>
  <c r="AH940" i="5" s="1"/>
  <c r="AF940" i="5"/>
  <c r="AJ939" i="5"/>
  <c r="AI939" i="5"/>
  <c r="AG939" i="5"/>
  <c r="AF939" i="5"/>
  <c r="AJ938" i="5"/>
  <c r="AI938" i="5"/>
  <c r="AG938" i="5"/>
  <c r="AF938" i="5"/>
  <c r="AJ937" i="5"/>
  <c r="AI937" i="5"/>
  <c r="AG937" i="5"/>
  <c r="AF937" i="5"/>
  <c r="AJ936" i="5"/>
  <c r="AI936" i="5"/>
  <c r="AG936" i="5"/>
  <c r="AF936" i="5"/>
  <c r="AJ935" i="5"/>
  <c r="AI935" i="5"/>
  <c r="AG935" i="5"/>
  <c r="AF935" i="5"/>
  <c r="AH935" i="5" s="1"/>
  <c r="AK935" i="5" s="1"/>
  <c r="AJ934" i="5"/>
  <c r="AI934" i="5"/>
  <c r="AG934" i="5"/>
  <c r="AF934" i="5"/>
  <c r="AJ933" i="5"/>
  <c r="AI933" i="5"/>
  <c r="AG933" i="5"/>
  <c r="AF933" i="5"/>
  <c r="AJ932" i="5"/>
  <c r="AI932" i="5"/>
  <c r="AG932" i="5"/>
  <c r="AF932" i="5"/>
  <c r="AJ931" i="5"/>
  <c r="AI931" i="5"/>
  <c r="AG931" i="5"/>
  <c r="AF931" i="5"/>
  <c r="AH931" i="5" s="1"/>
  <c r="AK931" i="5" s="1"/>
  <c r="AJ930" i="5"/>
  <c r="AI930" i="5"/>
  <c r="AG930" i="5"/>
  <c r="AF930" i="5"/>
  <c r="AJ929" i="5"/>
  <c r="AI929" i="5"/>
  <c r="AG929" i="5"/>
  <c r="AF929" i="5"/>
  <c r="AJ928" i="5"/>
  <c r="AI928" i="5"/>
  <c r="AG928" i="5"/>
  <c r="AF928" i="5"/>
  <c r="AJ927" i="5"/>
  <c r="AI927" i="5"/>
  <c r="AG927" i="5"/>
  <c r="AF927" i="5"/>
  <c r="AJ926" i="5"/>
  <c r="AI926" i="5"/>
  <c r="AG926" i="5"/>
  <c r="AF926" i="5"/>
  <c r="AJ925" i="5"/>
  <c r="AI925" i="5"/>
  <c r="AG925" i="5"/>
  <c r="AF925" i="5"/>
  <c r="AJ924" i="5"/>
  <c r="AI924" i="5"/>
  <c r="AH924" i="5"/>
  <c r="AG924" i="5"/>
  <c r="AF924" i="5"/>
  <c r="AJ923" i="5"/>
  <c r="AI923" i="5"/>
  <c r="AG923" i="5"/>
  <c r="AF923" i="5"/>
  <c r="AJ922" i="5"/>
  <c r="AI922" i="5"/>
  <c r="AG922" i="5"/>
  <c r="AF922" i="5"/>
  <c r="AH922" i="5" s="1"/>
  <c r="AJ921" i="5"/>
  <c r="AI921" i="5"/>
  <c r="AG921" i="5"/>
  <c r="AF921" i="5"/>
  <c r="AJ920" i="5"/>
  <c r="AI920" i="5"/>
  <c r="AG920" i="5"/>
  <c r="AF920" i="5"/>
  <c r="AJ919" i="5"/>
  <c r="AI919" i="5"/>
  <c r="AG919" i="5"/>
  <c r="AF919" i="5"/>
  <c r="AJ918" i="5"/>
  <c r="AI918" i="5"/>
  <c r="AG918" i="5"/>
  <c r="AF918" i="5"/>
  <c r="AJ917" i="5"/>
  <c r="AI917" i="5"/>
  <c r="AG917" i="5"/>
  <c r="AF917" i="5"/>
  <c r="AJ916" i="5"/>
  <c r="AI916" i="5"/>
  <c r="AG916" i="5"/>
  <c r="AF916" i="5"/>
  <c r="AJ915" i="5"/>
  <c r="AI915" i="5"/>
  <c r="AG915" i="5"/>
  <c r="AF915" i="5"/>
  <c r="AJ914" i="5"/>
  <c r="AI914" i="5"/>
  <c r="AG914" i="5"/>
  <c r="AF914" i="5"/>
  <c r="AH914" i="5" s="1"/>
  <c r="AJ913" i="5"/>
  <c r="AI913" i="5"/>
  <c r="AG913" i="5"/>
  <c r="AF913" i="5"/>
  <c r="AJ912" i="5"/>
  <c r="AI912" i="5"/>
  <c r="AG912" i="5"/>
  <c r="AF912" i="5"/>
  <c r="AH912" i="5" s="1"/>
  <c r="AJ911" i="5"/>
  <c r="AI911" i="5"/>
  <c r="AG911" i="5"/>
  <c r="AF911" i="5"/>
  <c r="AH911" i="5" s="1"/>
  <c r="AJ910" i="5"/>
  <c r="AI910" i="5"/>
  <c r="AG910" i="5"/>
  <c r="AF910" i="5"/>
  <c r="AH910" i="5" s="1"/>
  <c r="AJ909" i="5"/>
  <c r="AI909" i="5"/>
  <c r="AG909" i="5"/>
  <c r="AF909" i="5"/>
  <c r="AH909" i="5" s="1"/>
  <c r="AJ908" i="5"/>
  <c r="AI908" i="5"/>
  <c r="AG908" i="5"/>
  <c r="AF908" i="5"/>
  <c r="AJ907" i="5"/>
  <c r="AI907" i="5"/>
  <c r="AG907" i="5"/>
  <c r="AF907" i="5"/>
  <c r="AJ906" i="5"/>
  <c r="AI906" i="5"/>
  <c r="AG906" i="5"/>
  <c r="AF906" i="5"/>
  <c r="AH906" i="5" s="1"/>
  <c r="AJ905" i="5"/>
  <c r="AI905" i="5"/>
  <c r="AG905" i="5"/>
  <c r="AF905" i="5"/>
  <c r="AJ904" i="5"/>
  <c r="AI904" i="5"/>
  <c r="AG904" i="5"/>
  <c r="AF904" i="5"/>
  <c r="AJ903" i="5"/>
  <c r="AI903" i="5"/>
  <c r="AG903" i="5"/>
  <c r="AF903" i="5"/>
  <c r="AJ902" i="5"/>
  <c r="AI902" i="5"/>
  <c r="AG902" i="5"/>
  <c r="AF902" i="5"/>
  <c r="AJ901" i="5"/>
  <c r="AI901" i="5"/>
  <c r="AG901" i="5"/>
  <c r="AF901" i="5"/>
  <c r="AJ900" i="5"/>
  <c r="AI900" i="5"/>
  <c r="AG900" i="5"/>
  <c r="AF900" i="5"/>
  <c r="AJ899" i="5"/>
  <c r="AI899" i="5"/>
  <c r="AG899" i="5"/>
  <c r="AF899" i="5"/>
  <c r="AH899" i="5" s="1"/>
  <c r="AJ898" i="5"/>
  <c r="AI898" i="5"/>
  <c r="AG898" i="5"/>
  <c r="AF898" i="5"/>
  <c r="AH898" i="5" s="1"/>
  <c r="AJ897" i="5"/>
  <c r="AI897" i="5"/>
  <c r="AG897" i="5"/>
  <c r="AF897" i="5"/>
  <c r="AJ896" i="5"/>
  <c r="AI896" i="5"/>
  <c r="AG896" i="5"/>
  <c r="AF896" i="5"/>
  <c r="AH896" i="5" s="1"/>
  <c r="AJ895" i="5"/>
  <c r="AI895" i="5"/>
  <c r="AG895" i="5"/>
  <c r="AF895" i="5"/>
  <c r="AH895" i="5" s="1"/>
  <c r="AJ894" i="5"/>
  <c r="AI894" i="5"/>
  <c r="AG894" i="5"/>
  <c r="AF894" i="5"/>
  <c r="AJ893" i="5"/>
  <c r="AI893" i="5"/>
  <c r="AG893" i="5"/>
  <c r="AF893" i="5"/>
  <c r="AJ892" i="5"/>
  <c r="AI892" i="5"/>
  <c r="AG892" i="5"/>
  <c r="AF892" i="5"/>
  <c r="AH892" i="5" s="1"/>
  <c r="AJ891" i="5"/>
  <c r="AI891" i="5"/>
  <c r="AG891" i="5"/>
  <c r="AF891" i="5"/>
  <c r="AJ890" i="5"/>
  <c r="AI890" i="5"/>
  <c r="AG890" i="5"/>
  <c r="AF890" i="5"/>
  <c r="AJ889" i="5"/>
  <c r="AI889" i="5"/>
  <c r="AG889" i="5"/>
  <c r="AF889" i="5"/>
  <c r="AJ888" i="5"/>
  <c r="AI888" i="5"/>
  <c r="AG888" i="5"/>
  <c r="AF888" i="5"/>
  <c r="AJ887" i="5"/>
  <c r="AI887" i="5"/>
  <c r="AG887" i="5"/>
  <c r="AF887" i="5"/>
  <c r="AJ886" i="5"/>
  <c r="AI886" i="5"/>
  <c r="AG886" i="5"/>
  <c r="AF886" i="5"/>
  <c r="AJ885" i="5"/>
  <c r="AI885" i="5"/>
  <c r="AG885" i="5"/>
  <c r="AF885" i="5"/>
  <c r="AJ884" i="5"/>
  <c r="AI884" i="5"/>
  <c r="AG884" i="5"/>
  <c r="AF884" i="5"/>
  <c r="AJ883" i="5"/>
  <c r="AI883" i="5"/>
  <c r="AG883" i="5"/>
  <c r="AF883" i="5"/>
  <c r="AJ882" i="5"/>
  <c r="AI882" i="5"/>
  <c r="AG882" i="5"/>
  <c r="AF882" i="5"/>
  <c r="AJ881" i="5"/>
  <c r="AI881" i="5"/>
  <c r="AG881" i="5"/>
  <c r="AF881" i="5"/>
  <c r="AJ880" i="5"/>
  <c r="AI880" i="5"/>
  <c r="AG880" i="5"/>
  <c r="AH880" i="5" s="1"/>
  <c r="AF880" i="5"/>
  <c r="AJ879" i="5"/>
  <c r="AI879" i="5"/>
  <c r="AG879" i="5"/>
  <c r="AF879" i="5"/>
  <c r="AJ878" i="5"/>
  <c r="AI878" i="5"/>
  <c r="AG878" i="5"/>
  <c r="AF878" i="5"/>
  <c r="AJ877" i="5"/>
  <c r="AI877" i="5"/>
  <c r="AG877" i="5"/>
  <c r="AF877" i="5"/>
  <c r="AJ876" i="5"/>
  <c r="AI876" i="5"/>
  <c r="AG876" i="5"/>
  <c r="AF876" i="5"/>
  <c r="AJ875" i="5"/>
  <c r="AI875" i="5"/>
  <c r="AG875" i="5"/>
  <c r="AF875" i="5"/>
  <c r="AJ874" i="5"/>
  <c r="AI874" i="5"/>
  <c r="AG874" i="5"/>
  <c r="AF874" i="5"/>
  <c r="AJ873" i="5"/>
  <c r="AI873" i="5"/>
  <c r="AG873" i="5"/>
  <c r="AF873" i="5"/>
  <c r="AJ872" i="5"/>
  <c r="AI872" i="5"/>
  <c r="AG872" i="5"/>
  <c r="AF872" i="5"/>
  <c r="AJ871" i="5"/>
  <c r="AI871" i="5"/>
  <c r="AG871" i="5"/>
  <c r="AF871" i="5"/>
  <c r="AJ870" i="5"/>
  <c r="AI870" i="5"/>
  <c r="AG870" i="5"/>
  <c r="AF870" i="5"/>
  <c r="AJ869" i="5"/>
  <c r="AI869" i="5"/>
  <c r="AG869" i="5"/>
  <c r="AF869" i="5"/>
  <c r="AJ868" i="5"/>
  <c r="AI868" i="5"/>
  <c r="AG868" i="5"/>
  <c r="AF868" i="5"/>
  <c r="AJ867" i="5"/>
  <c r="AI867" i="5"/>
  <c r="AG867" i="5"/>
  <c r="AF867" i="5"/>
  <c r="AJ866" i="5"/>
  <c r="AI866" i="5"/>
  <c r="AG866" i="5"/>
  <c r="AF866" i="5"/>
  <c r="AJ865" i="5"/>
  <c r="AI865" i="5"/>
  <c r="AG865" i="5"/>
  <c r="AF865" i="5"/>
  <c r="AJ864" i="5"/>
  <c r="AI864" i="5"/>
  <c r="AG864" i="5"/>
  <c r="AH864" i="5" s="1"/>
  <c r="AF864" i="5"/>
  <c r="AJ863" i="5"/>
  <c r="AI863" i="5"/>
  <c r="AG863" i="5"/>
  <c r="AF863" i="5"/>
  <c r="AJ862" i="5"/>
  <c r="AI862" i="5"/>
  <c r="AG862" i="5"/>
  <c r="AF862" i="5"/>
  <c r="AJ861" i="5"/>
  <c r="AI861" i="5"/>
  <c r="AG861" i="5"/>
  <c r="AF861" i="5"/>
  <c r="AJ860" i="5"/>
  <c r="AI860" i="5"/>
  <c r="AG860" i="5"/>
  <c r="AF860" i="5"/>
  <c r="AJ859" i="5"/>
  <c r="AI859" i="5"/>
  <c r="AG859" i="5"/>
  <c r="AF859" i="5"/>
  <c r="AJ858" i="5"/>
  <c r="AI858" i="5"/>
  <c r="AG858" i="5"/>
  <c r="AF858" i="5"/>
  <c r="AJ857" i="5"/>
  <c r="AI857" i="5"/>
  <c r="AG857" i="5"/>
  <c r="AF857" i="5"/>
  <c r="AJ856" i="5"/>
  <c r="AI856" i="5"/>
  <c r="AG856" i="5"/>
  <c r="AF856" i="5"/>
  <c r="AJ855" i="5"/>
  <c r="AI855" i="5"/>
  <c r="AG855" i="5"/>
  <c r="AF855" i="5"/>
  <c r="AJ854" i="5"/>
  <c r="AI854" i="5"/>
  <c r="AG854" i="5"/>
  <c r="AF854" i="5"/>
  <c r="AJ853" i="5"/>
  <c r="AI853" i="5"/>
  <c r="AG853" i="5"/>
  <c r="AF853" i="5"/>
  <c r="AJ852" i="5"/>
  <c r="AI852" i="5"/>
  <c r="AG852" i="5"/>
  <c r="AF852" i="5"/>
  <c r="AJ851" i="5"/>
  <c r="AI851" i="5"/>
  <c r="AG851" i="5"/>
  <c r="AF851" i="5"/>
  <c r="AJ850" i="5"/>
  <c r="AI850" i="5"/>
  <c r="AG850" i="5"/>
  <c r="AF850" i="5"/>
  <c r="AJ849" i="5"/>
  <c r="AI849" i="5"/>
  <c r="AG849" i="5"/>
  <c r="AF849" i="5"/>
  <c r="AJ848" i="5"/>
  <c r="AI848" i="5"/>
  <c r="AG848" i="5"/>
  <c r="AF848" i="5"/>
  <c r="AJ847" i="5"/>
  <c r="AI847" i="5"/>
  <c r="AG847" i="5"/>
  <c r="AF847" i="5"/>
  <c r="AJ846" i="5"/>
  <c r="AI846" i="5"/>
  <c r="AG846" i="5"/>
  <c r="AF846" i="5"/>
  <c r="AJ845" i="5"/>
  <c r="AI845" i="5"/>
  <c r="AG845" i="5"/>
  <c r="AF845" i="5"/>
  <c r="AJ844" i="5"/>
  <c r="AI844" i="5"/>
  <c r="AG844" i="5"/>
  <c r="AF844" i="5"/>
  <c r="AJ843" i="5"/>
  <c r="AI843" i="5"/>
  <c r="AG843" i="5"/>
  <c r="AF843" i="5"/>
  <c r="AJ842" i="5"/>
  <c r="AI842" i="5"/>
  <c r="AG842" i="5"/>
  <c r="AF842" i="5"/>
  <c r="AJ841" i="5"/>
  <c r="AI841" i="5"/>
  <c r="AG841" i="5"/>
  <c r="AF841" i="5"/>
  <c r="AJ840" i="5"/>
  <c r="AI840" i="5"/>
  <c r="AG840" i="5"/>
  <c r="AH840" i="5" s="1"/>
  <c r="AF840" i="5"/>
  <c r="AJ839" i="5"/>
  <c r="AI839" i="5"/>
  <c r="AG839" i="5"/>
  <c r="AF839" i="5"/>
  <c r="AJ838" i="5"/>
  <c r="AI838" i="5"/>
  <c r="AG838" i="5"/>
  <c r="AF838" i="5"/>
  <c r="AJ837" i="5"/>
  <c r="AI837" i="5"/>
  <c r="AG837" i="5"/>
  <c r="AF837" i="5"/>
  <c r="AJ836" i="5"/>
  <c r="AI836" i="5"/>
  <c r="AG836" i="5"/>
  <c r="AH836" i="5" s="1"/>
  <c r="AF836" i="5"/>
  <c r="AJ835" i="5"/>
  <c r="AI835" i="5"/>
  <c r="AH835" i="5"/>
  <c r="AK835" i="5" s="1"/>
  <c r="AG835" i="5"/>
  <c r="AF835" i="5"/>
  <c r="AJ834" i="5"/>
  <c r="AI834" i="5"/>
  <c r="AG834" i="5"/>
  <c r="AF834" i="5"/>
  <c r="AH834" i="5" s="1"/>
  <c r="AJ833" i="5"/>
  <c r="AI833" i="5"/>
  <c r="AG833" i="5"/>
  <c r="AF833" i="5"/>
  <c r="AJ832" i="5"/>
  <c r="AI832" i="5"/>
  <c r="AG832" i="5"/>
  <c r="AF832" i="5"/>
  <c r="AH832" i="5" s="1"/>
  <c r="AJ831" i="5"/>
  <c r="AI831" i="5"/>
  <c r="AG831" i="5"/>
  <c r="AF831" i="5"/>
  <c r="AJ830" i="5"/>
  <c r="AI830" i="5"/>
  <c r="AG830" i="5"/>
  <c r="AF830" i="5"/>
  <c r="AJ829" i="5"/>
  <c r="AI829" i="5"/>
  <c r="AG829" i="5"/>
  <c r="AF829" i="5"/>
  <c r="AJ828" i="5"/>
  <c r="AI828" i="5"/>
  <c r="AG828" i="5"/>
  <c r="AF828" i="5"/>
  <c r="AJ827" i="5"/>
  <c r="AI827" i="5"/>
  <c r="AG827" i="5"/>
  <c r="AF827" i="5"/>
  <c r="AJ826" i="5"/>
  <c r="AI826" i="5"/>
  <c r="AG826" i="5"/>
  <c r="AF826" i="5"/>
  <c r="AH826" i="5" s="1"/>
  <c r="AK826" i="5" s="1"/>
  <c r="AJ825" i="5"/>
  <c r="AI825" i="5"/>
  <c r="AG825" i="5"/>
  <c r="AF825" i="5"/>
  <c r="AJ824" i="5"/>
  <c r="AI824" i="5"/>
  <c r="AG824" i="5"/>
  <c r="AF824" i="5"/>
  <c r="AJ823" i="5"/>
  <c r="AI823" i="5"/>
  <c r="AG823" i="5"/>
  <c r="AF823" i="5"/>
  <c r="AJ822" i="5"/>
  <c r="AI822" i="5"/>
  <c r="AG822" i="5"/>
  <c r="AF822" i="5"/>
  <c r="AJ821" i="5"/>
  <c r="AI821" i="5"/>
  <c r="AG821" i="5"/>
  <c r="AF821" i="5"/>
  <c r="AJ820" i="5"/>
  <c r="AI820" i="5"/>
  <c r="AG820" i="5"/>
  <c r="AF820" i="5"/>
  <c r="AJ819" i="5"/>
  <c r="AI819" i="5"/>
  <c r="AG819" i="5"/>
  <c r="AF819" i="5"/>
  <c r="AJ818" i="5"/>
  <c r="AI818" i="5"/>
  <c r="AG818" i="5"/>
  <c r="AF818" i="5"/>
  <c r="AJ817" i="5"/>
  <c r="AI817" i="5"/>
  <c r="AG817" i="5"/>
  <c r="AF817" i="5"/>
  <c r="AJ816" i="5"/>
  <c r="AI816" i="5"/>
  <c r="AG816" i="5"/>
  <c r="AF816" i="5"/>
  <c r="AH816" i="5" s="1"/>
  <c r="AJ815" i="5"/>
  <c r="AI815" i="5"/>
  <c r="AG815" i="5"/>
  <c r="AH815" i="5" s="1"/>
  <c r="AF815" i="5"/>
  <c r="AJ814" i="5"/>
  <c r="AI814" i="5"/>
  <c r="AG814" i="5"/>
  <c r="AF814" i="5"/>
  <c r="AJ813" i="5"/>
  <c r="AI813" i="5"/>
  <c r="AG813" i="5"/>
  <c r="AF813" i="5"/>
  <c r="AJ812" i="5"/>
  <c r="AI812" i="5"/>
  <c r="AG812" i="5"/>
  <c r="AF812" i="5"/>
  <c r="AJ811" i="5"/>
  <c r="AI811" i="5"/>
  <c r="AG811" i="5"/>
  <c r="AF811" i="5"/>
  <c r="AJ810" i="5"/>
  <c r="AI810" i="5"/>
  <c r="AG810" i="5"/>
  <c r="AF810" i="5"/>
  <c r="AJ809" i="5"/>
  <c r="AI809" i="5"/>
  <c r="AG809" i="5"/>
  <c r="AF809" i="5"/>
  <c r="AJ808" i="5"/>
  <c r="AI808" i="5"/>
  <c r="AG808" i="5"/>
  <c r="AF808" i="5"/>
  <c r="AJ807" i="5"/>
  <c r="AI807" i="5"/>
  <c r="AG807" i="5"/>
  <c r="AF807" i="5"/>
  <c r="AJ806" i="5"/>
  <c r="AI806" i="5"/>
  <c r="AG806" i="5"/>
  <c r="AF806" i="5"/>
  <c r="AJ805" i="5"/>
  <c r="AI805" i="5"/>
  <c r="AG805" i="5"/>
  <c r="AF805" i="5"/>
  <c r="AJ804" i="5"/>
  <c r="AI804" i="5"/>
  <c r="AG804" i="5"/>
  <c r="AF804" i="5"/>
  <c r="AJ803" i="5"/>
  <c r="AI803" i="5"/>
  <c r="AH803" i="5"/>
  <c r="AG803" i="5"/>
  <c r="AF803" i="5"/>
  <c r="AJ802" i="5"/>
  <c r="AI802" i="5"/>
  <c r="AG802" i="5"/>
  <c r="AF802" i="5"/>
  <c r="AJ801" i="5"/>
  <c r="AI801" i="5"/>
  <c r="AG801" i="5"/>
  <c r="AF801" i="5"/>
  <c r="AJ800" i="5"/>
  <c r="AI800" i="5"/>
  <c r="AG800" i="5"/>
  <c r="AH800" i="5" s="1"/>
  <c r="AF800" i="5"/>
  <c r="AJ799" i="5"/>
  <c r="AI799" i="5"/>
  <c r="AG799" i="5"/>
  <c r="AF799" i="5"/>
  <c r="AJ798" i="5"/>
  <c r="AI798" i="5"/>
  <c r="AG798" i="5"/>
  <c r="AF798" i="5"/>
  <c r="AJ797" i="5"/>
  <c r="AI797" i="5"/>
  <c r="AG797" i="5"/>
  <c r="AF797" i="5"/>
  <c r="AJ796" i="5"/>
  <c r="AI796" i="5"/>
  <c r="AG796" i="5"/>
  <c r="AF796" i="5"/>
  <c r="AJ795" i="5"/>
  <c r="AI795" i="5"/>
  <c r="AG795" i="5"/>
  <c r="AF795" i="5"/>
  <c r="AJ794" i="5"/>
  <c r="AI794" i="5"/>
  <c r="AG794" i="5"/>
  <c r="AF794" i="5"/>
  <c r="AJ793" i="5"/>
  <c r="AI793" i="5"/>
  <c r="AG793" i="5"/>
  <c r="AF793" i="5"/>
  <c r="AJ792" i="5"/>
  <c r="AI792" i="5"/>
  <c r="AG792" i="5"/>
  <c r="AF792" i="5"/>
  <c r="AJ791" i="5"/>
  <c r="AI791" i="5"/>
  <c r="AG791" i="5"/>
  <c r="AF791" i="5"/>
  <c r="AJ790" i="5"/>
  <c r="AI790" i="5"/>
  <c r="AG790" i="5"/>
  <c r="AF790" i="5"/>
  <c r="AJ789" i="5"/>
  <c r="AI789" i="5"/>
  <c r="AG789" i="5"/>
  <c r="AF789" i="5"/>
  <c r="AJ788" i="5"/>
  <c r="AI788" i="5"/>
  <c r="AG788" i="5"/>
  <c r="AH788" i="5" s="1"/>
  <c r="AK788" i="5" s="1"/>
  <c r="AF788" i="5"/>
  <c r="AJ787" i="5"/>
  <c r="AI787" i="5"/>
  <c r="AG787" i="5"/>
  <c r="AF787" i="5"/>
  <c r="AH787" i="5" s="1"/>
  <c r="AJ786" i="5"/>
  <c r="AI786" i="5"/>
  <c r="AG786" i="5"/>
  <c r="AF786" i="5"/>
  <c r="AJ785" i="5"/>
  <c r="AI785" i="5"/>
  <c r="AG785" i="5"/>
  <c r="AF785" i="5"/>
  <c r="AJ784" i="5"/>
  <c r="AI784" i="5"/>
  <c r="AG784" i="5"/>
  <c r="AF784" i="5"/>
  <c r="AJ783" i="5"/>
  <c r="AI783" i="5"/>
  <c r="AG783" i="5"/>
  <c r="AF783" i="5"/>
  <c r="AJ782" i="5"/>
  <c r="AI782" i="5"/>
  <c r="AG782" i="5"/>
  <c r="AF782" i="5"/>
  <c r="AJ781" i="5"/>
  <c r="AI781" i="5"/>
  <c r="AG781" i="5"/>
  <c r="AF781" i="5"/>
  <c r="AJ780" i="5"/>
  <c r="AI780" i="5"/>
  <c r="AG780" i="5"/>
  <c r="AF780" i="5"/>
  <c r="AJ779" i="5"/>
  <c r="AI779" i="5"/>
  <c r="AG779" i="5"/>
  <c r="AF779" i="5"/>
  <c r="AJ778" i="5"/>
  <c r="AI778" i="5"/>
  <c r="AG778" i="5"/>
  <c r="AF778" i="5"/>
  <c r="AJ777" i="5"/>
  <c r="AI777" i="5"/>
  <c r="AG777" i="5"/>
  <c r="AF777" i="5"/>
  <c r="AJ776" i="5"/>
  <c r="AI776" i="5"/>
  <c r="AG776" i="5"/>
  <c r="AF776" i="5"/>
  <c r="AJ775" i="5"/>
  <c r="AI775" i="5"/>
  <c r="AG775" i="5"/>
  <c r="AF775" i="5"/>
  <c r="AJ774" i="5"/>
  <c r="AI774" i="5"/>
  <c r="AG774" i="5"/>
  <c r="AF774" i="5"/>
  <c r="AJ773" i="5"/>
  <c r="AI773" i="5"/>
  <c r="AG773" i="5"/>
  <c r="AF773" i="5"/>
  <c r="AJ772" i="5"/>
  <c r="AI772" i="5"/>
  <c r="AG772" i="5"/>
  <c r="AF772" i="5"/>
  <c r="AJ771" i="5"/>
  <c r="AI771" i="5"/>
  <c r="AG771" i="5"/>
  <c r="AF771" i="5"/>
  <c r="AJ770" i="5"/>
  <c r="AI770" i="5"/>
  <c r="AG770" i="5"/>
  <c r="AF770" i="5"/>
  <c r="AJ769" i="5"/>
  <c r="AI769" i="5"/>
  <c r="AG769" i="5"/>
  <c r="AF769" i="5"/>
  <c r="AJ768" i="5"/>
  <c r="AI768" i="5"/>
  <c r="AG768" i="5"/>
  <c r="AF768" i="5"/>
  <c r="AJ767" i="5"/>
  <c r="AI767" i="5"/>
  <c r="AG767" i="5"/>
  <c r="AF767" i="5"/>
  <c r="AH767" i="5" s="1"/>
  <c r="AK767" i="5" s="1"/>
  <c r="AJ766" i="5"/>
  <c r="AI766" i="5"/>
  <c r="AG766" i="5"/>
  <c r="AF766" i="5"/>
  <c r="AJ765" i="5"/>
  <c r="AI765" i="5"/>
  <c r="AG765" i="5"/>
  <c r="AF765" i="5"/>
  <c r="AJ764" i="5"/>
  <c r="AI764" i="5"/>
  <c r="AG764" i="5"/>
  <c r="AF764" i="5"/>
  <c r="AJ763" i="5"/>
  <c r="AI763" i="5"/>
  <c r="AG763" i="5"/>
  <c r="AF763" i="5"/>
  <c r="AJ762" i="5"/>
  <c r="AI762" i="5"/>
  <c r="AG762" i="5"/>
  <c r="AF762" i="5"/>
  <c r="AH762" i="5" s="1"/>
  <c r="AJ761" i="5"/>
  <c r="AI761" i="5"/>
  <c r="AG761" i="5"/>
  <c r="AF761" i="5"/>
  <c r="AJ760" i="5"/>
  <c r="AI760" i="5"/>
  <c r="AG760" i="5"/>
  <c r="AF760" i="5"/>
  <c r="AJ759" i="5"/>
  <c r="AI759" i="5"/>
  <c r="AG759" i="5"/>
  <c r="AF759" i="5"/>
  <c r="AJ758" i="5"/>
  <c r="AI758" i="5"/>
  <c r="AG758" i="5"/>
  <c r="AF758" i="5"/>
  <c r="AJ757" i="5"/>
  <c r="AI757" i="5"/>
  <c r="AG757" i="5"/>
  <c r="AF757" i="5"/>
  <c r="AH757" i="5" s="1"/>
  <c r="AJ756" i="5"/>
  <c r="AI756" i="5"/>
  <c r="AG756" i="5"/>
  <c r="AF756" i="5"/>
  <c r="AJ755" i="5"/>
  <c r="AI755" i="5"/>
  <c r="AG755" i="5"/>
  <c r="AF755" i="5"/>
  <c r="AH755" i="5" s="1"/>
  <c r="AJ754" i="5"/>
  <c r="AI754" i="5"/>
  <c r="AG754" i="5"/>
  <c r="AF754" i="5"/>
  <c r="AJ753" i="5"/>
  <c r="AI753" i="5"/>
  <c r="AG753" i="5"/>
  <c r="AF753" i="5"/>
  <c r="AJ752" i="5"/>
  <c r="AI752" i="5"/>
  <c r="AG752" i="5"/>
  <c r="AF752" i="5"/>
  <c r="AH752" i="5" s="1"/>
  <c r="AJ751" i="5"/>
  <c r="AI751" i="5"/>
  <c r="AG751" i="5"/>
  <c r="AF751" i="5"/>
  <c r="AJ750" i="5"/>
  <c r="AI750" i="5"/>
  <c r="AG750" i="5"/>
  <c r="AF750" i="5"/>
  <c r="AJ749" i="5"/>
  <c r="AI749" i="5"/>
  <c r="AG749" i="5"/>
  <c r="AF749" i="5"/>
  <c r="AJ748" i="5"/>
  <c r="AI748" i="5"/>
  <c r="AG748" i="5"/>
  <c r="AF748" i="5"/>
  <c r="AJ747" i="5"/>
  <c r="AI747" i="5"/>
  <c r="AG747" i="5"/>
  <c r="AF747" i="5"/>
  <c r="AJ746" i="5"/>
  <c r="AI746" i="5"/>
  <c r="AG746" i="5"/>
  <c r="AF746" i="5"/>
  <c r="AJ745" i="5"/>
  <c r="AI745" i="5"/>
  <c r="AG745" i="5"/>
  <c r="AF745" i="5"/>
  <c r="AJ744" i="5"/>
  <c r="AI744" i="5"/>
  <c r="AG744" i="5"/>
  <c r="AF744" i="5"/>
  <c r="AJ743" i="5"/>
  <c r="AI743" i="5"/>
  <c r="AG743" i="5"/>
  <c r="AF743" i="5"/>
  <c r="AJ742" i="5"/>
  <c r="AI742" i="5"/>
  <c r="AG742" i="5"/>
  <c r="AF742" i="5"/>
  <c r="AJ741" i="5"/>
  <c r="AI741" i="5"/>
  <c r="AG741" i="5"/>
  <c r="AF741" i="5"/>
  <c r="AJ740" i="5"/>
  <c r="AI740" i="5"/>
  <c r="AG740" i="5"/>
  <c r="AF740" i="5"/>
  <c r="AJ739" i="5"/>
  <c r="AI739" i="5"/>
  <c r="AG739" i="5"/>
  <c r="AF739" i="5"/>
  <c r="AH739" i="5" s="1"/>
  <c r="AJ738" i="5"/>
  <c r="AI738" i="5"/>
  <c r="AG738" i="5"/>
  <c r="AF738" i="5"/>
  <c r="AH738" i="5" s="1"/>
  <c r="AJ737" i="5"/>
  <c r="AI737" i="5"/>
  <c r="AG737" i="5"/>
  <c r="AF737" i="5"/>
  <c r="AJ736" i="5"/>
  <c r="AI736" i="5"/>
  <c r="AG736" i="5"/>
  <c r="AF736" i="5"/>
  <c r="AH736" i="5" s="1"/>
  <c r="AJ735" i="5"/>
  <c r="AI735" i="5"/>
  <c r="AG735" i="5"/>
  <c r="AF735" i="5"/>
  <c r="AJ734" i="5"/>
  <c r="AI734" i="5"/>
  <c r="AG734" i="5"/>
  <c r="AF734" i="5"/>
  <c r="AJ733" i="5"/>
  <c r="AI733" i="5"/>
  <c r="AG733" i="5"/>
  <c r="AF733" i="5"/>
  <c r="AJ732" i="5"/>
  <c r="AI732" i="5"/>
  <c r="AG732" i="5"/>
  <c r="AF732" i="5"/>
  <c r="AJ731" i="5"/>
  <c r="AI731" i="5"/>
  <c r="AG731" i="5"/>
  <c r="AF731" i="5"/>
  <c r="AJ730" i="5"/>
  <c r="AI730" i="5"/>
  <c r="AG730" i="5"/>
  <c r="AF730" i="5"/>
  <c r="AJ729" i="5"/>
  <c r="AI729" i="5"/>
  <c r="AG729" i="5"/>
  <c r="AF729" i="5"/>
  <c r="AJ728" i="5"/>
  <c r="AI728" i="5"/>
  <c r="AG728" i="5"/>
  <c r="AF728" i="5"/>
  <c r="AJ727" i="5"/>
  <c r="AI727" i="5"/>
  <c r="AG727" i="5"/>
  <c r="AF727" i="5"/>
  <c r="AJ726" i="5"/>
  <c r="AI726" i="5"/>
  <c r="AG726" i="5"/>
  <c r="AF726" i="5"/>
  <c r="AJ725" i="5"/>
  <c r="AI725" i="5"/>
  <c r="AG725" i="5"/>
  <c r="AF725" i="5"/>
  <c r="AJ724" i="5"/>
  <c r="AI724" i="5"/>
  <c r="AG724" i="5"/>
  <c r="AF724" i="5"/>
  <c r="AJ723" i="5"/>
  <c r="AI723" i="5"/>
  <c r="AG723" i="5"/>
  <c r="AH723" i="5" s="1"/>
  <c r="AF723" i="5"/>
  <c r="AJ722" i="5"/>
  <c r="AI722" i="5"/>
  <c r="AG722" i="5"/>
  <c r="AF722" i="5"/>
  <c r="AJ721" i="5"/>
  <c r="AI721" i="5"/>
  <c r="AG721" i="5"/>
  <c r="AF721" i="5"/>
  <c r="AJ720" i="5"/>
  <c r="AI720" i="5"/>
  <c r="AG720" i="5"/>
  <c r="AF720" i="5"/>
  <c r="AJ719" i="5"/>
  <c r="AI719" i="5"/>
  <c r="AG719" i="5"/>
  <c r="AF719" i="5"/>
  <c r="AJ718" i="5"/>
  <c r="AI718" i="5"/>
  <c r="AG718" i="5"/>
  <c r="AF718" i="5"/>
  <c r="AJ717" i="5"/>
  <c r="AI717" i="5"/>
  <c r="AG717" i="5"/>
  <c r="AF717" i="5"/>
  <c r="AJ716" i="5"/>
  <c r="AI716" i="5"/>
  <c r="AG716" i="5"/>
  <c r="AF716" i="5"/>
  <c r="AH716" i="5" s="1"/>
  <c r="AJ715" i="5"/>
  <c r="AI715" i="5"/>
  <c r="AG715" i="5"/>
  <c r="AF715" i="5"/>
  <c r="AJ714" i="5"/>
  <c r="AI714" i="5"/>
  <c r="AG714" i="5"/>
  <c r="AF714" i="5"/>
  <c r="AH714" i="5" s="1"/>
  <c r="AJ713" i="5"/>
  <c r="AI713" i="5"/>
  <c r="AG713" i="5"/>
  <c r="AF713" i="5"/>
  <c r="AH713" i="5" s="1"/>
  <c r="AJ712" i="5"/>
  <c r="AI712" i="5"/>
  <c r="AG712" i="5"/>
  <c r="AF712" i="5"/>
  <c r="AJ711" i="5"/>
  <c r="AI711" i="5"/>
  <c r="AG711" i="5"/>
  <c r="AF711" i="5"/>
  <c r="AH711" i="5" s="1"/>
  <c r="AJ710" i="5"/>
  <c r="AI710" i="5"/>
  <c r="AG710" i="5"/>
  <c r="AF710" i="5"/>
  <c r="AJ709" i="5"/>
  <c r="AI709" i="5"/>
  <c r="AG709" i="5"/>
  <c r="AF709" i="5"/>
  <c r="AJ708" i="5"/>
  <c r="AI708" i="5"/>
  <c r="AG708" i="5"/>
  <c r="AF708" i="5"/>
  <c r="AJ707" i="5"/>
  <c r="AI707" i="5"/>
  <c r="AG707" i="5"/>
  <c r="AF707" i="5"/>
  <c r="AH707" i="5" s="1"/>
  <c r="AJ706" i="5"/>
  <c r="AI706" i="5"/>
  <c r="AG706" i="5"/>
  <c r="AF706" i="5"/>
  <c r="AJ705" i="5"/>
  <c r="AI705" i="5"/>
  <c r="AG705" i="5"/>
  <c r="AF705" i="5"/>
  <c r="AJ704" i="5"/>
  <c r="AI704" i="5"/>
  <c r="AG704" i="5"/>
  <c r="AF704" i="5"/>
  <c r="AH704" i="5" s="1"/>
  <c r="AK704" i="5" s="1"/>
  <c r="AJ703" i="5"/>
  <c r="AI703" i="5"/>
  <c r="AG703" i="5"/>
  <c r="AH703" i="5" s="1"/>
  <c r="AF703" i="5"/>
  <c r="AJ702" i="5"/>
  <c r="AI702" i="5"/>
  <c r="AG702" i="5"/>
  <c r="AF702" i="5"/>
  <c r="AJ701" i="5"/>
  <c r="AI701" i="5"/>
  <c r="AG701" i="5"/>
  <c r="AF701" i="5"/>
  <c r="AJ700" i="5"/>
  <c r="AI700" i="5"/>
  <c r="AG700" i="5"/>
  <c r="AF700" i="5"/>
  <c r="AJ699" i="5"/>
  <c r="AI699" i="5"/>
  <c r="AG699" i="5"/>
  <c r="AF699" i="5"/>
  <c r="AJ698" i="5"/>
  <c r="AI698" i="5"/>
  <c r="AG698" i="5"/>
  <c r="AF698" i="5"/>
  <c r="AJ697" i="5"/>
  <c r="AI697" i="5"/>
  <c r="AG697" i="5"/>
  <c r="AF697" i="5"/>
  <c r="AJ696" i="5"/>
  <c r="AI696" i="5"/>
  <c r="AG696" i="5"/>
  <c r="AF696" i="5"/>
  <c r="AJ695" i="5"/>
  <c r="AI695" i="5"/>
  <c r="AG695" i="5"/>
  <c r="AF695" i="5"/>
  <c r="AJ694" i="5"/>
  <c r="AI694" i="5"/>
  <c r="AG694" i="5"/>
  <c r="AF694" i="5"/>
  <c r="AJ693" i="5"/>
  <c r="AI693" i="5"/>
  <c r="AG693" i="5"/>
  <c r="AF693" i="5"/>
  <c r="AJ692" i="5"/>
  <c r="AI692" i="5"/>
  <c r="AG692" i="5"/>
  <c r="AF692" i="5"/>
  <c r="AJ691" i="5"/>
  <c r="AI691" i="5"/>
  <c r="AG691" i="5"/>
  <c r="AH691" i="5" s="1"/>
  <c r="AF691" i="5"/>
  <c r="AJ690" i="5"/>
  <c r="AI690" i="5"/>
  <c r="AG690" i="5"/>
  <c r="AF690" i="5"/>
  <c r="AJ689" i="5"/>
  <c r="AI689" i="5"/>
  <c r="AG689" i="5"/>
  <c r="AF689" i="5"/>
  <c r="AJ688" i="5"/>
  <c r="AI688" i="5"/>
  <c r="AH688" i="5"/>
  <c r="AG688" i="5"/>
  <c r="AF688" i="5"/>
  <c r="AJ687" i="5"/>
  <c r="AI687" i="5"/>
  <c r="AG687" i="5"/>
  <c r="AF687" i="5"/>
  <c r="AJ686" i="5"/>
  <c r="AI686" i="5"/>
  <c r="AG686" i="5"/>
  <c r="AF686" i="5"/>
  <c r="AJ685" i="5"/>
  <c r="AI685" i="5"/>
  <c r="AG685" i="5"/>
  <c r="AF685" i="5"/>
  <c r="AH685" i="5" s="1"/>
  <c r="AJ684" i="5"/>
  <c r="AI684" i="5"/>
  <c r="AG684" i="5"/>
  <c r="AF684" i="5"/>
  <c r="AJ683" i="5"/>
  <c r="AI683" i="5"/>
  <c r="AG683" i="5"/>
  <c r="AF683" i="5"/>
  <c r="AJ682" i="5"/>
  <c r="AI682" i="5"/>
  <c r="AG682" i="5"/>
  <c r="AF682" i="5"/>
  <c r="AJ681" i="5"/>
  <c r="AI681" i="5"/>
  <c r="AG681" i="5"/>
  <c r="AF681" i="5"/>
  <c r="AJ680" i="5"/>
  <c r="AI680" i="5"/>
  <c r="AG680" i="5"/>
  <c r="AF680" i="5"/>
  <c r="AJ679" i="5"/>
  <c r="AI679" i="5"/>
  <c r="AG679" i="5"/>
  <c r="AF679" i="5"/>
  <c r="AJ678" i="5"/>
  <c r="AI678" i="5"/>
  <c r="AG678" i="5"/>
  <c r="AF678" i="5"/>
  <c r="AJ677" i="5"/>
  <c r="AI677" i="5"/>
  <c r="AG677" i="5"/>
  <c r="AF677" i="5"/>
  <c r="AJ676" i="5"/>
  <c r="AI676" i="5"/>
  <c r="AG676" i="5"/>
  <c r="AF676" i="5"/>
  <c r="AJ675" i="5"/>
  <c r="AI675" i="5"/>
  <c r="AG675" i="5"/>
  <c r="AF675" i="5"/>
  <c r="AH675" i="5" s="1"/>
  <c r="AJ674" i="5"/>
  <c r="AI674" i="5"/>
  <c r="AG674" i="5"/>
  <c r="AF674" i="5"/>
  <c r="AJ673" i="5"/>
  <c r="AI673" i="5"/>
  <c r="AG673" i="5"/>
  <c r="AF673" i="5"/>
  <c r="AJ672" i="5"/>
  <c r="AI672" i="5"/>
  <c r="AG672" i="5"/>
  <c r="AF672" i="5"/>
  <c r="AJ671" i="5"/>
  <c r="AI671" i="5"/>
  <c r="AG671" i="5"/>
  <c r="AF671" i="5"/>
  <c r="AJ670" i="5"/>
  <c r="AI670" i="5"/>
  <c r="AG670" i="5"/>
  <c r="AF670" i="5"/>
  <c r="AJ669" i="5"/>
  <c r="AI669" i="5"/>
  <c r="AG669" i="5"/>
  <c r="AF669" i="5"/>
  <c r="AJ668" i="5"/>
  <c r="AI668" i="5"/>
  <c r="AG668" i="5"/>
  <c r="AH668" i="5" s="1"/>
  <c r="AF668" i="5"/>
  <c r="AJ667" i="5"/>
  <c r="AI667" i="5"/>
  <c r="AG667" i="5"/>
  <c r="AF667" i="5"/>
  <c r="AJ666" i="5"/>
  <c r="AI666" i="5"/>
  <c r="AG666" i="5"/>
  <c r="AF666" i="5"/>
  <c r="AJ665" i="5"/>
  <c r="AI665" i="5"/>
  <c r="AG665" i="5"/>
  <c r="AF665" i="5"/>
  <c r="AJ664" i="5"/>
  <c r="AI664" i="5"/>
  <c r="AG664" i="5"/>
  <c r="AF664" i="5"/>
  <c r="AJ663" i="5"/>
  <c r="AI663" i="5"/>
  <c r="AG663" i="5"/>
  <c r="AF663" i="5"/>
  <c r="AJ662" i="5"/>
  <c r="AI662" i="5"/>
  <c r="AG662" i="5"/>
  <c r="AF662" i="5"/>
  <c r="AJ661" i="5"/>
  <c r="AI661" i="5"/>
  <c r="AG661" i="5"/>
  <c r="AF661" i="5"/>
  <c r="AJ660" i="5"/>
  <c r="AI660" i="5"/>
  <c r="AG660" i="5"/>
  <c r="AH660" i="5" s="1"/>
  <c r="AF660" i="5"/>
  <c r="AJ659" i="5"/>
  <c r="AI659" i="5"/>
  <c r="AG659" i="5"/>
  <c r="AF659" i="5"/>
  <c r="AJ658" i="5"/>
  <c r="AI658" i="5"/>
  <c r="AG658" i="5"/>
  <c r="AF658" i="5"/>
  <c r="AJ657" i="5"/>
  <c r="AI657" i="5"/>
  <c r="AG657" i="5"/>
  <c r="AF657" i="5"/>
  <c r="AJ656" i="5"/>
  <c r="AI656" i="5"/>
  <c r="AH656" i="5"/>
  <c r="AG656" i="5"/>
  <c r="AF656" i="5"/>
  <c r="AJ655" i="5"/>
  <c r="AI655" i="5"/>
  <c r="AG655" i="5"/>
  <c r="AF655" i="5"/>
  <c r="AJ654" i="5"/>
  <c r="AI654" i="5"/>
  <c r="AG654" i="5"/>
  <c r="AF654" i="5"/>
  <c r="AH654" i="5" s="1"/>
  <c r="AJ653" i="5"/>
  <c r="AI653" i="5"/>
  <c r="AG653" i="5"/>
  <c r="AF653" i="5"/>
  <c r="AJ652" i="5"/>
  <c r="AI652" i="5"/>
  <c r="AG652" i="5"/>
  <c r="AF652" i="5"/>
  <c r="AJ651" i="5"/>
  <c r="AI651" i="5"/>
  <c r="AG651" i="5"/>
  <c r="AF651" i="5"/>
  <c r="AJ650" i="5"/>
  <c r="AI650" i="5"/>
  <c r="AG650" i="5"/>
  <c r="AF650" i="5"/>
  <c r="AJ649" i="5"/>
  <c r="AI649" i="5"/>
  <c r="AG649" i="5"/>
  <c r="AF649" i="5"/>
  <c r="AJ648" i="5"/>
  <c r="AI648" i="5"/>
  <c r="AG648" i="5"/>
  <c r="AF648" i="5"/>
  <c r="AJ647" i="5"/>
  <c r="AI647" i="5"/>
  <c r="AG647" i="5"/>
  <c r="AF647" i="5"/>
  <c r="AJ646" i="5"/>
  <c r="AI646" i="5"/>
  <c r="AG646" i="5"/>
  <c r="AF646" i="5"/>
  <c r="AJ645" i="5"/>
  <c r="AI645" i="5"/>
  <c r="AG645" i="5"/>
  <c r="AF645" i="5"/>
  <c r="AJ644" i="5"/>
  <c r="AI644" i="5"/>
  <c r="AG644" i="5"/>
  <c r="AF644" i="5"/>
  <c r="AJ643" i="5"/>
  <c r="AI643" i="5"/>
  <c r="AG643" i="5"/>
  <c r="AF643" i="5"/>
  <c r="AJ642" i="5"/>
  <c r="AI642" i="5"/>
  <c r="AG642" i="5"/>
  <c r="AF642" i="5"/>
  <c r="AJ641" i="5"/>
  <c r="AI641" i="5"/>
  <c r="AG641" i="5"/>
  <c r="AF641" i="5"/>
  <c r="AJ640" i="5"/>
  <c r="AI640" i="5"/>
  <c r="AG640" i="5"/>
  <c r="AF640" i="5"/>
  <c r="AJ639" i="5"/>
  <c r="AI639" i="5"/>
  <c r="AG639" i="5"/>
  <c r="AF639" i="5"/>
  <c r="AJ638" i="5"/>
  <c r="AI638" i="5"/>
  <c r="AG638" i="5"/>
  <c r="AF638" i="5"/>
  <c r="AJ637" i="5"/>
  <c r="AI637" i="5"/>
  <c r="AG637" i="5"/>
  <c r="AF637" i="5"/>
  <c r="AJ636" i="5"/>
  <c r="AI636" i="5"/>
  <c r="AG636" i="5"/>
  <c r="AF636" i="5"/>
  <c r="AH636" i="5" s="1"/>
  <c r="AJ635" i="5"/>
  <c r="AI635" i="5"/>
  <c r="AG635" i="5"/>
  <c r="AF635" i="5"/>
  <c r="AJ634" i="5"/>
  <c r="AI634" i="5"/>
  <c r="AG634" i="5"/>
  <c r="AF634" i="5"/>
  <c r="AJ633" i="5"/>
  <c r="AI633" i="5"/>
  <c r="AG633" i="5"/>
  <c r="AF633" i="5"/>
  <c r="AJ632" i="5"/>
  <c r="AI632" i="5"/>
  <c r="AG632" i="5"/>
  <c r="AF632" i="5"/>
  <c r="AJ631" i="5"/>
  <c r="AI631" i="5"/>
  <c r="AG631" i="5"/>
  <c r="AF631" i="5"/>
  <c r="AJ630" i="5"/>
  <c r="AI630" i="5"/>
  <c r="AG630" i="5"/>
  <c r="AF630" i="5"/>
  <c r="AJ629" i="5"/>
  <c r="AI629" i="5"/>
  <c r="AG629" i="5"/>
  <c r="AF629" i="5"/>
  <c r="AJ628" i="5"/>
  <c r="AI628" i="5"/>
  <c r="AG628" i="5"/>
  <c r="AF628" i="5"/>
  <c r="AJ627" i="5"/>
  <c r="AI627" i="5"/>
  <c r="AG627" i="5"/>
  <c r="AF627" i="5"/>
  <c r="AJ626" i="5"/>
  <c r="AI626" i="5"/>
  <c r="AG626" i="5"/>
  <c r="AF626" i="5"/>
  <c r="AJ625" i="5"/>
  <c r="AI625" i="5"/>
  <c r="AG625" i="5"/>
  <c r="AF625" i="5"/>
  <c r="AJ624" i="5"/>
  <c r="AI624" i="5"/>
  <c r="AG624" i="5"/>
  <c r="AF624" i="5"/>
  <c r="AH624" i="5" s="1"/>
  <c r="AJ623" i="5"/>
  <c r="AI623" i="5"/>
  <c r="AG623" i="5"/>
  <c r="AF623" i="5"/>
  <c r="AJ622" i="5"/>
  <c r="AI622" i="5"/>
  <c r="AG622" i="5"/>
  <c r="AF622" i="5"/>
  <c r="AJ621" i="5"/>
  <c r="AI621" i="5"/>
  <c r="AG621" i="5"/>
  <c r="AF621" i="5"/>
  <c r="AJ620" i="5"/>
  <c r="AI620" i="5"/>
  <c r="AG620" i="5"/>
  <c r="AH620" i="5" s="1"/>
  <c r="AF620" i="5"/>
  <c r="AJ619" i="5"/>
  <c r="AI619" i="5"/>
  <c r="AG619" i="5"/>
  <c r="AF619" i="5"/>
  <c r="AJ618" i="5"/>
  <c r="AI618" i="5"/>
  <c r="AG618" i="5"/>
  <c r="AF618" i="5"/>
  <c r="AJ617" i="5"/>
  <c r="AI617" i="5"/>
  <c r="AG617" i="5"/>
  <c r="AF617" i="5"/>
  <c r="AJ616" i="5"/>
  <c r="AI616" i="5"/>
  <c r="AG616" i="5"/>
  <c r="AF616" i="5"/>
  <c r="AJ615" i="5"/>
  <c r="AI615" i="5"/>
  <c r="AG615" i="5"/>
  <c r="AF615" i="5"/>
  <c r="AJ614" i="5"/>
  <c r="AI614" i="5"/>
  <c r="AG614" i="5"/>
  <c r="AF614" i="5"/>
  <c r="AJ613" i="5"/>
  <c r="AI613" i="5"/>
  <c r="AG613" i="5"/>
  <c r="AF613" i="5"/>
  <c r="AJ612" i="5"/>
  <c r="AI612" i="5"/>
  <c r="AG612" i="5"/>
  <c r="AH612" i="5" s="1"/>
  <c r="AF612" i="5"/>
  <c r="AJ611" i="5"/>
  <c r="AI611" i="5"/>
  <c r="AG611" i="5"/>
  <c r="AF611" i="5"/>
  <c r="AH611" i="5" s="1"/>
  <c r="AK611" i="5" s="1"/>
  <c r="AJ610" i="5"/>
  <c r="AI610" i="5"/>
  <c r="AG610" i="5"/>
  <c r="AF610" i="5"/>
  <c r="AJ609" i="5"/>
  <c r="AI609" i="5"/>
  <c r="AG609" i="5"/>
  <c r="AF609" i="5"/>
  <c r="AJ608" i="5"/>
  <c r="AI608" i="5"/>
  <c r="AG608" i="5"/>
  <c r="AH608" i="5" s="1"/>
  <c r="AF608" i="5"/>
  <c r="AJ607" i="5"/>
  <c r="AI607" i="5"/>
  <c r="AG607" i="5"/>
  <c r="AF607" i="5"/>
  <c r="AJ606" i="5"/>
  <c r="AI606" i="5"/>
  <c r="AG606" i="5"/>
  <c r="AF606" i="5"/>
  <c r="AJ605" i="5"/>
  <c r="AI605" i="5"/>
  <c r="AG605" i="5"/>
  <c r="AF605" i="5"/>
  <c r="AJ604" i="5"/>
  <c r="AI604" i="5"/>
  <c r="AG604" i="5"/>
  <c r="AF604" i="5"/>
  <c r="AJ603" i="5"/>
  <c r="AI603" i="5"/>
  <c r="AG603" i="5"/>
  <c r="AF603" i="5"/>
  <c r="AJ602" i="5"/>
  <c r="AI602" i="5"/>
  <c r="AG602" i="5"/>
  <c r="AF602" i="5"/>
  <c r="AJ601" i="5"/>
  <c r="AI601" i="5"/>
  <c r="AG601" i="5"/>
  <c r="AF601" i="5"/>
  <c r="AJ600" i="5"/>
  <c r="AI600" i="5"/>
  <c r="AG600" i="5"/>
  <c r="AF600" i="5"/>
  <c r="AJ599" i="5"/>
  <c r="AI599" i="5"/>
  <c r="AG599" i="5"/>
  <c r="AF599" i="5"/>
  <c r="AJ598" i="5"/>
  <c r="AI598" i="5"/>
  <c r="AG598" i="5"/>
  <c r="AF598" i="5"/>
  <c r="AJ597" i="5"/>
  <c r="AI597" i="5"/>
  <c r="AG597" i="5"/>
  <c r="AF597" i="5"/>
  <c r="AJ596" i="5"/>
  <c r="AI596" i="5"/>
  <c r="AG596" i="5"/>
  <c r="AF596" i="5"/>
  <c r="AJ595" i="5"/>
  <c r="AI595" i="5"/>
  <c r="AG595" i="5"/>
  <c r="AF595" i="5"/>
  <c r="AJ594" i="5"/>
  <c r="AI594" i="5"/>
  <c r="AG594" i="5"/>
  <c r="AF594" i="5"/>
  <c r="AJ593" i="5"/>
  <c r="AI593" i="5"/>
  <c r="AG593" i="5"/>
  <c r="AF593" i="5"/>
  <c r="AJ592" i="5"/>
  <c r="AI592" i="5"/>
  <c r="AG592" i="5"/>
  <c r="AF592" i="5"/>
  <c r="AJ591" i="5"/>
  <c r="AI591" i="5"/>
  <c r="AG591" i="5"/>
  <c r="AF591" i="5"/>
  <c r="AJ590" i="5"/>
  <c r="AI590" i="5"/>
  <c r="AG590" i="5"/>
  <c r="AF590" i="5"/>
  <c r="AJ589" i="5"/>
  <c r="AI589" i="5"/>
  <c r="AG589" i="5"/>
  <c r="AF589" i="5"/>
  <c r="AJ588" i="5"/>
  <c r="AI588" i="5"/>
  <c r="AG588" i="5"/>
  <c r="AF588" i="5"/>
  <c r="AJ587" i="5"/>
  <c r="AI587" i="5"/>
  <c r="AG587" i="5"/>
  <c r="AF587" i="5"/>
  <c r="AJ586" i="5"/>
  <c r="AI586" i="5"/>
  <c r="AG586" i="5"/>
  <c r="AF586" i="5"/>
  <c r="AJ585" i="5"/>
  <c r="AI585" i="5"/>
  <c r="AG585" i="5"/>
  <c r="AF585" i="5"/>
  <c r="AJ584" i="5"/>
  <c r="AI584" i="5"/>
  <c r="AG584" i="5"/>
  <c r="AF584" i="5"/>
  <c r="AJ583" i="5"/>
  <c r="AI583" i="5"/>
  <c r="AG583" i="5"/>
  <c r="AF583" i="5"/>
  <c r="AJ582" i="5"/>
  <c r="AI582" i="5"/>
  <c r="AG582" i="5"/>
  <c r="AF582" i="5"/>
  <c r="AJ581" i="5"/>
  <c r="AI581" i="5"/>
  <c r="AG581" i="5"/>
  <c r="AF581" i="5"/>
  <c r="AJ580" i="5"/>
  <c r="AI580" i="5"/>
  <c r="AG580" i="5"/>
  <c r="AF580" i="5"/>
  <c r="AJ579" i="5"/>
  <c r="AI579" i="5"/>
  <c r="AG579" i="5"/>
  <c r="AF579" i="5"/>
  <c r="AJ578" i="5"/>
  <c r="AI578" i="5"/>
  <c r="AG578" i="5"/>
  <c r="AF578" i="5"/>
  <c r="AJ577" i="5"/>
  <c r="AI577" i="5"/>
  <c r="AG577" i="5"/>
  <c r="AF577" i="5"/>
  <c r="AJ576" i="5"/>
  <c r="AI576" i="5"/>
  <c r="AG576" i="5"/>
  <c r="AH576" i="5" s="1"/>
  <c r="AF576" i="5"/>
  <c r="AJ575" i="5"/>
  <c r="AI575" i="5"/>
  <c r="AH575" i="5"/>
  <c r="AG575" i="5"/>
  <c r="AF575" i="5"/>
  <c r="AJ574" i="5"/>
  <c r="AI574" i="5"/>
  <c r="AG574" i="5"/>
  <c r="AF574" i="5"/>
  <c r="AH574" i="5" s="1"/>
  <c r="AJ573" i="5"/>
  <c r="AI573" i="5"/>
  <c r="AG573" i="5"/>
  <c r="AF573" i="5"/>
  <c r="AJ572" i="5"/>
  <c r="AI572" i="5"/>
  <c r="AG572" i="5"/>
  <c r="AF572" i="5"/>
  <c r="AJ571" i="5"/>
  <c r="AI571" i="5"/>
  <c r="AG571" i="5"/>
  <c r="AF571" i="5"/>
  <c r="AJ570" i="5"/>
  <c r="AI570" i="5"/>
  <c r="AG570" i="5"/>
  <c r="AF570" i="5"/>
  <c r="AH570" i="5" s="1"/>
  <c r="AK570" i="5" s="1"/>
  <c r="AJ569" i="5"/>
  <c r="AI569" i="5"/>
  <c r="AG569" i="5"/>
  <c r="AF569" i="5"/>
  <c r="AJ568" i="5"/>
  <c r="AI568" i="5"/>
  <c r="AG568" i="5"/>
  <c r="AF568" i="5"/>
  <c r="AJ567" i="5"/>
  <c r="AI567" i="5"/>
  <c r="AG567" i="5"/>
  <c r="AF567" i="5"/>
  <c r="AJ566" i="5"/>
  <c r="AI566" i="5"/>
  <c r="AG566" i="5"/>
  <c r="AF566" i="5"/>
  <c r="AJ565" i="5"/>
  <c r="AI565" i="5"/>
  <c r="AG565" i="5"/>
  <c r="AF565" i="5"/>
  <c r="AJ564" i="5"/>
  <c r="AI564" i="5"/>
  <c r="AG564" i="5"/>
  <c r="AF564" i="5"/>
  <c r="AJ563" i="5"/>
  <c r="AI563" i="5"/>
  <c r="AG563" i="5"/>
  <c r="AH563" i="5" s="1"/>
  <c r="AF563" i="5"/>
  <c r="AJ562" i="5"/>
  <c r="AI562" i="5"/>
  <c r="AG562" i="5"/>
  <c r="AF562" i="5"/>
  <c r="AJ561" i="5"/>
  <c r="AI561" i="5"/>
  <c r="AG561" i="5"/>
  <c r="AF561" i="5"/>
  <c r="AJ560" i="5"/>
  <c r="AI560" i="5"/>
  <c r="AG560" i="5"/>
  <c r="AF560" i="5"/>
  <c r="AH560" i="5" s="1"/>
  <c r="AJ559" i="5"/>
  <c r="AI559" i="5"/>
  <c r="AG559" i="5"/>
  <c r="AF559" i="5"/>
  <c r="AJ558" i="5"/>
  <c r="AI558" i="5"/>
  <c r="AG558" i="5"/>
  <c r="AF558" i="5"/>
  <c r="AH558" i="5" s="1"/>
  <c r="AJ557" i="5"/>
  <c r="AI557" i="5"/>
  <c r="AG557" i="5"/>
  <c r="AF557" i="5"/>
  <c r="AJ556" i="5"/>
  <c r="AI556" i="5"/>
  <c r="AG556" i="5"/>
  <c r="AF556" i="5"/>
  <c r="AJ555" i="5"/>
  <c r="AI555" i="5"/>
  <c r="AG555" i="5"/>
  <c r="AF555" i="5"/>
  <c r="AJ554" i="5"/>
  <c r="AI554" i="5"/>
  <c r="AG554" i="5"/>
  <c r="AF554" i="5"/>
  <c r="AH554" i="5" s="1"/>
  <c r="AJ553" i="5"/>
  <c r="AI553" i="5"/>
  <c r="AG553" i="5"/>
  <c r="AF553" i="5"/>
  <c r="AJ552" i="5"/>
  <c r="AI552" i="5"/>
  <c r="AG552" i="5"/>
  <c r="AF552" i="5"/>
  <c r="AJ551" i="5"/>
  <c r="AI551" i="5"/>
  <c r="AG551" i="5"/>
  <c r="AF551" i="5"/>
  <c r="AJ550" i="5"/>
  <c r="AI550" i="5"/>
  <c r="AG550" i="5"/>
  <c r="AF550" i="5"/>
  <c r="AJ549" i="5"/>
  <c r="AI549" i="5"/>
  <c r="AG549" i="5"/>
  <c r="AF549" i="5"/>
  <c r="AJ548" i="5"/>
  <c r="AI548" i="5"/>
  <c r="AG548" i="5"/>
  <c r="AF548" i="5"/>
  <c r="AJ547" i="5"/>
  <c r="AI547" i="5"/>
  <c r="AG547" i="5"/>
  <c r="AH547" i="5" s="1"/>
  <c r="AF547" i="5"/>
  <c r="AJ546" i="5"/>
  <c r="AI546" i="5"/>
  <c r="AG546" i="5"/>
  <c r="AF546" i="5"/>
  <c r="AJ545" i="5"/>
  <c r="AI545" i="5"/>
  <c r="AG545" i="5"/>
  <c r="AF545" i="5"/>
  <c r="AJ544" i="5"/>
  <c r="AI544" i="5"/>
  <c r="AG544" i="5"/>
  <c r="AF544" i="5"/>
  <c r="AJ543" i="5"/>
  <c r="AI543" i="5"/>
  <c r="AG543" i="5"/>
  <c r="AF543" i="5"/>
  <c r="AJ542" i="5"/>
  <c r="AI542" i="5"/>
  <c r="AG542" i="5"/>
  <c r="AF542" i="5"/>
  <c r="AJ541" i="5"/>
  <c r="AI541" i="5"/>
  <c r="AG541" i="5"/>
  <c r="AF541" i="5"/>
  <c r="AJ540" i="5"/>
  <c r="AI540" i="5"/>
  <c r="AG540" i="5"/>
  <c r="AF540" i="5"/>
  <c r="AJ539" i="5"/>
  <c r="AI539" i="5"/>
  <c r="AG539" i="5"/>
  <c r="AF539" i="5"/>
  <c r="AJ538" i="5"/>
  <c r="AI538" i="5"/>
  <c r="AG538" i="5"/>
  <c r="AF538" i="5"/>
  <c r="AJ537" i="5"/>
  <c r="AI537" i="5"/>
  <c r="AG537" i="5"/>
  <c r="AF537" i="5"/>
  <c r="AJ536" i="5"/>
  <c r="AI536" i="5"/>
  <c r="AG536" i="5"/>
  <c r="AF536" i="5"/>
  <c r="AJ535" i="5"/>
  <c r="AI535" i="5"/>
  <c r="AG535" i="5"/>
  <c r="AF535" i="5"/>
  <c r="AJ534" i="5"/>
  <c r="AI534" i="5"/>
  <c r="AG534" i="5"/>
  <c r="AF534" i="5"/>
  <c r="AJ533" i="5"/>
  <c r="AI533" i="5"/>
  <c r="AG533" i="5"/>
  <c r="AF533" i="5"/>
  <c r="AJ532" i="5"/>
  <c r="AI532" i="5"/>
  <c r="AG532" i="5"/>
  <c r="AF532" i="5"/>
  <c r="AJ531" i="5"/>
  <c r="AI531" i="5"/>
  <c r="AG531" i="5"/>
  <c r="AF531" i="5"/>
  <c r="AJ530" i="5"/>
  <c r="AI530" i="5"/>
  <c r="AG530" i="5"/>
  <c r="AF530" i="5"/>
  <c r="AJ529" i="5"/>
  <c r="AI529" i="5"/>
  <c r="AG529" i="5"/>
  <c r="AF529" i="5"/>
  <c r="AJ528" i="5"/>
  <c r="AI528" i="5"/>
  <c r="AG528" i="5"/>
  <c r="AF528" i="5"/>
  <c r="AJ527" i="5"/>
  <c r="AI527" i="5"/>
  <c r="AG527" i="5"/>
  <c r="AF527" i="5"/>
  <c r="AJ526" i="5"/>
  <c r="AI526" i="5"/>
  <c r="AG526" i="5"/>
  <c r="AF526" i="5"/>
  <c r="AJ525" i="5"/>
  <c r="AI525" i="5"/>
  <c r="AG525" i="5"/>
  <c r="AF525" i="5"/>
  <c r="AJ524" i="5"/>
  <c r="AI524" i="5"/>
  <c r="AG524" i="5"/>
  <c r="AF524" i="5"/>
  <c r="AJ523" i="5"/>
  <c r="AI523" i="5"/>
  <c r="AG523" i="5"/>
  <c r="AF523" i="5"/>
  <c r="AJ522" i="5"/>
  <c r="AI522" i="5"/>
  <c r="AG522" i="5"/>
  <c r="AF522" i="5"/>
  <c r="AJ521" i="5"/>
  <c r="AI521" i="5"/>
  <c r="AG521" i="5"/>
  <c r="AF521" i="5"/>
  <c r="AJ520" i="5"/>
  <c r="AI520" i="5"/>
  <c r="AG520" i="5"/>
  <c r="AF520" i="5"/>
  <c r="AJ519" i="5"/>
  <c r="AI519" i="5"/>
  <c r="AG519" i="5"/>
  <c r="AF519" i="5"/>
  <c r="AJ518" i="5"/>
  <c r="AI518" i="5"/>
  <c r="AG518" i="5"/>
  <c r="AF518" i="5"/>
  <c r="AJ517" i="5"/>
  <c r="AI517" i="5"/>
  <c r="AG517" i="5"/>
  <c r="AF517" i="5"/>
  <c r="AJ516" i="5"/>
  <c r="AI516" i="5"/>
  <c r="AG516" i="5"/>
  <c r="AF516" i="5"/>
  <c r="AJ515" i="5"/>
  <c r="AI515" i="5"/>
  <c r="AG515" i="5"/>
  <c r="AF515" i="5"/>
  <c r="AJ514" i="5"/>
  <c r="AI514" i="5"/>
  <c r="AG514" i="5"/>
  <c r="AF514" i="5"/>
  <c r="AJ513" i="5"/>
  <c r="AI513" i="5"/>
  <c r="AG513" i="5"/>
  <c r="AF513" i="5"/>
  <c r="AJ512" i="5"/>
  <c r="AI512" i="5"/>
  <c r="AG512" i="5"/>
  <c r="AF512" i="5"/>
  <c r="AJ511" i="5"/>
  <c r="AI511" i="5"/>
  <c r="AG511" i="5"/>
  <c r="AF511" i="5"/>
  <c r="AJ510" i="5"/>
  <c r="AI510" i="5"/>
  <c r="AG510" i="5"/>
  <c r="AF510" i="5"/>
  <c r="AJ509" i="5"/>
  <c r="AI509" i="5"/>
  <c r="AG509" i="5"/>
  <c r="AF509" i="5"/>
  <c r="AJ508" i="5"/>
  <c r="AI508" i="5"/>
  <c r="AG508" i="5"/>
  <c r="AF508" i="5"/>
  <c r="AJ507" i="5"/>
  <c r="AI507" i="5"/>
  <c r="AG507" i="5"/>
  <c r="AF507" i="5"/>
  <c r="AJ506" i="5"/>
  <c r="AI506" i="5"/>
  <c r="AG506" i="5"/>
  <c r="AF506" i="5"/>
  <c r="AJ505" i="5"/>
  <c r="AI505" i="5"/>
  <c r="AG505" i="5"/>
  <c r="AF505" i="5"/>
  <c r="AJ504" i="5"/>
  <c r="AI504" i="5"/>
  <c r="AG504" i="5"/>
  <c r="AF504" i="5"/>
  <c r="AJ503" i="5"/>
  <c r="AI503" i="5"/>
  <c r="AG503" i="5"/>
  <c r="AF503" i="5"/>
  <c r="AJ502" i="5"/>
  <c r="AI502" i="5"/>
  <c r="AG502" i="5"/>
  <c r="AF502" i="5"/>
  <c r="AJ501" i="5"/>
  <c r="AI501" i="5"/>
  <c r="AG501" i="5"/>
  <c r="AF501" i="5"/>
  <c r="AJ500" i="5"/>
  <c r="AI500" i="5"/>
  <c r="AG500" i="5"/>
  <c r="AF500" i="5"/>
  <c r="AJ499" i="5"/>
  <c r="AI499" i="5"/>
  <c r="AG499" i="5"/>
  <c r="AF499" i="5"/>
  <c r="AJ498" i="5"/>
  <c r="AI498" i="5"/>
  <c r="AG498" i="5"/>
  <c r="AF498" i="5"/>
  <c r="AJ497" i="5"/>
  <c r="AI497" i="5"/>
  <c r="AG497" i="5"/>
  <c r="AF497" i="5"/>
  <c r="AJ496" i="5"/>
  <c r="AI496" i="5"/>
  <c r="AG496" i="5"/>
  <c r="AF496" i="5"/>
  <c r="AJ495" i="5"/>
  <c r="AI495" i="5"/>
  <c r="AG495" i="5"/>
  <c r="AF495" i="5"/>
  <c r="AJ494" i="5"/>
  <c r="AI494" i="5"/>
  <c r="AG494" i="5"/>
  <c r="AF494" i="5"/>
  <c r="AJ493" i="5"/>
  <c r="AI493" i="5"/>
  <c r="AG493" i="5"/>
  <c r="AF493" i="5"/>
  <c r="AJ492" i="5"/>
  <c r="AI492" i="5"/>
  <c r="AG492" i="5"/>
  <c r="AF492" i="5"/>
  <c r="AJ491" i="5"/>
  <c r="AI491" i="5"/>
  <c r="AG491" i="5"/>
  <c r="AF491" i="5"/>
  <c r="AJ490" i="5"/>
  <c r="AI490" i="5"/>
  <c r="AG490" i="5"/>
  <c r="AF490" i="5"/>
  <c r="AJ489" i="5"/>
  <c r="AI489" i="5"/>
  <c r="AG489" i="5"/>
  <c r="AF489" i="5"/>
  <c r="AJ488" i="5"/>
  <c r="AI488" i="5"/>
  <c r="AG488" i="5"/>
  <c r="AF488" i="5"/>
  <c r="AJ487" i="5"/>
  <c r="AI487" i="5"/>
  <c r="AG487" i="5"/>
  <c r="AF487" i="5"/>
  <c r="AJ486" i="5"/>
  <c r="AI486" i="5"/>
  <c r="AG486" i="5"/>
  <c r="AF486" i="5"/>
  <c r="AJ485" i="5"/>
  <c r="AI485" i="5"/>
  <c r="AG485" i="5"/>
  <c r="AF485" i="5"/>
  <c r="AJ484" i="5"/>
  <c r="AI484" i="5"/>
  <c r="AG484" i="5"/>
  <c r="AF484" i="5"/>
  <c r="AJ483" i="5"/>
  <c r="AI483" i="5"/>
  <c r="AG483" i="5"/>
  <c r="AF483" i="5"/>
  <c r="AJ482" i="5"/>
  <c r="AI482" i="5"/>
  <c r="AG482" i="5"/>
  <c r="AF482" i="5"/>
  <c r="AJ481" i="5"/>
  <c r="AI481" i="5"/>
  <c r="AG481" i="5"/>
  <c r="AF481" i="5"/>
  <c r="AJ480" i="5"/>
  <c r="AI480" i="5"/>
  <c r="AG480" i="5"/>
  <c r="AF480" i="5"/>
  <c r="AJ479" i="5"/>
  <c r="AI479" i="5"/>
  <c r="AG479" i="5"/>
  <c r="AF479" i="5"/>
  <c r="AJ478" i="5"/>
  <c r="AI478" i="5"/>
  <c r="AG478" i="5"/>
  <c r="AF478" i="5"/>
  <c r="AJ477" i="5"/>
  <c r="AI477" i="5"/>
  <c r="AG477" i="5"/>
  <c r="AF477" i="5"/>
  <c r="AJ476" i="5"/>
  <c r="AI476" i="5"/>
  <c r="AG476" i="5"/>
  <c r="AF476" i="5"/>
  <c r="AJ475" i="5"/>
  <c r="AI475" i="5"/>
  <c r="AG475" i="5"/>
  <c r="AF475" i="5"/>
  <c r="AJ474" i="5"/>
  <c r="AI474" i="5"/>
  <c r="AG474" i="5"/>
  <c r="AF474" i="5"/>
  <c r="AJ473" i="5"/>
  <c r="AI473" i="5"/>
  <c r="AG473" i="5"/>
  <c r="AF473" i="5"/>
  <c r="AJ472" i="5"/>
  <c r="AI472" i="5"/>
  <c r="AG472" i="5"/>
  <c r="AF472" i="5"/>
  <c r="AJ471" i="5"/>
  <c r="AI471" i="5"/>
  <c r="AG471" i="5"/>
  <c r="AF471" i="5"/>
  <c r="AJ470" i="5"/>
  <c r="AI470" i="5"/>
  <c r="AG470" i="5"/>
  <c r="AF470" i="5"/>
  <c r="AJ469" i="5"/>
  <c r="AI469" i="5"/>
  <c r="AG469" i="5"/>
  <c r="AF469" i="5"/>
  <c r="AJ468" i="5"/>
  <c r="AI468" i="5"/>
  <c r="AG468" i="5"/>
  <c r="AF468" i="5"/>
  <c r="AJ467" i="5"/>
  <c r="AI467" i="5"/>
  <c r="AG467" i="5"/>
  <c r="AF467" i="5"/>
  <c r="AJ466" i="5"/>
  <c r="AI466" i="5"/>
  <c r="AG466" i="5"/>
  <c r="AF466" i="5"/>
  <c r="AJ465" i="5"/>
  <c r="AI465" i="5"/>
  <c r="AG465" i="5"/>
  <c r="AF465" i="5"/>
  <c r="AJ464" i="5"/>
  <c r="AI464" i="5"/>
  <c r="AG464" i="5"/>
  <c r="AF464" i="5"/>
  <c r="AH464" i="5" s="1"/>
  <c r="AK464" i="5" s="1"/>
  <c r="AJ463" i="5"/>
  <c r="AI463" i="5"/>
  <c r="AG463" i="5"/>
  <c r="AF463" i="5"/>
  <c r="AJ462" i="5"/>
  <c r="AI462" i="5"/>
  <c r="AG462" i="5"/>
  <c r="AF462" i="5"/>
  <c r="AJ461" i="5"/>
  <c r="AI461" i="5"/>
  <c r="AG461" i="5"/>
  <c r="AF461" i="5"/>
  <c r="AJ460" i="5"/>
  <c r="AI460" i="5"/>
  <c r="AG460" i="5"/>
  <c r="AF460" i="5"/>
  <c r="AJ459" i="5"/>
  <c r="AI459" i="5"/>
  <c r="AG459" i="5"/>
  <c r="AF459" i="5"/>
  <c r="AJ458" i="5"/>
  <c r="AI458" i="5"/>
  <c r="AG458" i="5"/>
  <c r="AF458" i="5"/>
  <c r="AH458" i="5" s="1"/>
  <c r="AJ457" i="5"/>
  <c r="AI457" i="5"/>
  <c r="AG457" i="5"/>
  <c r="AF457" i="5"/>
  <c r="AJ456" i="5"/>
  <c r="AI456" i="5"/>
  <c r="AG456" i="5"/>
  <c r="AF456" i="5"/>
  <c r="AJ455" i="5"/>
  <c r="AI455" i="5"/>
  <c r="AG455" i="5"/>
  <c r="AF455" i="5"/>
  <c r="AJ454" i="5"/>
  <c r="AI454" i="5"/>
  <c r="AG454" i="5"/>
  <c r="AF454" i="5"/>
  <c r="AJ453" i="5"/>
  <c r="AI453" i="5"/>
  <c r="AG453" i="5"/>
  <c r="AF453" i="5"/>
  <c r="AJ452" i="5"/>
  <c r="AI452" i="5"/>
  <c r="AG452" i="5"/>
  <c r="AF452" i="5"/>
  <c r="AJ451" i="5"/>
  <c r="AI451" i="5"/>
  <c r="AH451" i="5"/>
  <c r="AG451" i="5"/>
  <c r="AF451" i="5"/>
  <c r="AJ450" i="5"/>
  <c r="AI450" i="5"/>
  <c r="AG450" i="5"/>
  <c r="AF450" i="5"/>
  <c r="AJ449" i="5"/>
  <c r="AI449" i="5"/>
  <c r="AG449" i="5"/>
  <c r="AF449" i="5"/>
  <c r="AJ448" i="5"/>
  <c r="AI448" i="5"/>
  <c r="AG448" i="5"/>
  <c r="AF448" i="5"/>
  <c r="AJ447" i="5"/>
  <c r="AI447" i="5"/>
  <c r="AG447" i="5"/>
  <c r="AF447" i="5"/>
  <c r="AJ446" i="5"/>
  <c r="AI446" i="5"/>
  <c r="AG446" i="5"/>
  <c r="AF446" i="5"/>
  <c r="AJ445" i="5"/>
  <c r="AI445" i="5"/>
  <c r="AG445" i="5"/>
  <c r="AF445" i="5"/>
  <c r="AJ444" i="5"/>
  <c r="AI444" i="5"/>
  <c r="AG444" i="5"/>
  <c r="AF444" i="5"/>
  <c r="AJ443" i="5"/>
  <c r="AI443" i="5"/>
  <c r="AG443" i="5"/>
  <c r="AH443" i="5" s="1"/>
  <c r="AF443" i="5"/>
  <c r="AJ442" i="5"/>
  <c r="AI442" i="5"/>
  <c r="AG442" i="5"/>
  <c r="AF442" i="5"/>
  <c r="AJ441" i="5"/>
  <c r="AI441" i="5"/>
  <c r="AG441" i="5"/>
  <c r="AF441" i="5"/>
  <c r="AJ440" i="5"/>
  <c r="AI440" i="5"/>
  <c r="AG440" i="5"/>
  <c r="AF440" i="5"/>
  <c r="AJ439" i="5"/>
  <c r="AI439" i="5"/>
  <c r="AG439" i="5"/>
  <c r="AF439" i="5"/>
  <c r="AJ438" i="5"/>
  <c r="AI438" i="5"/>
  <c r="AG438" i="5"/>
  <c r="AF438" i="5"/>
  <c r="AJ437" i="5"/>
  <c r="AI437" i="5"/>
  <c r="AG437" i="5"/>
  <c r="AF437" i="5"/>
  <c r="AJ436" i="5"/>
  <c r="AI436" i="5"/>
  <c r="AG436" i="5"/>
  <c r="AF436" i="5"/>
  <c r="AJ435" i="5"/>
  <c r="AI435" i="5"/>
  <c r="AG435" i="5"/>
  <c r="AH435" i="5" s="1"/>
  <c r="AF435" i="5"/>
  <c r="AJ434" i="5"/>
  <c r="AI434" i="5"/>
  <c r="AG434" i="5"/>
  <c r="AF434" i="5"/>
  <c r="AJ433" i="5"/>
  <c r="AI433" i="5"/>
  <c r="AG433" i="5"/>
  <c r="AF433" i="5"/>
  <c r="AJ432" i="5"/>
  <c r="AI432" i="5"/>
  <c r="AG432" i="5"/>
  <c r="AF432" i="5"/>
  <c r="AJ431" i="5"/>
  <c r="AI431" i="5"/>
  <c r="AG431" i="5"/>
  <c r="AF431" i="5"/>
  <c r="AJ430" i="5"/>
  <c r="AI430" i="5"/>
  <c r="AG430" i="5"/>
  <c r="AF430" i="5"/>
  <c r="AJ429" i="5"/>
  <c r="AI429" i="5"/>
  <c r="AG429" i="5"/>
  <c r="AF429" i="5"/>
  <c r="AJ428" i="5"/>
  <c r="AI428" i="5"/>
  <c r="AG428" i="5"/>
  <c r="AF428" i="5"/>
  <c r="AJ427" i="5"/>
  <c r="AI427" i="5"/>
  <c r="AG427" i="5"/>
  <c r="AF427" i="5"/>
  <c r="AJ426" i="5"/>
  <c r="AI426" i="5"/>
  <c r="AG426" i="5"/>
  <c r="AF426" i="5"/>
  <c r="AJ425" i="5"/>
  <c r="AI425" i="5"/>
  <c r="AG425" i="5"/>
  <c r="AF425" i="5"/>
  <c r="AJ424" i="5"/>
  <c r="AI424" i="5"/>
  <c r="AG424" i="5"/>
  <c r="AF424" i="5"/>
  <c r="AJ423" i="5"/>
  <c r="AI423" i="5"/>
  <c r="AG423" i="5"/>
  <c r="AF423" i="5"/>
  <c r="AJ422" i="5"/>
  <c r="AI422" i="5"/>
  <c r="AG422" i="5"/>
  <c r="AF422" i="5"/>
  <c r="AJ421" i="5"/>
  <c r="AI421" i="5"/>
  <c r="AG421" i="5"/>
  <c r="AF421" i="5"/>
  <c r="AJ420" i="5"/>
  <c r="AI420" i="5"/>
  <c r="AG420" i="5"/>
  <c r="AF420" i="5"/>
  <c r="AJ419" i="5"/>
  <c r="AI419" i="5"/>
  <c r="AG419" i="5"/>
  <c r="AH419" i="5" s="1"/>
  <c r="AF419" i="5"/>
  <c r="AJ418" i="5"/>
  <c r="AI418" i="5"/>
  <c r="AG418" i="5"/>
  <c r="AF418" i="5"/>
  <c r="AJ417" i="5"/>
  <c r="AI417" i="5"/>
  <c r="AG417" i="5"/>
  <c r="AF417" i="5"/>
  <c r="AJ416" i="5"/>
  <c r="AI416" i="5"/>
  <c r="AG416" i="5"/>
  <c r="AF416" i="5"/>
  <c r="AJ415" i="5"/>
  <c r="AI415" i="5"/>
  <c r="AG415" i="5"/>
  <c r="AH415" i="5" s="1"/>
  <c r="AF415" i="5"/>
  <c r="AJ414" i="5"/>
  <c r="AI414" i="5"/>
  <c r="AG414" i="5"/>
  <c r="AF414" i="5"/>
  <c r="AJ413" i="5"/>
  <c r="AI413" i="5"/>
  <c r="AG413" i="5"/>
  <c r="AF413" i="5"/>
  <c r="AJ412" i="5"/>
  <c r="AI412" i="5"/>
  <c r="AG412" i="5"/>
  <c r="AF412" i="5"/>
  <c r="AJ411" i="5"/>
  <c r="AI411" i="5"/>
  <c r="AG411" i="5"/>
  <c r="AF411" i="5"/>
  <c r="AJ410" i="5"/>
  <c r="AI410" i="5"/>
  <c r="AG410" i="5"/>
  <c r="AF410" i="5"/>
  <c r="AJ409" i="5"/>
  <c r="AI409" i="5"/>
  <c r="AG409" i="5"/>
  <c r="AF409" i="5"/>
  <c r="AJ408" i="5"/>
  <c r="AI408" i="5"/>
  <c r="AG408" i="5"/>
  <c r="AF408" i="5"/>
  <c r="AJ407" i="5"/>
  <c r="AI407" i="5"/>
  <c r="AG407" i="5"/>
  <c r="AF407" i="5"/>
  <c r="AJ406" i="5"/>
  <c r="AI406" i="5"/>
  <c r="AG406" i="5"/>
  <c r="AF406" i="5"/>
  <c r="AJ405" i="5"/>
  <c r="AI405" i="5"/>
  <c r="AG405" i="5"/>
  <c r="AF405" i="5"/>
  <c r="AJ404" i="5"/>
  <c r="AI404" i="5"/>
  <c r="AG404" i="5"/>
  <c r="AF404" i="5"/>
  <c r="AJ403" i="5"/>
  <c r="AI403" i="5"/>
  <c r="AH403" i="5"/>
  <c r="AG403" i="5"/>
  <c r="AF403" i="5"/>
  <c r="AJ402" i="5"/>
  <c r="AI402" i="5"/>
  <c r="AG402" i="5"/>
  <c r="AF402" i="5"/>
  <c r="AJ401" i="5"/>
  <c r="AI401" i="5"/>
  <c r="AG401" i="5"/>
  <c r="AF401" i="5"/>
  <c r="AJ400" i="5"/>
  <c r="AI400" i="5"/>
  <c r="AG400" i="5"/>
  <c r="AF400" i="5"/>
  <c r="AJ399" i="5"/>
  <c r="AI399" i="5"/>
  <c r="AG399" i="5"/>
  <c r="AF399" i="5"/>
  <c r="AJ398" i="5"/>
  <c r="AI398" i="5"/>
  <c r="AG398" i="5"/>
  <c r="AF398" i="5"/>
  <c r="AJ397" i="5"/>
  <c r="AI397" i="5"/>
  <c r="AG397" i="5"/>
  <c r="AF397" i="5"/>
  <c r="AJ396" i="5"/>
  <c r="AI396" i="5"/>
  <c r="AG396" i="5"/>
  <c r="AF396" i="5"/>
  <c r="AJ395" i="5"/>
  <c r="AI395" i="5"/>
  <c r="AG395" i="5"/>
  <c r="AF395" i="5"/>
  <c r="AJ394" i="5"/>
  <c r="AI394" i="5"/>
  <c r="AG394" i="5"/>
  <c r="AF394" i="5"/>
  <c r="AJ393" i="5"/>
  <c r="AI393" i="5"/>
  <c r="AG393" i="5"/>
  <c r="AF393" i="5"/>
  <c r="AJ392" i="5"/>
  <c r="AI392" i="5"/>
  <c r="AG392" i="5"/>
  <c r="AF392" i="5"/>
  <c r="AJ391" i="5"/>
  <c r="AI391" i="5"/>
  <c r="AG391" i="5"/>
  <c r="AF391" i="5"/>
  <c r="AJ390" i="5"/>
  <c r="AI390" i="5"/>
  <c r="AG390" i="5"/>
  <c r="AF390" i="5"/>
  <c r="AJ389" i="5"/>
  <c r="AI389" i="5"/>
  <c r="AG389" i="5"/>
  <c r="AF389" i="5"/>
  <c r="AJ388" i="5"/>
  <c r="AI388" i="5"/>
  <c r="AG388" i="5"/>
  <c r="AF388" i="5"/>
  <c r="AJ387" i="5"/>
  <c r="AI387" i="5"/>
  <c r="AG387" i="5"/>
  <c r="AF387" i="5"/>
  <c r="AJ386" i="5"/>
  <c r="AI386" i="5"/>
  <c r="AG386" i="5"/>
  <c r="AF386" i="5"/>
  <c r="AJ385" i="5"/>
  <c r="AI385" i="5"/>
  <c r="AG385" i="5"/>
  <c r="AF385" i="5"/>
  <c r="AJ384" i="5"/>
  <c r="AI384" i="5"/>
  <c r="AG384" i="5"/>
  <c r="AF384" i="5"/>
  <c r="AJ383" i="5"/>
  <c r="AI383" i="5"/>
  <c r="AG383" i="5"/>
  <c r="AF383" i="5"/>
  <c r="AJ382" i="5"/>
  <c r="AI382" i="5"/>
  <c r="AG382" i="5"/>
  <c r="AF382" i="5"/>
  <c r="AJ381" i="5"/>
  <c r="AI381" i="5"/>
  <c r="AG381" i="5"/>
  <c r="AF381" i="5"/>
  <c r="AJ380" i="5"/>
  <c r="AI380" i="5"/>
  <c r="AG380" i="5"/>
  <c r="AF380" i="5"/>
  <c r="AJ379" i="5"/>
  <c r="AI379" i="5"/>
  <c r="AG379" i="5"/>
  <c r="AF379" i="5"/>
  <c r="AJ378" i="5"/>
  <c r="AI378" i="5"/>
  <c r="AG378" i="5"/>
  <c r="AF378" i="5"/>
  <c r="AJ377" i="5"/>
  <c r="AI377" i="5"/>
  <c r="AG377" i="5"/>
  <c r="AF377" i="5"/>
  <c r="AJ376" i="5"/>
  <c r="AI376" i="5"/>
  <c r="AG376" i="5"/>
  <c r="AF376" i="5"/>
  <c r="AJ375" i="5"/>
  <c r="AI375" i="5"/>
  <c r="AG375" i="5"/>
  <c r="AF375" i="5"/>
  <c r="AJ374" i="5"/>
  <c r="AI374" i="5"/>
  <c r="AG374" i="5"/>
  <c r="AF374" i="5"/>
  <c r="AJ373" i="5"/>
  <c r="AI373" i="5"/>
  <c r="AG373" i="5"/>
  <c r="AF373" i="5"/>
  <c r="AJ372" i="5"/>
  <c r="AI372" i="5"/>
  <c r="AG372" i="5"/>
  <c r="AF372" i="5"/>
  <c r="AJ371" i="5"/>
  <c r="AI371" i="5"/>
  <c r="AG371" i="5"/>
  <c r="AF371" i="5"/>
  <c r="AH371" i="5" s="1"/>
  <c r="AJ370" i="5"/>
  <c r="AI370" i="5"/>
  <c r="AG370" i="5"/>
  <c r="AF370" i="5"/>
  <c r="AJ369" i="5"/>
  <c r="AI369" i="5"/>
  <c r="AG369" i="5"/>
  <c r="AF369" i="5"/>
  <c r="AH369" i="5" s="1"/>
  <c r="AJ368" i="5"/>
  <c r="AI368" i="5"/>
  <c r="AG368" i="5"/>
  <c r="AF368" i="5"/>
  <c r="AJ367" i="5"/>
  <c r="AI367" i="5"/>
  <c r="AG367" i="5"/>
  <c r="AF367" i="5"/>
  <c r="AH367" i="5" s="1"/>
  <c r="AJ366" i="5"/>
  <c r="AI366" i="5"/>
  <c r="AG366" i="5"/>
  <c r="AF366" i="5"/>
  <c r="AH366" i="5" s="1"/>
  <c r="AK366" i="5" s="1"/>
  <c r="AJ365" i="5"/>
  <c r="AI365" i="5"/>
  <c r="AG365" i="5"/>
  <c r="AF365" i="5"/>
  <c r="AJ364" i="5"/>
  <c r="AI364" i="5"/>
  <c r="AG364" i="5"/>
  <c r="AH364" i="5" s="1"/>
  <c r="AF364" i="5"/>
  <c r="AJ363" i="5"/>
  <c r="AI363" i="5"/>
  <c r="AG363" i="5"/>
  <c r="AF363" i="5"/>
  <c r="AJ362" i="5"/>
  <c r="AI362" i="5"/>
  <c r="AG362" i="5"/>
  <c r="AF362" i="5"/>
  <c r="AJ361" i="5"/>
  <c r="AI361" i="5"/>
  <c r="AG361" i="5"/>
  <c r="AF361" i="5"/>
  <c r="AJ360" i="5"/>
  <c r="AI360" i="5"/>
  <c r="AG360" i="5"/>
  <c r="AF360" i="5"/>
  <c r="AJ359" i="5"/>
  <c r="AI359" i="5"/>
  <c r="AG359" i="5"/>
  <c r="AF359" i="5"/>
  <c r="AJ358" i="5"/>
  <c r="AI358" i="5"/>
  <c r="AG358" i="5"/>
  <c r="AF358" i="5"/>
  <c r="AJ357" i="5"/>
  <c r="AI357" i="5"/>
  <c r="AG357" i="5"/>
  <c r="AF357" i="5"/>
  <c r="AJ356" i="5"/>
  <c r="AI356" i="5"/>
  <c r="AG356" i="5"/>
  <c r="AF356" i="5"/>
  <c r="AJ355" i="5"/>
  <c r="AI355" i="5"/>
  <c r="AG355" i="5"/>
  <c r="AF355" i="5"/>
  <c r="AJ354" i="5"/>
  <c r="AI354" i="5"/>
  <c r="AG354" i="5"/>
  <c r="AF354" i="5"/>
  <c r="AJ353" i="5"/>
  <c r="AI353" i="5"/>
  <c r="AG353" i="5"/>
  <c r="AF353" i="5"/>
  <c r="AJ352" i="5"/>
  <c r="AI352" i="5"/>
  <c r="AG352" i="5"/>
  <c r="AF352" i="5"/>
  <c r="AJ351" i="5"/>
  <c r="AI351" i="5"/>
  <c r="AG351" i="5"/>
  <c r="AF351" i="5"/>
  <c r="AJ350" i="5"/>
  <c r="AI350" i="5"/>
  <c r="AG350" i="5"/>
  <c r="AF350" i="5"/>
  <c r="AJ349" i="5"/>
  <c r="AI349" i="5"/>
  <c r="AG349" i="5"/>
  <c r="AF349" i="5"/>
  <c r="AJ348" i="5"/>
  <c r="AI348" i="5"/>
  <c r="AG348" i="5"/>
  <c r="AF348" i="5"/>
  <c r="AJ347" i="5"/>
  <c r="AI347" i="5"/>
  <c r="AG347" i="5"/>
  <c r="AF347" i="5"/>
  <c r="AH347" i="5" s="1"/>
  <c r="AJ346" i="5"/>
  <c r="AI346" i="5"/>
  <c r="AG346" i="5"/>
  <c r="AF346" i="5"/>
  <c r="AJ345" i="5"/>
  <c r="AI345" i="5"/>
  <c r="AG345" i="5"/>
  <c r="AF345" i="5"/>
  <c r="AH345" i="5" s="1"/>
  <c r="AJ344" i="5"/>
  <c r="AI344" i="5"/>
  <c r="AG344" i="5"/>
  <c r="AF344" i="5"/>
  <c r="AJ343" i="5"/>
  <c r="AI343" i="5"/>
  <c r="AG343" i="5"/>
  <c r="AF343" i="5"/>
  <c r="AH343" i="5" s="1"/>
  <c r="AJ342" i="5"/>
  <c r="AI342" i="5"/>
  <c r="AG342" i="5"/>
  <c r="AF342" i="5"/>
  <c r="AJ341" i="5"/>
  <c r="AI341" i="5"/>
  <c r="AG341" i="5"/>
  <c r="AF341" i="5"/>
  <c r="AH341" i="5" s="1"/>
  <c r="AJ340" i="5"/>
  <c r="AI340" i="5"/>
  <c r="AG340" i="5"/>
  <c r="AF340" i="5"/>
  <c r="AJ339" i="5"/>
  <c r="AI339" i="5"/>
  <c r="AG339" i="5"/>
  <c r="AF339" i="5"/>
  <c r="AH339" i="5" s="1"/>
  <c r="AJ338" i="5"/>
  <c r="AI338" i="5"/>
  <c r="AG338" i="5"/>
  <c r="AF338" i="5"/>
  <c r="AJ337" i="5"/>
  <c r="AI337" i="5"/>
  <c r="AG337" i="5"/>
  <c r="AF337" i="5"/>
  <c r="AH337" i="5" s="1"/>
  <c r="AJ336" i="5"/>
  <c r="AI336" i="5"/>
  <c r="AG336" i="5"/>
  <c r="AF336" i="5"/>
  <c r="AJ335" i="5"/>
  <c r="AI335" i="5"/>
  <c r="AG335" i="5"/>
  <c r="AF335" i="5"/>
  <c r="AH335" i="5" s="1"/>
  <c r="AJ334" i="5"/>
  <c r="AI334" i="5"/>
  <c r="AG334" i="5"/>
  <c r="AF334" i="5"/>
  <c r="AJ333" i="5"/>
  <c r="AI333" i="5"/>
  <c r="AG333" i="5"/>
  <c r="AF333" i="5"/>
  <c r="AJ332" i="5"/>
  <c r="AI332" i="5"/>
  <c r="AG332" i="5"/>
  <c r="AF332" i="5"/>
  <c r="AJ331" i="5"/>
  <c r="AI331" i="5"/>
  <c r="AG331" i="5"/>
  <c r="AF331" i="5"/>
  <c r="AH331" i="5" s="1"/>
  <c r="AJ330" i="5"/>
  <c r="AI330" i="5"/>
  <c r="AG330" i="5"/>
  <c r="AF330" i="5"/>
  <c r="AJ329" i="5"/>
  <c r="AI329" i="5"/>
  <c r="AG329" i="5"/>
  <c r="AF329" i="5"/>
  <c r="AH329" i="5" s="1"/>
  <c r="AJ328" i="5"/>
  <c r="AI328" i="5"/>
  <c r="AG328" i="5"/>
  <c r="AF328" i="5"/>
  <c r="AJ327" i="5"/>
  <c r="AI327" i="5"/>
  <c r="AG327" i="5"/>
  <c r="AF327" i="5"/>
  <c r="AJ326" i="5"/>
  <c r="AI326" i="5"/>
  <c r="AG326" i="5"/>
  <c r="AF326" i="5"/>
  <c r="AJ325" i="5"/>
  <c r="AI325" i="5"/>
  <c r="AG325" i="5"/>
  <c r="AF325" i="5"/>
  <c r="AJ324" i="5"/>
  <c r="AI324" i="5"/>
  <c r="AG324" i="5"/>
  <c r="AF324" i="5"/>
  <c r="AJ323" i="5"/>
  <c r="AI323" i="5"/>
  <c r="AG323" i="5"/>
  <c r="AF323" i="5"/>
  <c r="AJ322" i="5"/>
  <c r="AI322" i="5"/>
  <c r="AG322" i="5"/>
  <c r="AF322" i="5"/>
  <c r="AJ321" i="5"/>
  <c r="AI321" i="5"/>
  <c r="AG321" i="5"/>
  <c r="AF321" i="5"/>
  <c r="AJ320" i="5"/>
  <c r="AI320" i="5"/>
  <c r="AG320" i="5"/>
  <c r="AF320" i="5"/>
  <c r="AJ319" i="5"/>
  <c r="AI319" i="5"/>
  <c r="AG319" i="5"/>
  <c r="AF319" i="5"/>
  <c r="AJ318" i="5"/>
  <c r="AI318" i="5"/>
  <c r="AG318" i="5"/>
  <c r="AF318" i="5"/>
  <c r="AJ317" i="5"/>
  <c r="AI317" i="5"/>
  <c r="AG317" i="5"/>
  <c r="AF317" i="5"/>
  <c r="AJ316" i="5"/>
  <c r="AI316" i="5"/>
  <c r="AG316" i="5"/>
  <c r="AF316" i="5"/>
  <c r="AJ315" i="5"/>
  <c r="AI315" i="5"/>
  <c r="AG315" i="5"/>
  <c r="AF315" i="5"/>
  <c r="AJ314" i="5"/>
  <c r="AI314" i="5"/>
  <c r="AG314" i="5"/>
  <c r="AF314" i="5"/>
  <c r="AJ313" i="5"/>
  <c r="AI313" i="5"/>
  <c r="AG313" i="5"/>
  <c r="AF313" i="5"/>
  <c r="AH313" i="5" s="1"/>
  <c r="AK313" i="5" s="1"/>
  <c r="AJ312" i="5"/>
  <c r="AI312" i="5"/>
  <c r="AG312" i="5"/>
  <c r="AF312" i="5"/>
  <c r="AJ311" i="5"/>
  <c r="AI311" i="5"/>
  <c r="AG311" i="5"/>
  <c r="AF311" i="5"/>
  <c r="AJ310" i="5"/>
  <c r="AI310" i="5"/>
  <c r="AG310" i="5"/>
  <c r="AF310" i="5"/>
  <c r="AJ309" i="5"/>
  <c r="AI309" i="5"/>
  <c r="AG309" i="5"/>
  <c r="AF309" i="5"/>
  <c r="AJ308" i="5"/>
  <c r="AI308" i="5"/>
  <c r="AG308" i="5"/>
  <c r="AF308" i="5"/>
  <c r="AJ307" i="5"/>
  <c r="AI307" i="5"/>
  <c r="AG307" i="5"/>
  <c r="AF307" i="5"/>
  <c r="AJ306" i="5"/>
  <c r="AI306" i="5"/>
  <c r="AG306" i="5"/>
  <c r="AF306" i="5"/>
  <c r="AJ305" i="5"/>
  <c r="AI305" i="5"/>
  <c r="AG305" i="5"/>
  <c r="AF305" i="5"/>
  <c r="AJ304" i="5"/>
  <c r="AI304" i="5"/>
  <c r="AG304" i="5"/>
  <c r="AF304" i="5"/>
  <c r="AJ303" i="5"/>
  <c r="AI303" i="5"/>
  <c r="AG303" i="5"/>
  <c r="AF303" i="5"/>
  <c r="AJ302" i="5"/>
  <c r="AI302" i="5"/>
  <c r="AG302" i="5"/>
  <c r="AF302" i="5"/>
  <c r="AJ301" i="5"/>
  <c r="AI301" i="5"/>
  <c r="AG301" i="5"/>
  <c r="AF301" i="5"/>
  <c r="AJ300" i="5"/>
  <c r="AI300" i="5"/>
  <c r="AG300" i="5"/>
  <c r="AF300" i="5"/>
  <c r="AJ299" i="5"/>
  <c r="AI299" i="5"/>
  <c r="AG299" i="5"/>
  <c r="AF299" i="5"/>
  <c r="AJ298" i="5"/>
  <c r="AI298" i="5"/>
  <c r="AG298" i="5"/>
  <c r="AF298" i="5"/>
  <c r="AJ297" i="5"/>
  <c r="AI297" i="5"/>
  <c r="AG297" i="5"/>
  <c r="AF297" i="5"/>
  <c r="AH297" i="5" s="1"/>
  <c r="AJ296" i="5"/>
  <c r="AI296" i="5"/>
  <c r="AG296" i="5"/>
  <c r="AF296" i="5"/>
  <c r="AJ295" i="5"/>
  <c r="AI295" i="5"/>
  <c r="AG295" i="5"/>
  <c r="AF295" i="5"/>
  <c r="AJ294" i="5"/>
  <c r="AI294" i="5"/>
  <c r="AG294" i="5"/>
  <c r="AF294" i="5"/>
  <c r="AJ293" i="5"/>
  <c r="AI293" i="5"/>
  <c r="AG293" i="5"/>
  <c r="AF293" i="5"/>
  <c r="AJ292" i="5"/>
  <c r="AI292" i="5"/>
  <c r="AG292" i="5"/>
  <c r="AF292" i="5"/>
  <c r="AJ291" i="5"/>
  <c r="AI291" i="5"/>
  <c r="AG291" i="5"/>
  <c r="AF291" i="5"/>
  <c r="AJ290" i="5"/>
  <c r="AI290" i="5"/>
  <c r="AG290" i="5"/>
  <c r="AF290" i="5"/>
  <c r="AJ289" i="5"/>
  <c r="AI289" i="5"/>
  <c r="AG289" i="5"/>
  <c r="AF289" i="5"/>
  <c r="AJ288" i="5"/>
  <c r="AI288" i="5"/>
  <c r="AG288" i="5"/>
  <c r="AF288" i="5"/>
  <c r="AJ287" i="5"/>
  <c r="AI287" i="5"/>
  <c r="AG287" i="5"/>
  <c r="AF287" i="5"/>
  <c r="AJ286" i="5"/>
  <c r="AI286" i="5"/>
  <c r="AG286" i="5"/>
  <c r="AF286" i="5"/>
  <c r="AJ285" i="5"/>
  <c r="AI285" i="5"/>
  <c r="AG285" i="5"/>
  <c r="AF285" i="5"/>
  <c r="AJ284" i="5"/>
  <c r="AI284" i="5"/>
  <c r="AG284" i="5"/>
  <c r="AF284" i="5"/>
  <c r="AJ283" i="5"/>
  <c r="AI283" i="5"/>
  <c r="AG283" i="5"/>
  <c r="AH283" i="5" s="1"/>
  <c r="AF283" i="5"/>
  <c r="AJ282" i="5"/>
  <c r="AI282" i="5"/>
  <c r="AG282" i="5"/>
  <c r="AF282" i="5"/>
  <c r="AJ281" i="5"/>
  <c r="AI281" i="5"/>
  <c r="AG281" i="5"/>
  <c r="AF281" i="5"/>
  <c r="AH281" i="5" s="1"/>
  <c r="AJ280" i="5"/>
  <c r="AI280" i="5"/>
  <c r="AG280" i="5"/>
  <c r="AF280" i="5"/>
  <c r="AJ279" i="5"/>
  <c r="AI279" i="5"/>
  <c r="AG279" i="5"/>
  <c r="AF279" i="5"/>
  <c r="AH279" i="5" s="1"/>
  <c r="AJ278" i="5"/>
  <c r="AI278" i="5"/>
  <c r="AG278" i="5"/>
  <c r="AF278" i="5"/>
  <c r="AJ277" i="5"/>
  <c r="AI277" i="5"/>
  <c r="AG277" i="5"/>
  <c r="AF277" i="5"/>
  <c r="AJ276" i="5"/>
  <c r="AI276" i="5"/>
  <c r="AG276" i="5"/>
  <c r="AF276" i="5"/>
  <c r="AJ275" i="5"/>
  <c r="AI275" i="5"/>
  <c r="AG275" i="5"/>
  <c r="AF275" i="5"/>
  <c r="AH275" i="5" s="1"/>
  <c r="AJ274" i="5"/>
  <c r="AI274" i="5"/>
  <c r="AG274" i="5"/>
  <c r="AF274" i="5"/>
  <c r="AJ273" i="5"/>
  <c r="AI273" i="5"/>
  <c r="AG273" i="5"/>
  <c r="AF273" i="5"/>
  <c r="AH273" i="5" s="1"/>
  <c r="AJ272" i="5"/>
  <c r="AI272" i="5"/>
  <c r="AG272" i="5"/>
  <c r="AF272" i="5"/>
  <c r="AJ271" i="5"/>
  <c r="AI271" i="5"/>
  <c r="AG271" i="5"/>
  <c r="AF271" i="5"/>
  <c r="AH271" i="5" s="1"/>
  <c r="AJ270" i="5"/>
  <c r="AI270" i="5"/>
  <c r="AG270" i="5"/>
  <c r="AF270" i="5"/>
  <c r="AJ269" i="5"/>
  <c r="AI269" i="5"/>
  <c r="AG269" i="5"/>
  <c r="AF269" i="5"/>
  <c r="AJ268" i="5"/>
  <c r="AI268" i="5"/>
  <c r="AG268" i="5"/>
  <c r="AF268" i="5"/>
  <c r="AJ267" i="5"/>
  <c r="AI267" i="5"/>
  <c r="AG267" i="5"/>
  <c r="AF267" i="5"/>
  <c r="AH267" i="5" s="1"/>
  <c r="AJ266" i="5"/>
  <c r="AI266" i="5"/>
  <c r="AG266" i="5"/>
  <c r="AF266" i="5"/>
  <c r="AJ265" i="5"/>
  <c r="AI265" i="5"/>
  <c r="AG265" i="5"/>
  <c r="AF265" i="5"/>
  <c r="AH265" i="5" s="1"/>
  <c r="AJ264" i="5"/>
  <c r="AI264" i="5"/>
  <c r="AG264" i="5"/>
  <c r="AF264" i="5"/>
  <c r="AH264" i="5" s="1"/>
  <c r="AJ263" i="5"/>
  <c r="AI263" i="5"/>
  <c r="AG263" i="5"/>
  <c r="AF263" i="5"/>
  <c r="AH263" i="5" s="1"/>
  <c r="AK263" i="5" s="1"/>
  <c r="AJ262" i="5"/>
  <c r="AI262" i="5"/>
  <c r="AG262" i="5"/>
  <c r="AF262" i="5"/>
  <c r="AH262" i="5" s="1"/>
  <c r="AJ261" i="5"/>
  <c r="AI261" i="5"/>
  <c r="AG261" i="5"/>
  <c r="AF261" i="5"/>
  <c r="AJ260" i="5"/>
  <c r="AI260" i="5"/>
  <c r="AG260" i="5"/>
  <c r="AF260" i="5"/>
  <c r="AJ259" i="5"/>
  <c r="AI259" i="5"/>
  <c r="AG259" i="5"/>
  <c r="AF259" i="5"/>
  <c r="AH259" i="5" s="1"/>
  <c r="AK259" i="5" s="1"/>
  <c r="AJ258" i="5"/>
  <c r="AI258" i="5"/>
  <c r="AG258" i="5"/>
  <c r="AF258" i="5"/>
  <c r="AJ257" i="5"/>
  <c r="AI257" i="5"/>
  <c r="AG257" i="5"/>
  <c r="AF257" i="5"/>
  <c r="AH257" i="5" s="1"/>
  <c r="AJ256" i="5"/>
  <c r="AI256" i="5"/>
  <c r="AG256" i="5"/>
  <c r="AF256" i="5"/>
  <c r="AH256" i="5" s="1"/>
  <c r="AJ255" i="5"/>
  <c r="AI255" i="5"/>
  <c r="AG255" i="5"/>
  <c r="AF255" i="5"/>
  <c r="AJ254" i="5"/>
  <c r="AI254" i="5"/>
  <c r="AG254" i="5"/>
  <c r="AF254" i="5"/>
  <c r="AH254" i="5" s="1"/>
  <c r="AJ253" i="5"/>
  <c r="AI253" i="5"/>
  <c r="AG253" i="5"/>
  <c r="AF253" i="5"/>
  <c r="AJ252" i="5"/>
  <c r="AI252" i="5"/>
  <c r="AG252" i="5"/>
  <c r="AF252" i="5"/>
  <c r="AJ251" i="5"/>
  <c r="AI251" i="5"/>
  <c r="AG251" i="5"/>
  <c r="AF251" i="5"/>
  <c r="AH251" i="5" s="1"/>
  <c r="AJ250" i="5"/>
  <c r="AI250" i="5"/>
  <c r="AG250" i="5"/>
  <c r="AF250" i="5"/>
  <c r="AJ249" i="5"/>
  <c r="AI249" i="5"/>
  <c r="AG249" i="5"/>
  <c r="AF249" i="5"/>
  <c r="AH249" i="5" s="1"/>
  <c r="AK249" i="5" s="1"/>
  <c r="AJ248" i="5"/>
  <c r="AI248" i="5"/>
  <c r="AG248" i="5"/>
  <c r="AF248" i="5"/>
  <c r="AJ247" i="5"/>
  <c r="AI247" i="5"/>
  <c r="AG247" i="5"/>
  <c r="AF247" i="5"/>
  <c r="AH247" i="5" s="1"/>
  <c r="AK247" i="5" s="1"/>
  <c r="AJ246" i="5"/>
  <c r="AI246" i="5"/>
  <c r="AG246" i="5"/>
  <c r="AF246" i="5"/>
  <c r="AJ245" i="5"/>
  <c r="AI245" i="5"/>
  <c r="AG245" i="5"/>
  <c r="AF245" i="5"/>
  <c r="AH245" i="5" s="1"/>
  <c r="AK245" i="5" s="1"/>
  <c r="AJ244" i="5"/>
  <c r="AI244" i="5"/>
  <c r="AG244" i="5"/>
  <c r="AF244" i="5"/>
  <c r="AJ243" i="5"/>
  <c r="AI243" i="5"/>
  <c r="AG243" i="5"/>
  <c r="AF243" i="5"/>
  <c r="AH243" i="5" s="1"/>
  <c r="AK243" i="5" s="1"/>
  <c r="AJ242" i="5"/>
  <c r="AI242" i="5"/>
  <c r="AG242" i="5"/>
  <c r="AF242" i="5"/>
  <c r="AJ241" i="5"/>
  <c r="AI241" i="5"/>
  <c r="AG241" i="5"/>
  <c r="AF241" i="5"/>
  <c r="AH241" i="5" s="1"/>
  <c r="AJ240" i="5"/>
  <c r="AI240" i="5"/>
  <c r="AG240" i="5"/>
  <c r="AF240" i="5"/>
  <c r="AJ239" i="5"/>
  <c r="AI239" i="5"/>
  <c r="AG239" i="5"/>
  <c r="AF239" i="5"/>
  <c r="AJ238" i="5"/>
  <c r="AI238" i="5"/>
  <c r="AG238" i="5"/>
  <c r="AF238" i="5"/>
  <c r="AJ237" i="5"/>
  <c r="AI237" i="5"/>
  <c r="AG237" i="5"/>
  <c r="AF237" i="5"/>
  <c r="AJ236" i="5"/>
  <c r="AI236" i="5"/>
  <c r="AG236" i="5"/>
  <c r="AF236" i="5"/>
  <c r="AJ235" i="5"/>
  <c r="AI235" i="5"/>
  <c r="AG235" i="5"/>
  <c r="AF235" i="5"/>
  <c r="AJ234" i="5"/>
  <c r="AI234" i="5"/>
  <c r="AG234" i="5"/>
  <c r="AF234" i="5"/>
  <c r="AJ233" i="5"/>
  <c r="AI233" i="5"/>
  <c r="AG233" i="5"/>
  <c r="AF233" i="5"/>
  <c r="AJ232" i="5"/>
  <c r="AI232" i="5"/>
  <c r="AG232" i="5"/>
  <c r="AF232" i="5"/>
  <c r="AH232" i="5" s="1"/>
  <c r="AJ231" i="5"/>
  <c r="AI231" i="5"/>
  <c r="AG231" i="5"/>
  <c r="AF231" i="5"/>
  <c r="AJ230" i="5"/>
  <c r="AI230" i="5"/>
  <c r="AG230" i="5"/>
  <c r="AF230" i="5"/>
  <c r="AJ229" i="5"/>
  <c r="AI229" i="5"/>
  <c r="AG229" i="5"/>
  <c r="AF229" i="5"/>
  <c r="AJ228" i="5"/>
  <c r="AI228" i="5"/>
  <c r="AG228" i="5"/>
  <c r="AF228" i="5"/>
  <c r="AJ227" i="5"/>
  <c r="AI227" i="5"/>
  <c r="AG227" i="5"/>
  <c r="AF227" i="5"/>
  <c r="AJ226" i="5"/>
  <c r="AI226" i="5"/>
  <c r="AG226" i="5"/>
  <c r="AF226" i="5"/>
  <c r="AJ225" i="5"/>
  <c r="AI225" i="5"/>
  <c r="AG225" i="5"/>
  <c r="AF225" i="5"/>
  <c r="AJ224" i="5"/>
  <c r="AI224" i="5"/>
  <c r="AG224" i="5"/>
  <c r="AF224" i="5"/>
  <c r="AH224" i="5" s="1"/>
  <c r="AJ223" i="5"/>
  <c r="AI223" i="5"/>
  <c r="AG223" i="5"/>
  <c r="AF223" i="5"/>
  <c r="AH223" i="5" s="1"/>
  <c r="AK223" i="5" s="1"/>
  <c r="AJ222" i="5"/>
  <c r="AI222" i="5"/>
  <c r="AG222" i="5"/>
  <c r="AF222" i="5"/>
  <c r="AJ221" i="5"/>
  <c r="AI221" i="5"/>
  <c r="AG221" i="5"/>
  <c r="AF221" i="5"/>
  <c r="AJ220" i="5"/>
  <c r="AI220" i="5"/>
  <c r="AG220" i="5"/>
  <c r="AF220" i="5"/>
  <c r="AJ219" i="5"/>
  <c r="AI219" i="5"/>
  <c r="AG219" i="5"/>
  <c r="AF219" i="5"/>
  <c r="AJ218" i="5"/>
  <c r="AI218" i="5"/>
  <c r="AG218" i="5"/>
  <c r="AF218" i="5"/>
  <c r="AJ217" i="5"/>
  <c r="AI217" i="5"/>
  <c r="AG217" i="5"/>
  <c r="AF217" i="5"/>
  <c r="AJ216" i="5"/>
  <c r="AI216" i="5"/>
  <c r="AG216" i="5"/>
  <c r="AF216" i="5"/>
  <c r="AJ215" i="5"/>
  <c r="AI215" i="5"/>
  <c r="AG215" i="5"/>
  <c r="AF215" i="5"/>
  <c r="AJ214" i="5"/>
  <c r="AI214" i="5"/>
  <c r="AG214" i="5"/>
  <c r="AF214" i="5"/>
  <c r="AJ213" i="5"/>
  <c r="AI213" i="5"/>
  <c r="AG213" i="5"/>
  <c r="AF213" i="5"/>
  <c r="AJ212" i="5"/>
  <c r="AI212" i="5"/>
  <c r="AG212" i="5"/>
  <c r="AF212" i="5"/>
  <c r="AJ211" i="5"/>
  <c r="AI211" i="5"/>
  <c r="AG211" i="5"/>
  <c r="AF211" i="5"/>
  <c r="AJ210" i="5"/>
  <c r="AI210" i="5"/>
  <c r="AG210" i="5"/>
  <c r="AF210" i="5"/>
  <c r="AJ209" i="5"/>
  <c r="AI209" i="5"/>
  <c r="AG209" i="5"/>
  <c r="AF209" i="5"/>
  <c r="AJ208" i="5"/>
  <c r="AI208" i="5"/>
  <c r="AG208" i="5"/>
  <c r="AF208" i="5"/>
  <c r="AH208" i="5" s="1"/>
  <c r="AJ207" i="5"/>
  <c r="AI207" i="5"/>
  <c r="AH207" i="5"/>
  <c r="AG207" i="5"/>
  <c r="AF207" i="5"/>
  <c r="AJ206" i="5"/>
  <c r="AI206" i="5"/>
  <c r="AG206" i="5"/>
  <c r="AF206" i="5"/>
  <c r="AH206" i="5" s="1"/>
  <c r="AJ205" i="5"/>
  <c r="AI205" i="5"/>
  <c r="AG205" i="5"/>
  <c r="AF205" i="5"/>
  <c r="AJ204" i="5"/>
  <c r="AI204" i="5"/>
  <c r="AG204" i="5"/>
  <c r="AF204" i="5"/>
  <c r="AJ203" i="5"/>
  <c r="AI203" i="5"/>
  <c r="AG203" i="5"/>
  <c r="AF203" i="5"/>
  <c r="AJ202" i="5"/>
  <c r="AI202" i="5"/>
  <c r="AG202" i="5"/>
  <c r="AF202" i="5"/>
  <c r="AJ201" i="5"/>
  <c r="AI201" i="5"/>
  <c r="AG201" i="5"/>
  <c r="AF201" i="5"/>
  <c r="AJ200" i="5"/>
  <c r="AI200" i="5"/>
  <c r="AG200" i="5"/>
  <c r="AF200" i="5"/>
  <c r="AH200" i="5" s="1"/>
  <c r="AJ199" i="5"/>
  <c r="AI199" i="5"/>
  <c r="AG199" i="5"/>
  <c r="AF199" i="5"/>
  <c r="AJ198" i="5"/>
  <c r="AI198" i="5"/>
  <c r="AG198" i="5"/>
  <c r="AF198" i="5"/>
  <c r="AH198" i="5" s="1"/>
  <c r="AJ197" i="5"/>
  <c r="AI197" i="5"/>
  <c r="AG197" i="5"/>
  <c r="AF197" i="5"/>
  <c r="AJ196" i="5"/>
  <c r="AI196" i="5"/>
  <c r="AG196" i="5"/>
  <c r="AF196" i="5"/>
  <c r="AJ195" i="5"/>
  <c r="AI195" i="5"/>
  <c r="AG195" i="5"/>
  <c r="AF195" i="5"/>
  <c r="AJ194" i="5"/>
  <c r="AI194" i="5"/>
  <c r="AG194" i="5"/>
  <c r="AF194" i="5"/>
  <c r="AJ193" i="5"/>
  <c r="AI193" i="5"/>
  <c r="AG193" i="5"/>
  <c r="AH193" i="5" s="1"/>
  <c r="AF193" i="5"/>
  <c r="AJ192" i="5"/>
  <c r="AI192" i="5"/>
  <c r="AG192" i="5"/>
  <c r="AF192" i="5"/>
  <c r="AH192" i="5" s="1"/>
  <c r="AK192" i="5" s="1"/>
  <c r="AJ191" i="5"/>
  <c r="AI191" i="5"/>
  <c r="AG191" i="5"/>
  <c r="AF191" i="5"/>
  <c r="AJ190" i="5"/>
  <c r="AI190" i="5"/>
  <c r="AG190" i="5"/>
  <c r="AF190" i="5"/>
  <c r="AH190" i="5" s="1"/>
  <c r="AJ189" i="5"/>
  <c r="AI189" i="5"/>
  <c r="AG189" i="5"/>
  <c r="AF189" i="5"/>
  <c r="AJ188" i="5"/>
  <c r="AI188" i="5"/>
  <c r="AG188" i="5"/>
  <c r="AF188" i="5"/>
  <c r="AJ187" i="5"/>
  <c r="AI187" i="5"/>
  <c r="AG187" i="5"/>
  <c r="AF187" i="5"/>
  <c r="AJ186" i="5"/>
  <c r="AI186" i="5"/>
  <c r="AG186" i="5"/>
  <c r="AF186" i="5"/>
  <c r="AJ185" i="5"/>
  <c r="AI185" i="5"/>
  <c r="AG185" i="5"/>
  <c r="AF185" i="5"/>
  <c r="AJ184" i="5"/>
  <c r="AI184" i="5"/>
  <c r="AG184" i="5"/>
  <c r="AF184" i="5"/>
  <c r="AJ183" i="5"/>
  <c r="AI183" i="5"/>
  <c r="AG183" i="5"/>
  <c r="AF183" i="5"/>
  <c r="AJ182" i="5"/>
  <c r="AI182" i="5"/>
  <c r="AG182" i="5"/>
  <c r="AF182" i="5"/>
  <c r="AH182" i="5" s="1"/>
  <c r="AJ181" i="5"/>
  <c r="AI181" i="5"/>
  <c r="AG181" i="5"/>
  <c r="AF181" i="5"/>
  <c r="AJ180" i="5"/>
  <c r="AI180" i="5"/>
  <c r="AG180" i="5"/>
  <c r="AF180" i="5"/>
  <c r="AJ179" i="5"/>
  <c r="AI179" i="5"/>
  <c r="AG179" i="5"/>
  <c r="AF179" i="5"/>
  <c r="AJ178" i="5"/>
  <c r="AI178" i="5"/>
  <c r="AG178" i="5"/>
  <c r="AF178" i="5"/>
  <c r="AJ177" i="5"/>
  <c r="AI177" i="5"/>
  <c r="AH177" i="5"/>
  <c r="AG177" i="5"/>
  <c r="AF177" i="5"/>
  <c r="AJ176" i="5"/>
  <c r="AI176" i="5"/>
  <c r="AG176" i="5"/>
  <c r="AF176" i="5"/>
  <c r="AJ175" i="5"/>
  <c r="AI175" i="5"/>
  <c r="AG175" i="5"/>
  <c r="AF175" i="5"/>
  <c r="AJ174" i="5"/>
  <c r="AI174" i="5"/>
  <c r="AG174" i="5"/>
  <c r="AF174" i="5"/>
  <c r="AJ173" i="5"/>
  <c r="AI173" i="5"/>
  <c r="AG173" i="5"/>
  <c r="AF173" i="5"/>
  <c r="AJ172" i="5"/>
  <c r="AI172" i="5"/>
  <c r="AG172" i="5"/>
  <c r="AF172" i="5"/>
  <c r="AJ171" i="5"/>
  <c r="AI171" i="5"/>
  <c r="AG171" i="5"/>
  <c r="AF171" i="5"/>
  <c r="AJ170" i="5"/>
  <c r="AI170" i="5"/>
  <c r="AG170" i="5"/>
  <c r="AH170" i="5" s="1"/>
  <c r="AK170" i="5" s="1"/>
  <c r="AF170" i="5"/>
  <c r="AJ169" i="5"/>
  <c r="AI169" i="5"/>
  <c r="AG169" i="5"/>
  <c r="AF169" i="5"/>
  <c r="AH169" i="5" s="1"/>
  <c r="AJ168" i="5"/>
  <c r="AI168" i="5"/>
  <c r="AG168" i="5"/>
  <c r="AF168" i="5"/>
  <c r="AJ167" i="5"/>
  <c r="AI167" i="5"/>
  <c r="AG167" i="5"/>
  <c r="AF167" i="5"/>
  <c r="AH167" i="5" s="1"/>
  <c r="AJ166" i="5"/>
  <c r="AI166" i="5"/>
  <c r="AG166" i="5"/>
  <c r="AF166" i="5"/>
  <c r="AJ165" i="5"/>
  <c r="AI165" i="5"/>
  <c r="AG165" i="5"/>
  <c r="AF165" i="5"/>
  <c r="AH165" i="5" s="1"/>
  <c r="AJ164" i="5"/>
  <c r="AI164" i="5"/>
  <c r="AG164" i="5"/>
  <c r="AF164" i="5"/>
  <c r="AJ163" i="5"/>
  <c r="AI163" i="5"/>
  <c r="AG163" i="5"/>
  <c r="AF163" i="5"/>
  <c r="AH163" i="5" s="1"/>
  <c r="AJ162" i="5"/>
  <c r="AI162" i="5"/>
  <c r="AG162" i="5"/>
  <c r="AH162" i="5" s="1"/>
  <c r="AK162" i="5" s="1"/>
  <c r="AF162" i="5"/>
  <c r="AJ161" i="5"/>
  <c r="AI161" i="5"/>
  <c r="AG161" i="5"/>
  <c r="AF161" i="5"/>
  <c r="AH161" i="5" s="1"/>
  <c r="AJ160" i="5"/>
  <c r="AI160" i="5"/>
  <c r="AG160" i="5"/>
  <c r="AF160" i="5"/>
  <c r="AJ159" i="5"/>
  <c r="AI159" i="5"/>
  <c r="AG159" i="5"/>
  <c r="AF159" i="5"/>
  <c r="AH159" i="5" s="1"/>
  <c r="AJ158" i="5"/>
  <c r="AI158" i="5"/>
  <c r="AG158" i="5"/>
  <c r="AF158" i="5"/>
  <c r="AJ157" i="5"/>
  <c r="AI157" i="5"/>
  <c r="AG157" i="5"/>
  <c r="AF157" i="5"/>
  <c r="AJ156" i="5"/>
  <c r="AI156" i="5"/>
  <c r="AG156" i="5"/>
  <c r="AF156" i="5"/>
  <c r="AJ155" i="5"/>
  <c r="AI155" i="5"/>
  <c r="AG155" i="5"/>
  <c r="AF155" i="5"/>
  <c r="AH155" i="5" s="1"/>
  <c r="AJ154" i="5"/>
  <c r="AI154" i="5"/>
  <c r="AG154" i="5"/>
  <c r="AH154" i="5" s="1"/>
  <c r="AF154" i="5"/>
  <c r="AJ153" i="5"/>
  <c r="AI153" i="5"/>
  <c r="AG153" i="5"/>
  <c r="AF153" i="5"/>
  <c r="AH153" i="5" s="1"/>
  <c r="AJ152" i="5"/>
  <c r="AI152" i="5"/>
  <c r="AG152" i="5"/>
  <c r="AF152" i="5"/>
  <c r="AJ151" i="5"/>
  <c r="AI151" i="5"/>
  <c r="AG151" i="5"/>
  <c r="AF151" i="5"/>
  <c r="AH151" i="5" s="1"/>
  <c r="AJ150" i="5"/>
  <c r="AI150" i="5"/>
  <c r="AG150" i="5"/>
  <c r="AF150" i="5"/>
  <c r="AJ149" i="5"/>
  <c r="AI149" i="5"/>
  <c r="AG149" i="5"/>
  <c r="AF149" i="5"/>
  <c r="AH149" i="5" s="1"/>
  <c r="AJ148" i="5"/>
  <c r="AI148" i="5"/>
  <c r="AG148" i="5"/>
  <c r="AF148" i="5"/>
  <c r="AJ147" i="5"/>
  <c r="AI147" i="5"/>
  <c r="AG147" i="5"/>
  <c r="AF147" i="5"/>
  <c r="AJ146" i="5"/>
  <c r="AI146" i="5"/>
  <c r="AG146" i="5"/>
  <c r="AF146" i="5"/>
  <c r="AJ145" i="5"/>
  <c r="AI145" i="5"/>
  <c r="AG145" i="5"/>
  <c r="AF145" i="5"/>
  <c r="AJ144" i="5"/>
  <c r="AI144" i="5"/>
  <c r="AG144" i="5"/>
  <c r="AF144" i="5"/>
  <c r="AJ143" i="5"/>
  <c r="AI143" i="5"/>
  <c r="AG143" i="5"/>
  <c r="AF143" i="5"/>
  <c r="AH143" i="5" s="1"/>
  <c r="AJ142" i="5"/>
  <c r="AI142" i="5"/>
  <c r="AG142" i="5"/>
  <c r="AF142" i="5"/>
  <c r="AJ141" i="5"/>
  <c r="AI141" i="5"/>
  <c r="AG141" i="5"/>
  <c r="AF141" i="5"/>
  <c r="AH141" i="5" s="1"/>
  <c r="AJ140" i="5"/>
  <c r="AI140" i="5"/>
  <c r="AG140" i="5"/>
  <c r="AF140" i="5"/>
  <c r="AJ139" i="5"/>
  <c r="AI139" i="5"/>
  <c r="AG139" i="5"/>
  <c r="AF139" i="5"/>
  <c r="AH139" i="5" s="1"/>
  <c r="AJ138" i="5"/>
  <c r="AI138" i="5"/>
  <c r="AG138" i="5"/>
  <c r="AF138" i="5"/>
  <c r="AJ137" i="5"/>
  <c r="AI137" i="5"/>
  <c r="AG137" i="5"/>
  <c r="AF137" i="5"/>
  <c r="AJ136" i="5"/>
  <c r="AI136" i="5"/>
  <c r="AG136" i="5"/>
  <c r="AF136" i="5"/>
  <c r="AJ135" i="5"/>
  <c r="AI135" i="5"/>
  <c r="AG135" i="5"/>
  <c r="AF135" i="5"/>
  <c r="AJ134" i="5"/>
  <c r="AI134" i="5"/>
  <c r="AG134" i="5"/>
  <c r="AH134" i="5" s="1"/>
  <c r="AF134" i="5"/>
  <c r="AJ133" i="5"/>
  <c r="AI133" i="5"/>
  <c r="AG133" i="5"/>
  <c r="AF133" i="5"/>
  <c r="AJ132" i="5"/>
  <c r="AI132" i="5"/>
  <c r="AG132" i="5"/>
  <c r="AF132" i="5"/>
  <c r="AJ131" i="5"/>
  <c r="AI131" i="5"/>
  <c r="AG131" i="5"/>
  <c r="AF131" i="5"/>
  <c r="AH131" i="5" s="1"/>
  <c r="AJ130" i="5"/>
  <c r="AI130" i="5"/>
  <c r="AG130" i="5"/>
  <c r="AH130" i="5" s="1"/>
  <c r="AF130" i="5"/>
  <c r="AJ129" i="5"/>
  <c r="AI129" i="5"/>
  <c r="AG129" i="5"/>
  <c r="AF129" i="5"/>
  <c r="AJ128" i="5"/>
  <c r="AI128" i="5"/>
  <c r="AG128" i="5"/>
  <c r="AF128" i="5"/>
  <c r="AJ127" i="5"/>
  <c r="AI127" i="5"/>
  <c r="AG127" i="5"/>
  <c r="AF127" i="5"/>
  <c r="AH127" i="5" s="1"/>
  <c r="AJ126" i="5"/>
  <c r="AI126" i="5"/>
  <c r="AG126" i="5"/>
  <c r="AF126" i="5"/>
  <c r="AJ125" i="5"/>
  <c r="AI125" i="5"/>
  <c r="AG125" i="5"/>
  <c r="AF125" i="5"/>
  <c r="AH125" i="5" s="1"/>
  <c r="AJ124" i="5"/>
  <c r="AI124" i="5"/>
  <c r="AG124" i="5"/>
  <c r="AF124" i="5"/>
  <c r="AJ123" i="5"/>
  <c r="AI123" i="5"/>
  <c r="AG123" i="5"/>
  <c r="AF123" i="5"/>
  <c r="AJ122" i="5"/>
  <c r="AI122" i="5"/>
  <c r="AG122" i="5"/>
  <c r="AF122" i="5"/>
  <c r="AJ121" i="5"/>
  <c r="AI121" i="5"/>
  <c r="AG121" i="5"/>
  <c r="AF121" i="5"/>
  <c r="AJ120" i="5"/>
  <c r="AI120" i="5"/>
  <c r="AG120" i="5"/>
  <c r="AF120" i="5"/>
  <c r="AJ119" i="5"/>
  <c r="AI119" i="5"/>
  <c r="AG119" i="5"/>
  <c r="AH119" i="5" s="1"/>
  <c r="AF119" i="5"/>
  <c r="AJ118" i="5"/>
  <c r="AI118" i="5"/>
  <c r="AG118" i="5"/>
  <c r="AF118" i="5"/>
  <c r="AH118" i="5" s="1"/>
  <c r="AJ117" i="5"/>
  <c r="AI117" i="5"/>
  <c r="AG117" i="5"/>
  <c r="AF117" i="5"/>
  <c r="AJ116" i="5"/>
  <c r="AI116" i="5"/>
  <c r="AG116" i="5"/>
  <c r="AF116" i="5"/>
  <c r="AJ115" i="5"/>
  <c r="AI115" i="5"/>
  <c r="AG115" i="5"/>
  <c r="AH115" i="5" s="1"/>
  <c r="AF115" i="5"/>
  <c r="AJ114" i="5"/>
  <c r="AI114" i="5"/>
  <c r="AG114" i="5"/>
  <c r="AF114" i="5"/>
  <c r="AH114" i="5" s="1"/>
  <c r="AJ113" i="5"/>
  <c r="AI113" i="5"/>
  <c r="AG113" i="5"/>
  <c r="AF113" i="5"/>
  <c r="AJ112" i="5"/>
  <c r="AI112" i="5"/>
  <c r="AG112" i="5"/>
  <c r="AF112" i="5"/>
  <c r="AJ111" i="5"/>
  <c r="AI111" i="5"/>
  <c r="AG111" i="5"/>
  <c r="AF111" i="5"/>
  <c r="AJ110" i="5"/>
  <c r="AI110" i="5"/>
  <c r="AG110" i="5"/>
  <c r="AF110" i="5"/>
  <c r="AJ109" i="5"/>
  <c r="AI109" i="5"/>
  <c r="AG109" i="5"/>
  <c r="AF109" i="5"/>
  <c r="AJ108" i="5"/>
  <c r="AI108" i="5"/>
  <c r="AG108" i="5"/>
  <c r="AF108" i="5"/>
  <c r="AH108" i="5" s="1"/>
  <c r="AK108" i="5" s="1"/>
  <c r="AJ107" i="5"/>
  <c r="AI107" i="5"/>
  <c r="AG107" i="5"/>
  <c r="AF107" i="5"/>
  <c r="AJ106" i="5"/>
  <c r="AI106" i="5"/>
  <c r="AG106" i="5"/>
  <c r="AF106" i="5"/>
  <c r="AJ105" i="5"/>
  <c r="AI105" i="5"/>
  <c r="AG105" i="5"/>
  <c r="AF105" i="5"/>
  <c r="AJ104" i="5"/>
  <c r="AI104" i="5"/>
  <c r="AG104" i="5"/>
  <c r="AF104" i="5"/>
  <c r="AJ103" i="5"/>
  <c r="AI103" i="5"/>
  <c r="AG103" i="5"/>
  <c r="AF103" i="5"/>
  <c r="AJ102" i="5"/>
  <c r="AI102" i="5"/>
  <c r="AG102" i="5"/>
  <c r="AF102" i="5"/>
  <c r="AH102" i="5" s="1"/>
  <c r="AJ101" i="5"/>
  <c r="AI101" i="5"/>
  <c r="AG101" i="5"/>
  <c r="AF101" i="5"/>
  <c r="AJ100" i="5"/>
  <c r="AI100" i="5"/>
  <c r="AG100" i="5"/>
  <c r="AF100" i="5"/>
  <c r="AJ99" i="5"/>
  <c r="AI99" i="5"/>
  <c r="AG99" i="5"/>
  <c r="AH99" i="5" s="1"/>
  <c r="AF99" i="5"/>
  <c r="AJ98" i="5"/>
  <c r="AI98" i="5"/>
  <c r="AG98" i="5"/>
  <c r="AF98" i="5"/>
  <c r="AJ97" i="5"/>
  <c r="AI97" i="5"/>
  <c r="AG97" i="5"/>
  <c r="AF97" i="5"/>
  <c r="AJ96" i="5"/>
  <c r="AI96" i="5"/>
  <c r="AG96" i="5"/>
  <c r="AF96" i="5"/>
  <c r="AJ95" i="5"/>
  <c r="AI95" i="5"/>
  <c r="AG95" i="5"/>
  <c r="AF95" i="5"/>
  <c r="AJ94" i="5"/>
  <c r="AI94" i="5"/>
  <c r="AG94" i="5"/>
  <c r="AF94" i="5"/>
  <c r="AJ93" i="5"/>
  <c r="AI93" i="5"/>
  <c r="AG93" i="5"/>
  <c r="AF93" i="5"/>
  <c r="AJ92" i="5"/>
  <c r="AI92" i="5"/>
  <c r="AG92" i="5"/>
  <c r="AF92" i="5"/>
  <c r="AJ91" i="5"/>
  <c r="AI91" i="5"/>
  <c r="AG91" i="5"/>
  <c r="AH91" i="5" s="1"/>
  <c r="AF91" i="5"/>
  <c r="AJ90" i="5"/>
  <c r="AI90" i="5"/>
  <c r="AG90" i="5"/>
  <c r="AF90" i="5"/>
  <c r="AJ89" i="5"/>
  <c r="AI89" i="5"/>
  <c r="AG89" i="5"/>
  <c r="AH89" i="5" s="1"/>
  <c r="AF89" i="5"/>
  <c r="AJ88" i="5"/>
  <c r="AI88" i="5"/>
  <c r="AG88" i="5"/>
  <c r="AF88" i="5"/>
  <c r="AJ87" i="5"/>
  <c r="AI87" i="5"/>
  <c r="AG87" i="5"/>
  <c r="AF87" i="5"/>
  <c r="AJ86" i="5"/>
  <c r="AI86" i="5"/>
  <c r="AG86" i="5"/>
  <c r="AF86" i="5"/>
  <c r="AJ85" i="5"/>
  <c r="AI85" i="5"/>
  <c r="AG85" i="5"/>
  <c r="AF85" i="5"/>
  <c r="AJ84" i="5"/>
  <c r="AI84" i="5"/>
  <c r="AG84" i="5"/>
  <c r="AF84" i="5"/>
  <c r="AJ83" i="5"/>
  <c r="AI83" i="5"/>
  <c r="AG83" i="5"/>
  <c r="AF83" i="5"/>
  <c r="AJ82" i="5"/>
  <c r="AI82" i="5"/>
  <c r="AG82" i="5"/>
  <c r="AF82" i="5"/>
  <c r="AH82" i="5" s="1"/>
  <c r="AK82" i="5" s="1"/>
  <c r="AJ81" i="5"/>
  <c r="AI81" i="5"/>
  <c r="AG81" i="5"/>
  <c r="AF81" i="5"/>
  <c r="AJ80" i="5"/>
  <c r="AI80" i="5"/>
  <c r="AG80" i="5"/>
  <c r="AF80" i="5"/>
  <c r="AJ79" i="5"/>
  <c r="AI79" i="5"/>
  <c r="AH79" i="5"/>
  <c r="AG79" i="5"/>
  <c r="AF79" i="5"/>
  <c r="AJ78" i="5"/>
  <c r="AI78" i="5"/>
  <c r="AG78" i="5"/>
  <c r="AF78" i="5"/>
  <c r="AJ77" i="5"/>
  <c r="AI77" i="5"/>
  <c r="AG77" i="5"/>
  <c r="AF77" i="5"/>
  <c r="AJ76" i="5"/>
  <c r="AI76" i="5"/>
  <c r="AG76" i="5"/>
  <c r="AF76" i="5"/>
  <c r="AJ75" i="5"/>
  <c r="AI75" i="5"/>
  <c r="AG75" i="5"/>
  <c r="AF75" i="5"/>
  <c r="AJ74" i="5"/>
  <c r="AI74" i="5"/>
  <c r="AG74" i="5"/>
  <c r="AF74" i="5"/>
  <c r="AJ73" i="5"/>
  <c r="AI73" i="5"/>
  <c r="AG73" i="5"/>
  <c r="AF73" i="5"/>
  <c r="AJ72" i="5"/>
  <c r="AI72" i="5"/>
  <c r="AG72" i="5"/>
  <c r="AF72" i="5"/>
  <c r="AJ71" i="5"/>
  <c r="AI71" i="5"/>
  <c r="AG71" i="5"/>
  <c r="AF71" i="5"/>
  <c r="AJ70" i="5"/>
  <c r="AI70" i="5"/>
  <c r="AG70" i="5"/>
  <c r="AF70" i="5"/>
  <c r="AJ69" i="5"/>
  <c r="AI69" i="5"/>
  <c r="AG69" i="5"/>
  <c r="AF69" i="5"/>
  <c r="AJ68" i="5"/>
  <c r="AI68" i="5"/>
  <c r="AG68" i="5"/>
  <c r="AF68" i="5"/>
  <c r="AJ67" i="5"/>
  <c r="AI67" i="5"/>
  <c r="AG67" i="5"/>
  <c r="AF67" i="5"/>
  <c r="AJ66" i="5"/>
  <c r="AI66" i="5"/>
  <c r="AG66" i="5"/>
  <c r="AH66" i="5" s="1"/>
  <c r="AF66" i="5"/>
  <c r="AJ65" i="5"/>
  <c r="AI65" i="5"/>
  <c r="AG65" i="5"/>
  <c r="AF65" i="5"/>
  <c r="AJ64" i="5"/>
  <c r="AI64" i="5"/>
  <c r="AG64" i="5"/>
  <c r="AF64" i="5"/>
  <c r="AJ63" i="5"/>
  <c r="AI63" i="5"/>
  <c r="AG63" i="5"/>
  <c r="AF63" i="5"/>
  <c r="AJ62" i="5"/>
  <c r="AI62" i="5"/>
  <c r="AG62" i="5"/>
  <c r="AF62" i="5"/>
  <c r="AJ61" i="5"/>
  <c r="AI61" i="5"/>
  <c r="AG61" i="5"/>
  <c r="AF61" i="5"/>
  <c r="AH61" i="5" s="1"/>
  <c r="AJ60" i="5"/>
  <c r="AI60" i="5"/>
  <c r="AG60" i="5"/>
  <c r="AF60" i="5"/>
  <c r="AJ59" i="5"/>
  <c r="AI59" i="5"/>
  <c r="AG59" i="5"/>
  <c r="AF59" i="5"/>
  <c r="AJ58" i="5"/>
  <c r="AI58" i="5"/>
  <c r="AG58" i="5"/>
  <c r="AF58" i="5"/>
  <c r="AJ57" i="5"/>
  <c r="AI57" i="5"/>
  <c r="AG57" i="5"/>
  <c r="AF57" i="5"/>
  <c r="AH57" i="5" s="1"/>
  <c r="AJ56" i="5"/>
  <c r="AI56" i="5"/>
  <c r="AG56" i="5"/>
  <c r="AF56" i="5"/>
  <c r="AJ55" i="5"/>
  <c r="AI55" i="5"/>
  <c r="AG55" i="5"/>
  <c r="AF55" i="5"/>
  <c r="AH55" i="5" s="1"/>
  <c r="AJ54" i="5"/>
  <c r="AI54" i="5"/>
  <c r="AG54" i="5"/>
  <c r="AF54" i="5"/>
  <c r="AJ53" i="5"/>
  <c r="AI53" i="5"/>
  <c r="AG53" i="5"/>
  <c r="AF53" i="5"/>
  <c r="AJ52" i="5"/>
  <c r="AI52" i="5"/>
  <c r="AG52" i="5"/>
  <c r="AF52" i="5"/>
  <c r="AJ51" i="5"/>
  <c r="AI51" i="5"/>
  <c r="AG51" i="5"/>
  <c r="AF51" i="5"/>
  <c r="AJ50" i="5"/>
  <c r="AI50" i="5"/>
  <c r="AG50" i="5"/>
  <c r="AF50" i="5"/>
  <c r="AJ49" i="5"/>
  <c r="AI49" i="5"/>
  <c r="AG49" i="5"/>
  <c r="AF49" i="5"/>
  <c r="AH49" i="5" s="1"/>
  <c r="AJ48" i="5"/>
  <c r="AI48" i="5"/>
  <c r="AG48" i="5"/>
  <c r="AF48" i="5"/>
  <c r="AJ47" i="5"/>
  <c r="AI47" i="5"/>
  <c r="AG47" i="5"/>
  <c r="AF47" i="5"/>
  <c r="AH47" i="5" s="1"/>
  <c r="AJ46" i="5"/>
  <c r="AI46" i="5"/>
  <c r="AG46" i="5"/>
  <c r="AF46" i="5"/>
  <c r="AJ45" i="5"/>
  <c r="AI45" i="5"/>
  <c r="AG45" i="5"/>
  <c r="AF45" i="5"/>
  <c r="AH45" i="5" s="1"/>
  <c r="AJ44" i="5"/>
  <c r="AI44" i="5"/>
  <c r="AG44" i="5"/>
  <c r="AF44" i="5"/>
  <c r="AJ43" i="5"/>
  <c r="AI43" i="5"/>
  <c r="AG43" i="5"/>
  <c r="AF43" i="5"/>
  <c r="AH43" i="5" s="1"/>
  <c r="AJ42" i="5"/>
  <c r="AI42" i="5"/>
  <c r="AG42" i="5"/>
  <c r="AF42" i="5"/>
  <c r="AJ41" i="5"/>
  <c r="AI41" i="5"/>
  <c r="AG41" i="5"/>
  <c r="AF41" i="5"/>
  <c r="AJ40" i="5"/>
  <c r="AI40" i="5"/>
  <c r="AG40" i="5"/>
  <c r="AF40" i="5"/>
  <c r="AJ39" i="5"/>
  <c r="AI39" i="5"/>
  <c r="AG39" i="5"/>
  <c r="AF39" i="5"/>
  <c r="AJ38" i="5"/>
  <c r="AI38" i="5"/>
  <c r="AG38" i="5"/>
  <c r="AF38" i="5"/>
  <c r="AJ37" i="5"/>
  <c r="AI37" i="5"/>
  <c r="AG37" i="5"/>
  <c r="AF37" i="5"/>
  <c r="AJ36" i="5"/>
  <c r="AI36" i="5"/>
  <c r="AG36" i="5"/>
  <c r="AF36" i="5"/>
  <c r="AJ35" i="5"/>
  <c r="AI35" i="5"/>
  <c r="AG35" i="5"/>
  <c r="AF35" i="5"/>
  <c r="AJ34" i="5"/>
  <c r="AI34" i="5"/>
  <c r="AG34" i="5"/>
  <c r="AF34" i="5"/>
  <c r="AJ33" i="5"/>
  <c r="AI33" i="5"/>
  <c r="AG33" i="5"/>
  <c r="AF33" i="5"/>
  <c r="AH33" i="5" s="1"/>
  <c r="AJ32" i="5"/>
  <c r="AI32" i="5"/>
  <c r="AG32" i="5"/>
  <c r="AF32" i="5"/>
  <c r="AJ31" i="5"/>
  <c r="AI31" i="5"/>
  <c r="AG31" i="5"/>
  <c r="AF31" i="5"/>
  <c r="AH31" i="5" s="1"/>
  <c r="AJ30" i="5"/>
  <c r="AI30" i="5"/>
  <c r="AG30" i="5"/>
  <c r="AF30" i="5"/>
  <c r="AJ29" i="5"/>
  <c r="AI29" i="5"/>
  <c r="AG29" i="5"/>
  <c r="AF29" i="5"/>
  <c r="AJ28" i="5"/>
  <c r="AI28" i="5"/>
  <c r="AG28" i="5"/>
  <c r="AF28" i="5"/>
  <c r="AJ27" i="5"/>
  <c r="AI27" i="5"/>
  <c r="AG27" i="5"/>
  <c r="AF27" i="5"/>
  <c r="AJ26" i="5"/>
  <c r="AI26" i="5"/>
  <c r="AH26" i="5"/>
  <c r="AG26" i="5"/>
  <c r="AF26" i="5"/>
  <c r="AJ25" i="5"/>
  <c r="AI25" i="5"/>
  <c r="AG25" i="5"/>
  <c r="AF25" i="5"/>
  <c r="AJ24" i="5"/>
  <c r="AI24" i="5"/>
  <c r="AG24" i="5"/>
  <c r="AF24" i="5"/>
  <c r="AJ23" i="5"/>
  <c r="AI23" i="5"/>
  <c r="AG23" i="5"/>
  <c r="AF23" i="5"/>
  <c r="AJ22" i="5"/>
  <c r="AI22" i="5"/>
  <c r="AG22" i="5"/>
  <c r="AF22" i="5"/>
  <c r="AJ21" i="5"/>
  <c r="AI21" i="5"/>
  <c r="AG21" i="5"/>
  <c r="AF21" i="5"/>
  <c r="AJ20" i="5"/>
  <c r="AI20" i="5"/>
  <c r="AG20" i="5"/>
  <c r="AF20" i="5"/>
  <c r="AJ19" i="5"/>
  <c r="AI19" i="5"/>
  <c r="AG19" i="5"/>
  <c r="AF19" i="5"/>
  <c r="AJ18" i="5"/>
  <c r="AI18" i="5"/>
  <c r="AG18" i="5"/>
  <c r="AF18" i="5"/>
  <c r="AJ17" i="5"/>
  <c r="AI17" i="5"/>
  <c r="AG17" i="5"/>
  <c r="AF17" i="5"/>
  <c r="AH17" i="5" s="1"/>
  <c r="AJ16" i="5"/>
  <c r="AI16" i="5"/>
  <c r="AG16" i="5"/>
  <c r="AF16" i="5"/>
  <c r="AH16" i="5" s="1"/>
  <c r="AJ15" i="5"/>
  <c r="AI15" i="5"/>
  <c r="AG15" i="5"/>
  <c r="AF15" i="5"/>
  <c r="AJ14" i="5"/>
  <c r="AI14" i="5"/>
  <c r="AG14" i="5"/>
  <c r="AF14" i="5"/>
  <c r="AH14" i="5" s="1"/>
  <c r="AJ13" i="5"/>
  <c r="AI13" i="5"/>
  <c r="AG13" i="5"/>
  <c r="AF13" i="5"/>
  <c r="AJ12" i="5"/>
  <c r="AI12" i="5"/>
  <c r="AG12" i="5"/>
  <c r="AF12" i="5"/>
  <c r="AJ11" i="5"/>
  <c r="AI11" i="5"/>
  <c r="AG11" i="5"/>
  <c r="AF11" i="5"/>
  <c r="AJ10" i="5"/>
  <c r="AI10" i="5"/>
  <c r="AG10" i="5"/>
  <c r="AF10" i="5"/>
  <c r="AJ9" i="5"/>
  <c r="AI9" i="5"/>
  <c r="AG9" i="5"/>
  <c r="AF9" i="5"/>
  <c r="AJ8" i="5"/>
  <c r="AI8" i="5"/>
  <c r="AG8" i="5"/>
  <c r="AF8" i="5"/>
  <c r="AH8" i="5" s="1"/>
  <c r="AK8" i="5" s="1"/>
  <c r="B85" i="4"/>
  <c r="B69" i="4"/>
  <c r="V62" i="4"/>
  <c r="U62" i="4"/>
  <c r="T62" i="4"/>
  <c r="S62" i="4"/>
  <c r="R62" i="4"/>
  <c r="Q62" i="4"/>
  <c r="N61" i="4"/>
  <c r="V54" i="4"/>
  <c r="U54" i="4"/>
  <c r="T54" i="4"/>
  <c r="S54" i="4"/>
  <c r="R54" i="4"/>
  <c r="Q54" i="4"/>
  <c r="N53" i="4"/>
  <c r="B53" i="4"/>
  <c r="B5" i="4"/>
  <c r="B3" i="4"/>
  <c r="B2" i="4"/>
  <c r="B85" i="3"/>
  <c r="B69" i="3"/>
  <c r="V62" i="3"/>
  <c r="U62" i="3"/>
  <c r="T62" i="3"/>
  <c r="S62" i="3"/>
  <c r="R62" i="3"/>
  <c r="Q62" i="3"/>
  <c r="N61" i="3"/>
  <c r="V54" i="3"/>
  <c r="U54" i="3"/>
  <c r="T54" i="3"/>
  <c r="S54" i="3"/>
  <c r="R54" i="3"/>
  <c r="Q54" i="3"/>
  <c r="N53" i="3"/>
  <c r="B53" i="3"/>
  <c r="B5" i="3"/>
  <c r="B3" i="3"/>
  <c r="B2" i="3"/>
  <c r="T44" i="2"/>
  <c r="T43" i="2"/>
  <c r="T42" i="2"/>
  <c r="T41" i="2"/>
  <c r="T40" i="2"/>
  <c r="T39" i="2"/>
  <c r="Q5" i="2"/>
  <c r="J5" i="2"/>
  <c r="C5" i="2"/>
  <c r="B5" i="2"/>
  <c r="B3" i="2"/>
  <c r="B2" i="2"/>
  <c r="G141" i="1"/>
  <c r="B141" i="1"/>
  <c r="G140" i="1"/>
  <c r="B140" i="1"/>
  <c r="B139" i="1"/>
  <c r="B138" i="1"/>
  <c r="B136" i="1"/>
  <c r="B135" i="1"/>
  <c r="B134" i="1"/>
  <c r="B133" i="1"/>
  <c r="B131" i="1"/>
  <c r="B130" i="1"/>
  <c r="B129" i="1"/>
  <c r="B128" i="1"/>
  <c r="B127" i="1"/>
  <c r="B126" i="1"/>
  <c r="B125" i="1"/>
  <c r="B124" i="1"/>
  <c r="B122" i="1"/>
  <c r="B121" i="1"/>
  <c r="B120" i="1"/>
  <c r="B119" i="1"/>
  <c r="B118" i="1"/>
  <c r="B117" i="1"/>
  <c r="B116" i="1"/>
  <c r="B115" i="1"/>
  <c r="B114" i="1"/>
  <c r="B112" i="1"/>
  <c r="B111" i="1"/>
  <c r="B110" i="1"/>
  <c r="B109" i="1"/>
  <c r="B106" i="1"/>
  <c r="B18" i="1"/>
  <c r="B5" i="1"/>
  <c r="B3" i="1"/>
  <c r="B2" i="1"/>
  <c r="E13" i="3" l="1"/>
  <c r="F107" i="1"/>
  <c r="O13" i="3"/>
  <c r="AH107" i="5"/>
  <c r="AH327" i="5"/>
  <c r="AK327" i="5" s="1"/>
  <c r="AH379" i="5"/>
  <c r="AH383" i="5"/>
  <c r="AH385" i="5"/>
  <c r="AK385" i="5" s="1"/>
  <c r="AH387" i="5"/>
  <c r="AH395" i="5"/>
  <c r="AH399" i="5"/>
  <c r="AH401" i="5"/>
  <c r="AH715" i="5"/>
  <c r="AH759" i="5"/>
  <c r="AK906" i="5"/>
  <c r="AK1164" i="5"/>
  <c r="AH1261" i="5"/>
  <c r="AH1263" i="5"/>
  <c r="AH1265" i="5"/>
  <c r="AH1267" i="5"/>
  <c r="AH1411" i="5"/>
  <c r="AH1421" i="5"/>
  <c r="AK1450" i="5"/>
  <c r="AH1566" i="5"/>
  <c r="AH1602" i="5"/>
  <c r="AH1604" i="5"/>
  <c r="AH1608" i="5"/>
  <c r="AH1745" i="5"/>
  <c r="O13" i="4"/>
  <c r="AK14" i="5"/>
  <c r="AK16" i="5"/>
  <c r="AK125" i="5"/>
  <c r="AK139" i="5"/>
  <c r="AH171" i="5"/>
  <c r="AH175" i="5"/>
  <c r="AH242" i="5"/>
  <c r="AH274" i="5"/>
  <c r="AH288" i="5"/>
  <c r="AH294" i="5"/>
  <c r="AK294" i="5" s="1"/>
  <c r="AH296" i="5"/>
  <c r="AK458" i="5"/>
  <c r="AK912" i="5"/>
  <c r="AH1204" i="5"/>
  <c r="AK1204" i="5" s="1"/>
  <c r="AH1208" i="5"/>
  <c r="AH1318" i="5"/>
  <c r="AH1340" i="5"/>
  <c r="AK1340" i="5" s="1"/>
  <c r="AH1342" i="5"/>
  <c r="AK1342" i="5" s="1"/>
  <c r="AH1346" i="5"/>
  <c r="AK1346" i="5" s="1"/>
  <c r="AH1348" i="5"/>
  <c r="AH1352" i="5"/>
  <c r="AK1352" i="5" s="1"/>
  <c r="AH1356" i="5"/>
  <c r="AK1356" i="5" s="1"/>
  <c r="AH1388" i="5"/>
  <c r="AH1392" i="5"/>
  <c r="AH1396" i="5"/>
  <c r="AH1479" i="5"/>
  <c r="AK1479" i="5" s="1"/>
  <c r="AH1481" i="5"/>
  <c r="AK1481" i="5" s="1"/>
  <c r="AH1485" i="5"/>
  <c r="AH1634" i="5"/>
  <c r="AH1648" i="5"/>
  <c r="AH1662" i="5"/>
  <c r="AK1662" i="5" s="1"/>
  <c r="AH1692" i="5"/>
  <c r="AH10" i="5"/>
  <c r="AK10" i="5" s="1"/>
  <c r="AH18" i="5"/>
  <c r="AH20" i="5"/>
  <c r="AH22" i="5"/>
  <c r="AH24" i="5"/>
  <c r="AH121" i="5"/>
  <c r="AK121" i="5" s="1"/>
  <c r="AH195" i="5"/>
  <c r="AH197" i="5"/>
  <c r="AH199" i="5"/>
  <c r="AK199" i="5" s="1"/>
  <c r="AH201" i="5"/>
  <c r="AH203" i="5"/>
  <c r="AH302" i="5"/>
  <c r="AH310" i="5"/>
  <c r="AH312" i="5"/>
  <c r="AK419" i="5"/>
  <c r="AH469" i="5"/>
  <c r="AH471" i="5"/>
  <c r="AK471" i="5" s="1"/>
  <c r="AH473" i="5"/>
  <c r="AH475" i="5"/>
  <c r="AK475" i="5" s="1"/>
  <c r="AH481" i="5"/>
  <c r="AK481" i="5" s="1"/>
  <c r="AH483" i="5"/>
  <c r="AK483" i="5" s="1"/>
  <c r="AH489" i="5"/>
  <c r="AH491" i="5"/>
  <c r="AK491" i="5" s="1"/>
  <c r="AH495" i="5"/>
  <c r="AK495" i="5" s="1"/>
  <c r="AH501" i="5"/>
  <c r="AH503" i="5"/>
  <c r="AK503" i="5" s="1"/>
  <c r="AH505" i="5"/>
  <c r="AK505" i="5" s="1"/>
  <c r="AH511" i="5"/>
  <c r="AK511" i="5" s="1"/>
  <c r="AH521" i="5"/>
  <c r="AH549" i="5"/>
  <c r="AH551" i="5"/>
  <c r="AH569" i="5"/>
  <c r="AH644" i="5"/>
  <c r="AK644" i="5" s="1"/>
  <c r="AH648" i="5"/>
  <c r="AH686" i="5"/>
  <c r="AH819" i="5"/>
  <c r="AH821" i="5"/>
  <c r="AH823" i="5"/>
  <c r="AH831" i="5"/>
  <c r="AH938" i="5"/>
  <c r="AK938" i="5" s="1"/>
  <c r="AH944" i="5"/>
  <c r="AK944" i="5" s="1"/>
  <c r="AH974" i="5"/>
  <c r="AK974" i="5" s="1"/>
  <c r="AH986" i="5"/>
  <c r="AH992" i="5"/>
  <c r="AH1002" i="5"/>
  <c r="AK1002" i="5" s="1"/>
  <c r="AH1004" i="5"/>
  <c r="AK1004" i="5" s="1"/>
  <c r="AH1006" i="5"/>
  <c r="AK1006" i="5" s="1"/>
  <c r="AH1008" i="5"/>
  <c r="AH1018" i="5"/>
  <c r="AK1018" i="5" s="1"/>
  <c r="AH1024" i="5"/>
  <c r="AH1034" i="5"/>
  <c r="AK1034" i="5" s="1"/>
  <c r="AK1123" i="5"/>
  <c r="AH1149" i="5"/>
  <c r="AH1151" i="5"/>
  <c r="AH1153" i="5"/>
  <c r="AH1161" i="5"/>
  <c r="AH1242" i="5"/>
  <c r="AK1242" i="5" s="1"/>
  <c r="AH1289" i="5"/>
  <c r="AK1289" i="5" s="1"/>
  <c r="AK1330" i="5"/>
  <c r="AK1411" i="5"/>
  <c r="AK1441" i="5"/>
  <c r="AK1445" i="5"/>
  <c r="AK1618" i="5"/>
  <c r="AK1622" i="5"/>
  <c r="AH1708" i="5"/>
  <c r="AK1708" i="5" s="1"/>
  <c r="AH50" i="5"/>
  <c r="AH54" i="5"/>
  <c r="AH318" i="5"/>
  <c r="AH326" i="5"/>
  <c r="AH344" i="5"/>
  <c r="AH350" i="5"/>
  <c r="AH352" i="5"/>
  <c r="AK656" i="5"/>
  <c r="AH698" i="5"/>
  <c r="AK698" i="5" s="1"/>
  <c r="AH702" i="5"/>
  <c r="AK803" i="5"/>
  <c r="AH851" i="5"/>
  <c r="AH861" i="5"/>
  <c r="AH863" i="5"/>
  <c r="AH867" i="5"/>
  <c r="AK922" i="5"/>
  <c r="AK948" i="5"/>
  <c r="AK952" i="5"/>
  <c r="AK1139" i="5"/>
  <c r="AH1183" i="5"/>
  <c r="AK1183" i="5" s="1"/>
  <c r="AH9" i="5"/>
  <c r="AH140" i="5"/>
  <c r="AH142" i="5"/>
  <c r="AH235" i="5"/>
  <c r="AK235" i="5" s="1"/>
  <c r="AH287" i="5"/>
  <c r="AH289" i="5"/>
  <c r="AH291" i="5"/>
  <c r="AH293" i="5"/>
  <c r="AH295" i="5"/>
  <c r="AH384" i="5"/>
  <c r="AK384" i="5" s="1"/>
  <c r="AH388" i="5"/>
  <c r="AK388" i="5" s="1"/>
  <c r="AH392" i="5"/>
  <c r="AK392" i="5" s="1"/>
  <c r="AH408" i="5"/>
  <c r="AK408" i="5" s="1"/>
  <c r="AH410" i="5"/>
  <c r="AH432" i="5"/>
  <c r="AK432" i="5" s="1"/>
  <c r="AH446" i="5"/>
  <c r="AH448" i="5"/>
  <c r="AH623" i="5"/>
  <c r="AH639" i="5"/>
  <c r="AH655" i="5"/>
  <c r="AK655" i="5" s="1"/>
  <c r="AH784" i="5"/>
  <c r="AH786" i="5"/>
  <c r="AK786" i="5" s="1"/>
  <c r="AH915" i="5"/>
  <c r="AH1108" i="5"/>
  <c r="AH1112" i="5"/>
  <c r="AH1120" i="5"/>
  <c r="AH1227" i="5"/>
  <c r="AH1317" i="5"/>
  <c r="AK1317" i="5" s="1"/>
  <c r="AH1319" i="5"/>
  <c r="AH1333" i="5"/>
  <c r="AH1345" i="5"/>
  <c r="AH1377" i="5"/>
  <c r="AH1381" i="5"/>
  <c r="AH1385" i="5"/>
  <c r="AH1585" i="5"/>
  <c r="AH1601" i="5"/>
  <c r="AH1643" i="5"/>
  <c r="AH1657" i="5"/>
  <c r="AH1691" i="5"/>
  <c r="AK33" i="5"/>
  <c r="AK43" i="5"/>
  <c r="AK47" i="5"/>
  <c r="AK49" i="5"/>
  <c r="AK55" i="5"/>
  <c r="AH63" i="5"/>
  <c r="AH67" i="5"/>
  <c r="AH75" i="5"/>
  <c r="AH77" i="5"/>
  <c r="AH216" i="5"/>
  <c r="AH222" i="5"/>
  <c r="AK329" i="5"/>
  <c r="AK335" i="5"/>
  <c r="AK339" i="5"/>
  <c r="AK343" i="5"/>
  <c r="AK345" i="5"/>
  <c r="AH351" i="5"/>
  <c r="AK351" i="5" s="1"/>
  <c r="AH353" i="5"/>
  <c r="AH355" i="5"/>
  <c r="AK355" i="5" s="1"/>
  <c r="AH361" i="5"/>
  <c r="AH363" i="5"/>
  <c r="AK363" i="5" s="1"/>
  <c r="AH476" i="5"/>
  <c r="AH484" i="5"/>
  <c r="AH524" i="5"/>
  <c r="AH532" i="5"/>
  <c r="AK532" i="5" s="1"/>
  <c r="AH536" i="5"/>
  <c r="AK536" i="5" s="1"/>
  <c r="AH586" i="5"/>
  <c r="AK586" i="5" s="1"/>
  <c r="AH588" i="5"/>
  <c r="AK588" i="5" s="1"/>
  <c r="AH590" i="5"/>
  <c r="AK590" i="5" s="1"/>
  <c r="AH592" i="5"/>
  <c r="AK592" i="5" s="1"/>
  <c r="AH697" i="5"/>
  <c r="AH701" i="5"/>
  <c r="AH812" i="5"/>
  <c r="AH828" i="5"/>
  <c r="AH858" i="5"/>
  <c r="AH862" i="5"/>
  <c r="AH963" i="5"/>
  <c r="AK963" i="5" s="1"/>
  <c r="AH1025" i="5"/>
  <c r="AH1027" i="5"/>
  <c r="AH1144" i="5"/>
  <c r="AH1288" i="5"/>
  <c r="AK1298" i="5"/>
  <c r="AH1490" i="5"/>
  <c r="AH1510" i="5"/>
  <c r="AH1514" i="5"/>
  <c r="AK1514" i="5" s="1"/>
  <c r="AH1518" i="5"/>
  <c r="AH1522" i="5"/>
  <c r="AK20" i="5"/>
  <c r="AH51" i="5"/>
  <c r="AK57" i="5"/>
  <c r="AK61" i="5"/>
  <c r="AK75" i="5"/>
  <c r="AK114" i="5"/>
  <c r="AK118" i="5"/>
  <c r="AH135" i="5"/>
  <c r="AK135" i="5" s="1"/>
  <c r="AH137" i="5"/>
  <c r="AK137" i="5" s="1"/>
  <c r="AK149" i="5"/>
  <c r="AK151" i="5"/>
  <c r="AK153" i="5"/>
  <c r="AK159" i="5"/>
  <c r="AH255" i="5"/>
  <c r="AK255" i="5" s="1"/>
  <c r="AH290" i="5"/>
  <c r="AK290" i="5" s="1"/>
  <c r="AK310" i="5"/>
  <c r="AH420" i="5"/>
  <c r="AH424" i="5"/>
  <c r="AK424" i="5" s="1"/>
  <c r="AH428" i="5"/>
  <c r="AK428" i="5" s="1"/>
  <c r="AH440" i="5"/>
  <c r="AH479" i="5"/>
  <c r="AK479" i="5" s="1"/>
  <c r="AK1192" i="5"/>
  <c r="AK9" i="5"/>
  <c r="AH69" i="5"/>
  <c r="AK69" i="5" s="1"/>
  <c r="AK163" i="5"/>
  <c r="AK165" i="5"/>
  <c r="AK167" i="5"/>
  <c r="AK169" i="5"/>
  <c r="AK175" i="5"/>
  <c r="AK224" i="5"/>
  <c r="AK271" i="5"/>
  <c r="AK275" i="5"/>
  <c r="AK279" i="5"/>
  <c r="AH298" i="5"/>
  <c r="AK298" i="5" s="1"/>
  <c r="AH306" i="5"/>
  <c r="AK306" i="5" s="1"/>
  <c r="AK326" i="5"/>
  <c r="AH359" i="5"/>
  <c r="AK359" i="5" s="1"/>
  <c r="AK371" i="5"/>
  <c r="AK383" i="5"/>
  <c r="AK387" i="5"/>
  <c r="AK395" i="5"/>
  <c r="AK399" i="5"/>
  <c r="AK473" i="5"/>
  <c r="AH499" i="5"/>
  <c r="AK499" i="5" s="1"/>
  <c r="AH37" i="5"/>
  <c r="AK37" i="5" s="1"/>
  <c r="AH194" i="5"/>
  <c r="AK194" i="5" s="1"/>
  <c r="AH239" i="5"/>
  <c r="AK239" i="5" s="1"/>
  <c r="AH404" i="5"/>
  <c r="AK404" i="5" s="1"/>
  <c r="AH467" i="5"/>
  <c r="AH528" i="5"/>
  <c r="AK528" i="5" s="1"/>
  <c r="AH15" i="5"/>
  <c r="AK15" i="5" s="1"/>
  <c r="AH30" i="5"/>
  <c r="AK30" i="5" s="1"/>
  <c r="AH32" i="5"/>
  <c r="AK32" i="5" s="1"/>
  <c r="AH34" i="5"/>
  <c r="AH36" i="5"/>
  <c r="AK36" i="5" s="1"/>
  <c r="AH38" i="5"/>
  <c r="AH40" i="5"/>
  <c r="AH42" i="5"/>
  <c r="AH44" i="5"/>
  <c r="AH48" i="5"/>
  <c r="AK48" i="5" s="1"/>
  <c r="AH81" i="5"/>
  <c r="AK81" i="5" s="1"/>
  <c r="AH85" i="5"/>
  <c r="AK85" i="5" s="1"/>
  <c r="AH87" i="5"/>
  <c r="AK87" i="5" s="1"/>
  <c r="AH93" i="5"/>
  <c r="AK93" i="5" s="1"/>
  <c r="AH95" i="5"/>
  <c r="AH179" i="5"/>
  <c r="AK179" i="5" s="1"/>
  <c r="AH181" i="5"/>
  <c r="AK181" i="5" s="1"/>
  <c r="AH183" i="5"/>
  <c r="AK183" i="5" s="1"/>
  <c r="AH185" i="5"/>
  <c r="AK185" i="5" s="1"/>
  <c r="AH187" i="5"/>
  <c r="AH191" i="5"/>
  <c r="AK191" i="5" s="1"/>
  <c r="AH238" i="5"/>
  <c r="AH240" i="5"/>
  <c r="AH248" i="5"/>
  <c r="AH314" i="5"/>
  <c r="AK314" i="5" s="1"/>
  <c r="AH322" i="5"/>
  <c r="AK322" i="5" s="1"/>
  <c r="AH328" i="5"/>
  <c r="AH334" i="5"/>
  <c r="AH336" i="5"/>
  <c r="AH342" i="5"/>
  <c r="AK342" i="5" s="1"/>
  <c r="AH409" i="5"/>
  <c r="AK409" i="5" s="1"/>
  <c r="AH411" i="5"/>
  <c r="AH417" i="5"/>
  <c r="AK417" i="5" s="1"/>
  <c r="AH460" i="5"/>
  <c r="AK551" i="5"/>
  <c r="AH412" i="5"/>
  <c r="AK26" i="5"/>
  <c r="AK50" i="5"/>
  <c r="AK79" i="5"/>
  <c r="AK91" i="5"/>
  <c r="AK107" i="5"/>
  <c r="AK142" i="5"/>
  <c r="AK195" i="5"/>
  <c r="AK197" i="5"/>
  <c r="AK201" i="5"/>
  <c r="AK262" i="5"/>
  <c r="AK287" i="5"/>
  <c r="AK291" i="5"/>
  <c r="AK295" i="5"/>
  <c r="AK352" i="5"/>
  <c r="AK403" i="5"/>
  <c r="AK415" i="5"/>
  <c r="AH433" i="5"/>
  <c r="AH437" i="5"/>
  <c r="AH439" i="5"/>
  <c r="AH447" i="5"/>
  <c r="AK447" i="5" s="1"/>
  <c r="AH480" i="5"/>
  <c r="AK547" i="5"/>
  <c r="AK612" i="5"/>
  <c r="AK707" i="5"/>
  <c r="AK711" i="5"/>
  <c r="AK739" i="5"/>
  <c r="AK1029" i="5"/>
  <c r="AK1031" i="5"/>
  <c r="AH1148" i="5"/>
  <c r="AH1313" i="5"/>
  <c r="AK1313" i="5" s="1"/>
  <c r="AH123" i="5"/>
  <c r="AK123" i="5" s="1"/>
  <c r="AH178" i="5"/>
  <c r="AK178" i="5" s="1"/>
  <c r="AK54" i="5"/>
  <c r="AK89" i="5"/>
  <c r="AK140" i="5"/>
  <c r="AK44" i="5"/>
  <c r="AH60" i="5"/>
  <c r="AH70" i="5"/>
  <c r="AH72" i="5"/>
  <c r="AH74" i="5"/>
  <c r="AH101" i="5"/>
  <c r="AH103" i="5"/>
  <c r="AK103" i="5" s="1"/>
  <c r="AH105" i="5"/>
  <c r="AK105" i="5" s="1"/>
  <c r="AH109" i="5"/>
  <c r="AK109" i="5" s="1"/>
  <c r="AH111" i="5"/>
  <c r="AK111" i="5" s="1"/>
  <c r="AH144" i="5"/>
  <c r="AK144" i="5" s="1"/>
  <c r="AH146" i="5"/>
  <c r="AK146" i="5" s="1"/>
  <c r="AH150" i="5"/>
  <c r="AH158" i="5"/>
  <c r="AH160" i="5"/>
  <c r="AK160" i="5" s="1"/>
  <c r="AH209" i="5"/>
  <c r="AH211" i="5"/>
  <c r="AK211" i="5" s="1"/>
  <c r="AH213" i="5"/>
  <c r="AK213" i="5" s="1"/>
  <c r="AH215" i="5"/>
  <c r="AK215" i="5" s="1"/>
  <c r="AH217" i="5"/>
  <c r="AK217" i="5" s="1"/>
  <c r="AH219" i="5"/>
  <c r="AH299" i="5"/>
  <c r="AH303" i="5"/>
  <c r="AK303" i="5" s="1"/>
  <c r="AH305" i="5"/>
  <c r="AH307" i="5"/>
  <c r="AK307" i="5" s="1"/>
  <c r="AH309" i="5"/>
  <c r="AH311" i="5"/>
  <c r="AK311" i="5" s="1"/>
  <c r="AH358" i="5"/>
  <c r="AK358" i="5" s="1"/>
  <c r="AH360" i="5"/>
  <c r="AK360" i="5" s="1"/>
  <c r="AH362" i="5"/>
  <c r="AK362" i="5" s="1"/>
  <c r="AK401" i="5"/>
  <c r="AK435" i="5"/>
  <c r="AK443" i="5"/>
  <c r="AH455" i="5"/>
  <c r="AK455" i="5" s="1"/>
  <c r="AK476" i="5"/>
  <c r="AH490" i="5"/>
  <c r="AK490" i="5" s="1"/>
  <c r="AH494" i="5"/>
  <c r="AK494" i="5" s="1"/>
  <c r="AH496" i="5"/>
  <c r="AK496" i="5" s="1"/>
  <c r="AK563" i="5"/>
  <c r="AH579" i="5"/>
  <c r="AK579" i="5" s="1"/>
  <c r="AH583" i="5"/>
  <c r="AK583" i="5" s="1"/>
  <c r="AH585" i="5"/>
  <c r="AH587" i="5"/>
  <c r="AH591" i="5"/>
  <c r="AH771" i="5"/>
  <c r="AK771" i="5" s="1"/>
  <c r="AH1235" i="5"/>
  <c r="AK1504" i="5"/>
  <c r="AH1705" i="5"/>
  <c r="AK433" i="5"/>
  <c r="AK60" i="5"/>
  <c r="AH186" i="5"/>
  <c r="AK186" i="5" s="1"/>
  <c r="AH548" i="5"/>
  <c r="AK548" i="5" s="1"/>
  <c r="AH25" i="5"/>
  <c r="AK25" i="5" s="1"/>
  <c r="AH78" i="5"/>
  <c r="AK78" i="5" s="1"/>
  <c r="AK99" i="5"/>
  <c r="AK154" i="5"/>
  <c r="AH166" i="5"/>
  <c r="AK166" i="5" s="1"/>
  <c r="AH174" i="5"/>
  <c r="AH176" i="5"/>
  <c r="AK207" i="5"/>
  <c r="AH225" i="5"/>
  <c r="AH227" i="5"/>
  <c r="AK227" i="5" s="1"/>
  <c r="AH229" i="5"/>
  <c r="AK229" i="5" s="1"/>
  <c r="AH231" i="5"/>
  <c r="AK231" i="5" s="1"/>
  <c r="AH233" i="5"/>
  <c r="AK233" i="5" s="1"/>
  <c r="AH272" i="5"/>
  <c r="AH280" i="5"/>
  <c r="AK297" i="5"/>
  <c r="AH315" i="5"/>
  <c r="AH319" i="5"/>
  <c r="AK319" i="5" s="1"/>
  <c r="AH321" i="5"/>
  <c r="AH323" i="5"/>
  <c r="AK323" i="5" s="1"/>
  <c r="AH325" i="5"/>
  <c r="AK325" i="5" s="1"/>
  <c r="AH370" i="5"/>
  <c r="AK370" i="5" s="1"/>
  <c r="AH374" i="5"/>
  <c r="AK374" i="5" s="1"/>
  <c r="AH380" i="5"/>
  <c r="AK380" i="5" s="1"/>
  <c r="AH382" i="5"/>
  <c r="AH398" i="5"/>
  <c r="AK398" i="5" s="1"/>
  <c r="AH400" i="5"/>
  <c r="AH402" i="5"/>
  <c r="AK402" i="5" s="1"/>
  <c r="AK451" i="5"/>
  <c r="AH457" i="5"/>
  <c r="AH510" i="5"/>
  <c r="AH512" i="5"/>
  <c r="AK512" i="5" s="1"/>
  <c r="AH522" i="5"/>
  <c r="AK522" i="5" s="1"/>
  <c r="AH595" i="5"/>
  <c r="AK595" i="5" s="1"/>
  <c r="AH597" i="5"/>
  <c r="AK597" i="5" s="1"/>
  <c r="AH601" i="5"/>
  <c r="AH603" i="5"/>
  <c r="AK603" i="5" s="1"/>
  <c r="AH607" i="5"/>
  <c r="AK821" i="5"/>
  <c r="AK823" i="5"/>
  <c r="AH507" i="5"/>
  <c r="AK507" i="5" s="1"/>
  <c r="AH515" i="5"/>
  <c r="AK515" i="5" s="1"/>
  <c r="AH531" i="5"/>
  <c r="AK531" i="5" s="1"/>
  <c r="AH539" i="5"/>
  <c r="AK539" i="5" s="1"/>
  <c r="AH543" i="5"/>
  <c r="AK543" i="5" s="1"/>
  <c r="AH564" i="5"/>
  <c r="AK564" i="5" s="1"/>
  <c r="AH613" i="5"/>
  <c r="AK613" i="5" s="1"/>
  <c r="AH615" i="5"/>
  <c r="AK615" i="5" s="1"/>
  <c r="AH619" i="5"/>
  <c r="AH640" i="5"/>
  <c r="AH652" i="5"/>
  <c r="AK652" i="5" s="1"/>
  <c r="AH720" i="5"/>
  <c r="AK720" i="5" s="1"/>
  <c r="AH722" i="5"/>
  <c r="AH783" i="5"/>
  <c r="AK783" i="5" s="1"/>
  <c r="AH797" i="5"/>
  <c r="AH799" i="5"/>
  <c r="AK799" i="5" s="1"/>
  <c r="AH900" i="5"/>
  <c r="AK900" i="5" s="1"/>
  <c r="AH964" i="5"/>
  <c r="AK964" i="5" s="1"/>
  <c r="AH968" i="5"/>
  <c r="AK968" i="5" s="1"/>
  <c r="AH976" i="5"/>
  <c r="AK976" i="5" s="1"/>
  <c r="AH988" i="5"/>
  <c r="AK988" i="5" s="1"/>
  <c r="AH1012" i="5"/>
  <c r="AK1012" i="5" s="1"/>
  <c r="AH1020" i="5"/>
  <c r="AH1067" i="5"/>
  <c r="AH1075" i="5"/>
  <c r="AK1075" i="5" s="1"/>
  <c r="AH1077" i="5"/>
  <c r="AK1077" i="5" s="1"/>
  <c r="AH1079" i="5"/>
  <c r="AK1079" i="5" s="1"/>
  <c r="AH1100" i="5"/>
  <c r="AH1118" i="5"/>
  <c r="AK1118" i="5" s="1"/>
  <c r="AH1135" i="5"/>
  <c r="AH1152" i="5"/>
  <c r="AH1185" i="5"/>
  <c r="AK1185" i="5" s="1"/>
  <c r="AH1187" i="5"/>
  <c r="AK1187" i="5" s="1"/>
  <c r="AH1189" i="5"/>
  <c r="AH1191" i="5"/>
  <c r="AK1191" i="5" s="1"/>
  <c r="AH1220" i="5"/>
  <c r="AK1220" i="5" s="1"/>
  <c r="AH1285" i="5"/>
  <c r="AK1285" i="5" s="1"/>
  <c r="AH1287" i="5"/>
  <c r="AK1287" i="5" s="1"/>
  <c r="AH1329" i="5"/>
  <c r="AK1329" i="5" s="1"/>
  <c r="AK1385" i="5"/>
  <c r="AH1403" i="5"/>
  <c r="AH1409" i="5"/>
  <c r="AK1409" i="5" s="1"/>
  <c r="AH1418" i="5"/>
  <c r="AH1422" i="5"/>
  <c r="AH1428" i="5"/>
  <c r="AK1428" i="5" s="1"/>
  <c r="AH1436" i="5"/>
  <c r="AK1436" i="5" s="1"/>
  <c r="AH1548" i="5"/>
  <c r="AH1552" i="5"/>
  <c r="AK1552" i="5" s="1"/>
  <c r="AH1589" i="5"/>
  <c r="AK1589" i="5" s="1"/>
  <c r="AH1642" i="5"/>
  <c r="AH1666" i="5"/>
  <c r="AK1666" i="5" s="1"/>
  <c r="AH1670" i="5"/>
  <c r="AH1676" i="5"/>
  <c r="AK1676" i="5" s="1"/>
  <c r="AH1684" i="5"/>
  <c r="AH1709" i="5"/>
  <c r="AK1709" i="5" s="1"/>
  <c r="AH1713" i="5"/>
  <c r="AK1713" i="5" s="1"/>
  <c r="AH1715" i="5"/>
  <c r="AK1715" i="5" s="1"/>
  <c r="AH1717" i="5"/>
  <c r="AH1719" i="5"/>
  <c r="AK1719" i="5" s="1"/>
  <c r="AH1721" i="5"/>
  <c r="AK1721" i="5" s="1"/>
  <c r="AH1723" i="5"/>
  <c r="AK1723" i="5" s="1"/>
  <c r="AH1725" i="5"/>
  <c r="AK1725" i="5" s="1"/>
  <c r="AH1727" i="5"/>
  <c r="AK1727" i="5" s="1"/>
  <c r="AH1729" i="5"/>
  <c r="AK1729" i="5" s="1"/>
  <c r="AH1733" i="5"/>
  <c r="AH1737" i="5"/>
  <c r="AH1739" i="5"/>
  <c r="AK1739" i="5" s="1"/>
  <c r="L20" i="6"/>
  <c r="AK736" i="5"/>
  <c r="AK738" i="5"/>
  <c r="AK762" i="5"/>
  <c r="AK867" i="5"/>
  <c r="AK914" i="5"/>
  <c r="AK986" i="5"/>
  <c r="AK1071" i="5"/>
  <c r="AK1108" i="5"/>
  <c r="AK1112" i="5"/>
  <c r="AK1247" i="5"/>
  <c r="AK1333" i="5"/>
  <c r="AK1392" i="5"/>
  <c r="AK1396" i="5"/>
  <c r="AK1510" i="5"/>
  <c r="AK1585" i="5"/>
  <c r="AK1607" i="5"/>
  <c r="AK1609" i="5"/>
  <c r="AK1613" i="5"/>
  <c r="AK1745" i="5"/>
  <c r="M21" i="6"/>
  <c r="AH602" i="5"/>
  <c r="AH606" i="5"/>
  <c r="AH627" i="5"/>
  <c r="AH631" i="5"/>
  <c r="AK631" i="5" s="1"/>
  <c r="AH633" i="5"/>
  <c r="AH666" i="5"/>
  <c r="AK666" i="5" s="1"/>
  <c r="AH672" i="5"/>
  <c r="AK672" i="5" s="1"/>
  <c r="AH674" i="5"/>
  <c r="AK674" i="5" s="1"/>
  <c r="AH724" i="5"/>
  <c r="AK724" i="5" s="1"/>
  <c r="AH728" i="5"/>
  <c r="AK728" i="5" s="1"/>
  <c r="AH732" i="5"/>
  <c r="AH744" i="5"/>
  <c r="AH748" i="5"/>
  <c r="AK748" i="5" s="1"/>
  <c r="AH764" i="5"/>
  <c r="AH768" i="5"/>
  <c r="AK768" i="5" s="1"/>
  <c r="AH770" i="5"/>
  <c r="AH805" i="5"/>
  <c r="AH846" i="5"/>
  <c r="AK846" i="5" s="1"/>
  <c r="AH848" i="5"/>
  <c r="AK848" i="5" s="1"/>
  <c r="AH850" i="5"/>
  <c r="AK861" i="5"/>
  <c r="AH879" i="5"/>
  <c r="AH883" i="5"/>
  <c r="AH887" i="5"/>
  <c r="AK887" i="5" s="1"/>
  <c r="AH926" i="5"/>
  <c r="AK926" i="5" s="1"/>
  <c r="AH928" i="5"/>
  <c r="AH943" i="5"/>
  <c r="AK943" i="5" s="1"/>
  <c r="AH947" i="5"/>
  <c r="AK947" i="5" s="1"/>
  <c r="AH955" i="5"/>
  <c r="AK955" i="5" s="1"/>
  <c r="AH957" i="5"/>
  <c r="AH1028" i="5"/>
  <c r="AK1028" i="5" s="1"/>
  <c r="AK1104" i="5"/>
  <c r="AH1166" i="5"/>
  <c r="AK1166" i="5" s="1"/>
  <c r="AH1180" i="5"/>
  <c r="AH1205" i="5"/>
  <c r="AK1205" i="5" s="1"/>
  <c r="AH1207" i="5"/>
  <c r="AK1207" i="5" s="1"/>
  <c r="AH1209" i="5"/>
  <c r="AK1209" i="5" s="1"/>
  <c r="AH1211" i="5"/>
  <c r="AK1211" i="5" s="1"/>
  <c r="AH1234" i="5"/>
  <c r="AK1234" i="5" s="1"/>
  <c r="AH1264" i="5"/>
  <c r="AH1268" i="5"/>
  <c r="AH1272" i="5"/>
  <c r="AH1308" i="5"/>
  <c r="AK1308" i="5" s="1"/>
  <c r="AH1310" i="5"/>
  <c r="AH1335" i="5"/>
  <c r="AK1335" i="5" s="1"/>
  <c r="AH1339" i="5"/>
  <c r="AH1362" i="5"/>
  <c r="AH1366" i="5"/>
  <c r="AK1366" i="5" s="1"/>
  <c r="AH1370" i="5"/>
  <c r="AH1374" i="5"/>
  <c r="AH1378" i="5"/>
  <c r="AK1378" i="5" s="1"/>
  <c r="AH1400" i="5"/>
  <c r="AK1400" i="5" s="1"/>
  <c r="AK1418" i="5"/>
  <c r="AH1470" i="5"/>
  <c r="AK1470" i="5" s="1"/>
  <c r="AH1505" i="5"/>
  <c r="AH1515" i="5"/>
  <c r="AH1521" i="5"/>
  <c r="AK1521" i="5" s="1"/>
  <c r="AH1525" i="5"/>
  <c r="AK1525" i="5" s="1"/>
  <c r="AH1556" i="5"/>
  <c r="AH1568" i="5"/>
  <c r="AK1568" i="5" s="1"/>
  <c r="AH1621" i="5"/>
  <c r="AK1621" i="5" s="1"/>
  <c r="AH1702" i="5"/>
  <c r="AK1702" i="5" s="1"/>
  <c r="I22" i="6"/>
  <c r="AK836" i="5"/>
  <c r="AK840" i="5"/>
  <c r="AK858" i="5"/>
  <c r="AK924" i="5"/>
  <c r="AK971" i="5"/>
  <c r="AK975" i="5"/>
  <c r="AK981" i="5"/>
  <c r="AK983" i="5"/>
  <c r="AK989" i="5"/>
  <c r="AK995" i="5"/>
  <c r="AK1015" i="5"/>
  <c r="AK1099" i="5"/>
  <c r="AK1103" i="5"/>
  <c r="AK1149" i="5"/>
  <c r="AK1151" i="5"/>
  <c r="AK1161" i="5"/>
  <c r="AK1172" i="5"/>
  <c r="AK1176" i="5"/>
  <c r="AK1224" i="5"/>
  <c r="AK1228" i="5"/>
  <c r="AK1306" i="5"/>
  <c r="AK1421" i="5"/>
  <c r="AK1509" i="5"/>
  <c r="AK1513" i="5"/>
  <c r="AK1554" i="5"/>
  <c r="AK1566" i="5"/>
  <c r="AK1576" i="5"/>
  <c r="AK1657" i="5"/>
  <c r="AK1698" i="5"/>
  <c r="F24" i="6"/>
  <c r="AH530" i="5"/>
  <c r="AH542" i="5"/>
  <c r="AK542" i="5" s="1"/>
  <c r="AH544" i="5"/>
  <c r="AK544" i="5" s="1"/>
  <c r="AH546" i="5"/>
  <c r="AK546" i="5" s="1"/>
  <c r="AH618" i="5"/>
  <c r="AK618" i="5" s="1"/>
  <c r="AH622" i="5"/>
  <c r="AH643" i="5"/>
  <c r="AK643" i="5" s="1"/>
  <c r="AH653" i="5"/>
  <c r="AK653" i="5" s="1"/>
  <c r="AH676" i="5"/>
  <c r="AH680" i="5"/>
  <c r="AK680" i="5" s="1"/>
  <c r="AH684" i="5"/>
  <c r="AK684" i="5" s="1"/>
  <c r="AK701" i="5"/>
  <c r="AH772" i="5"/>
  <c r="AK772" i="5" s="1"/>
  <c r="AH776" i="5"/>
  <c r="AK776" i="5" s="1"/>
  <c r="AH780" i="5"/>
  <c r="AK780" i="5" s="1"/>
  <c r="AH794" i="5"/>
  <c r="AK794" i="5" s="1"/>
  <c r="AH798" i="5"/>
  <c r="AK850" i="5"/>
  <c r="AH852" i="5"/>
  <c r="AK852" i="5" s="1"/>
  <c r="AH932" i="5"/>
  <c r="AK932" i="5" s="1"/>
  <c r="AH977" i="5"/>
  <c r="AK977" i="5" s="1"/>
  <c r="AH991" i="5"/>
  <c r="AH997" i="5"/>
  <c r="AK997" i="5" s="1"/>
  <c r="AH1001" i="5"/>
  <c r="AK1001" i="5" s="1"/>
  <c r="AH1009" i="5"/>
  <c r="AH1011" i="5"/>
  <c r="AK1011" i="5" s="1"/>
  <c r="AH1023" i="5"/>
  <c r="AK1023" i="5" s="1"/>
  <c r="AH1050" i="5"/>
  <c r="AK1050" i="5" s="1"/>
  <c r="AH1056" i="5"/>
  <c r="AH1058" i="5"/>
  <c r="AK1058" i="5" s="1"/>
  <c r="AH1070" i="5"/>
  <c r="AK1070" i="5" s="1"/>
  <c r="AH1072" i="5"/>
  <c r="AK1072" i="5" s="1"/>
  <c r="AH1107" i="5"/>
  <c r="AH1184" i="5"/>
  <c r="AK1184" i="5" s="1"/>
  <c r="AH1217" i="5"/>
  <c r="AH1295" i="5"/>
  <c r="AH1301" i="5"/>
  <c r="AH1324" i="5"/>
  <c r="AK1324" i="5" s="1"/>
  <c r="AH1326" i="5"/>
  <c r="AK1326" i="5" s="1"/>
  <c r="AH1343" i="5"/>
  <c r="AK1343" i="5" s="1"/>
  <c r="AH1347" i="5"/>
  <c r="AH1349" i="5"/>
  <c r="AK1349" i="5" s="1"/>
  <c r="AH1351" i="5"/>
  <c r="AH1355" i="5"/>
  <c r="AH1402" i="5"/>
  <c r="AK1402" i="5" s="1"/>
  <c r="AH1478" i="5"/>
  <c r="AH1482" i="5"/>
  <c r="AK1482" i="5" s="1"/>
  <c r="AH1541" i="5"/>
  <c r="AK1541" i="5" s="1"/>
  <c r="AH1543" i="5"/>
  <c r="AK1543" i="5" s="1"/>
  <c r="AH1584" i="5"/>
  <c r="AH1596" i="5"/>
  <c r="AK1596" i="5" s="1"/>
  <c r="AH1598" i="5"/>
  <c r="AK1598" i="5" s="1"/>
  <c r="AH1600" i="5"/>
  <c r="AK1600" i="5" s="1"/>
  <c r="AH1637" i="5"/>
  <c r="AH1661" i="5"/>
  <c r="AK1661" i="5" s="1"/>
  <c r="AH1667" i="5"/>
  <c r="AK1667" i="5" s="1"/>
  <c r="AH1673" i="5"/>
  <c r="AH1677" i="5"/>
  <c r="AK1677" i="5" s="1"/>
  <c r="AH1679" i="5"/>
  <c r="AH1681" i="5"/>
  <c r="AK1681" i="5" s="1"/>
  <c r="AH1683" i="5"/>
  <c r="AK1683" i="5" s="1"/>
  <c r="AH1685" i="5"/>
  <c r="AH1687" i="5"/>
  <c r="AK1687" i="5" s="1"/>
  <c r="AH1689" i="5"/>
  <c r="AK1689" i="5" s="1"/>
  <c r="AH1710" i="5"/>
  <c r="AH1732" i="5"/>
  <c r="AH1744" i="5"/>
  <c r="AH1746" i="5"/>
  <c r="H19" i="6"/>
  <c r="AK1060" i="5"/>
  <c r="AK1064" i="5"/>
  <c r="AK1263" i="5"/>
  <c r="AK1267" i="5"/>
  <c r="AK1299" i="5"/>
  <c r="AK1303" i="5"/>
  <c r="AK1347" i="5"/>
  <c r="AK1377" i="5"/>
  <c r="AK1381" i="5"/>
  <c r="AK1410" i="5"/>
  <c r="AK1490" i="5"/>
  <c r="AK1590" i="5"/>
  <c r="AK1594" i="5"/>
  <c r="AK1602" i="5"/>
  <c r="AK1691" i="5"/>
  <c r="AH634" i="5"/>
  <c r="AK634" i="5" s="1"/>
  <c r="AH659" i="5"/>
  <c r="AK659" i="5" s="1"/>
  <c r="AH661" i="5"/>
  <c r="AH665" i="5"/>
  <c r="AK665" i="5" s="1"/>
  <c r="AH692" i="5"/>
  <c r="AK692" i="5" s="1"/>
  <c r="AH751" i="5"/>
  <c r="AK751" i="5" s="1"/>
  <c r="AH810" i="5"/>
  <c r="AK810" i="5" s="1"/>
  <c r="AH843" i="5"/>
  <c r="AK843" i="5" s="1"/>
  <c r="AH845" i="5"/>
  <c r="AK845" i="5" s="1"/>
  <c r="AH872" i="5"/>
  <c r="AK872" i="5" s="1"/>
  <c r="AH876" i="5"/>
  <c r="AK876" i="5" s="1"/>
  <c r="AH890" i="5"/>
  <c r="AK890" i="5" s="1"/>
  <c r="AK909" i="5"/>
  <c r="AH958" i="5"/>
  <c r="AK958" i="5" s="1"/>
  <c r="AH960" i="5"/>
  <c r="AH962" i="5"/>
  <c r="AH1035" i="5"/>
  <c r="AK1035" i="5" s="1"/>
  <c r="AH1037" i="5"/>
  <c r="AK1037" i="5" s="1"/>
  <c r="AH1039" i="5"/>
  <c r="AK1039" i="5" s="1"/>
  <c r="AH1098" i="5"/>
  <c r="AK1098" i="5" s="1"/>
  <c r="AH1127" i="5"/>
  <c r="AK1127" i="5" s="1"/>
  <c r="AH1131" i="5"/>
  <c r="AH1165" i="5"/>
  <c r="AH1173" i="5"/>
  <c r="AH1181" i="5"/>
  <c r="AK1181" i="5" s="1"/>
  <c r="AH1196" i="5"/>
  <c r="AK1196" i="5" s="1"/>
  <c r="AH1248" i="5"/>
  <c r="AK1248" i="5" s="1"/>
  <c r="AH1256" i="5"/>
  <c r="AK1256" i="5" s="1"/>
  <c r="AH1258" i="5"/>
  <c r="AK1258" i="5" s="1"/>
  <c r="AH1290" i="5"/>
  <c r="AH1334" i="5"/>
  <c r="AK1334" i="5" s="1"/>
  <c r="AH1359" i="5"/>
  <c r="AK1359" i="5" s="1"/>
  <c r="AH1363" i="5"/>
  <c r="AK1363" i="5" s="1"/>
  <c r="AH1365" i="5"/>
  <c r="AK1365" i="5" s="1"/>
  <c r="AH1367" i="5"/>
  <c r="AK1367" i="5" s="1"/>
  <c r="AH1387" i="5"/>
  <c r="AK1387" i="5" s="1"/>
  <c r="AH1391" i="5"/>
  <c r="AK1391" i="5" s="1"/>
  <c r="AH1395" i="5"/>
  <c r="AH1453" i="5"/>
  <c r="AK1453" i="5" s="1"/>
  <c r="AH1457" i="5"/>
  <c r="AK1457" i="5" s="1"/>
  <c r="AH1461" i="5"/>
  <c r="AK1461" i="5" s="1"/>
  <c r="AH1506" i="5"/>
  <c r="AK1506" i="5" s="1"/>
  <c r="AH1532" i="5"/>
  <c r="AK1532" i="5" s="1"/>
  <c r="AH1534" i="5"/>
  <c r="AK1534" i="5" s="1"/>
  <c r="AH1536" i="5"/>
  <c r="AK1536" i="5" s="1"/>
  <c r="AH1553" i="5"/>
  <c r="AK1553" i="5" s="1"/>
  <c r="AH1561" i="5"/>
  <c r="AH1610" i="5"/>
  <c r="AH1628" i="5"/>
  <c r="AK1628" i="5" s="1"/>
  <c r="AH1632" i="5"/>
  <c r="AK1632" i="5" s="1"/>
  <c r="AH1693" i="5"/>
  <c r="AK1693" i="5" s="1"/>
  <c r="AH1695" i="5"/>
  <c r="AK1695" i="5" s="1"/>
  <c r="L434" i="6" s="1"/>
  <c r="L436" i="6" s="1"/>
  <c r="AH1697" i="5"/>
  <c r="AH1699" i="5"/>
  <c r="AH1701" i="5"/>
  <c r="AK1746" i="5"/>
  <c r="L19" i="6"/>
  <c r="G20" i="6"/>
  <c r="T46" i="2"/>
  <c r="AK67" i="5"/>
  <c r="AH71" i="5"/>
  <c r="AK71" i="5" s="1"/>
  <c r="AH73" i="5"/>
  <c r="AK73" i="5" s="1"/>
  <c r="AH117" i="5"/>
  <c r="AK117" i="5" s="1"/>
  <c r="AH126" i="5"/>
  <c r="AK126" i="5" s="1"/>
  <c r="AH128" i="5"/>
  <c r="AK128" i="5" s="1"/>
  <c r="AK198" i="5"/>
  <c r="AH210" i="5"/>
  <c r="AK210" i="5" s="1"/>
  <c r="AH214" i="5"/>
  <c r="AK214" i="5" s="1"/>
  <c r="AH226" i="5"/>
  <c r="AK226" i="5" s="1"/>
  <c r="AK288" i="5"/>
  <c r="AK296" i="5"/>
  <c r="AK312" i="5"/>
  <c r="AH330" i="5"/>
  <c r="AK330" i="5" s="1"/>
  <c r="AK341" i="5"/>
  <c r="AH346" i="5"/>
  <c r="AK346" i="5" s="1"/>
  <c r="AK379" i="5"/>
  <c r="AK439" i="5"/>
  <c r="AH35" i="5"/>
  <c r="AK35" i="5" s="1"/>
  <c r="AH53" i="5"/>
  <c r="AK53" i="5" s="1"/>
  <c r="AH62" i="5"/>
  <c r="AK62" i="5" s="1"/>
  <c r="AH86" i="5"/>
  <c r="AK86" i="5" s="1"/>
  <c r="AK115" i="5"/>
  <c r="AK130" i="5"/>
  <c r="AH152" i="5"/>
  <c r="AK152" i="5" s="1"/>
  <c r="AK155" i="5"/>
  <c r="AH168" i="5"/>
  <c r="AK168" i="5" s="1"/>
  <c r="AK171" i="5"/>
  <c r="AH184" i="5"/>
  <c r="AK184" i="5" s="1"/>
  <c r="AK187" i="5"/>
  <c r="AH230" i="5"/>
  <c r="AK230" i="5" s="1"/>
  <c r="AK242" i="5"/>
  <c r="AH246" i="5"/>
  <c r="AK246" i="5" s="1"/>
  <c r="AH258" i="5"/>
  <c r="AK258" i="5" s="1"/>
  <c r="AH304" i="5"/>
  <c r="AH320" i="5"/>
  <c r="AK320" i="5" s="1"/>
  <c r="AK328" i="5"/>
  <c r="AK344" i="5"/>
  <c r="AH357" i="5"/>
  <c r="AK357" i="5" s="1"/>
  <c r="AH375" i="5"/>
  <c r="AK375" i="5" s="1"/>
  <c r="AH381" i="5"/>
  <c r="AK381" i="5" s="1"/>
  <c r="AH405" i="5"/>
  <c r="AK405" i="5" s="1"/>
  <c r="AK412" i="5"/>
  <c r="AH416" i="5"/>
  <c r="AH12" i="5"/>
  <c r="AK12" i="5" s="1"/>
  <c r="AK17" i="5"/>
  <c r="AH19" i="5"/>
  <c r="AK19" i="5" s="1"/>
  <c r="AK24" i="5"/>
  <c r="AH28" i="5"/>
  <c r="AK28" i="5" s="1"/>
  <c r="AK51" i="5"/>
  <c r="AK66" i="5"/>
  <c r="AH92" i="5"/>
  <c r="AK92" i="5" s="1"/>
  <c r="AK101" i="5"/>
  <c r="AH112" i="5"/>
  <c r="AK112" i="5" s="1"/>
  <c r="AK119" i="5"/>
  <c r="AH136" i="5"/>
  <c r="AH138" i="5"/>
  <c r="AK143" i="5"/>
  <c r="AH145" i="5"/>
  <c r="AK145" i="5" s="1"/>
  <c r="AK203" i="5"/>
  <c r="AK219" i="5"/>
  <c r="AK265" i="5"/>
  <c r="AK274" i="5"/>
  <c r="AH278" i="5"/>
  <c r="AK278" i="5" s="1"/>
  <c r="AK281" i="5"/>
  <c r="AK364" i="5"/>
  <c r="AK251" i="5"/>
  <c r="AH396" i="5"/>
  <c r="AK396" i="5" s="1"/>
  <c r="AH21" i="5"/>
  <c r="AK21" i="5" s="1"/>
  <c r="AH39" i="5"/>
  <c r="AK39" i="5" s="1"/>
  <c r="AH41" i="5"/>
  <c r="AK41" i="5" s="1"/>
  <c r="AH59" i="5"/>
  <c r="AK59" i="5" s="1"/>
  <c r="AH76" i="5"/>
  <c r="AK76" i="5" s="1"/>
  <c r="AH94" i="5"/>
  <c r="AK94" i="5" s="1"/>
  <c r="AH147" i="5"/>
  <c r="AK147" i="5" s="1"/>
  <c r="AH202" i="5"/>
  <c r="AK202" i="5" s="1"/>
  <c r="AH218" i="5"/>
  <c r="AK218" i="5" s="1"/>
  <c r="AK267" i="5"/>
  <c r="AK283" i="5"/>
  <c r="AH338" i="5"/>
  <c r="AK338" i="5" s="1"/>
  <c r="AH354" i="5"/>
  <c r="AK354" i="5" s="1"/>
  <c r="AH368" i="5"/>
  <c r="AK368" i="5" s="1"/>
  <c r="AH83" i="5"/>
  <c r="AK83" i="5" s="1"/>
  <c r="AH98" i="5"/>
  <c r="AK98" i="5" s="1"/>
  <c r="AK138" i="5"/>
  <c r="AK200" i="5"/>
  <c r="AK216" i="5"/>
  <c r="AH234" i="5"/>
  <c r="AK234" i="5" s="1"/>
  <c r="AH250" i="5"/>
  <c r="AK250" i="5" s="1"/>
  <c r="AK299" i="5"/>
  <c r="AK315" i="5"/>
  <c r="AH372" i="5"/>
  <c r="AH376" i="5"/>
  <c r="AK376" i="5" s="1"/>
  <c r="AH378" i="5"/>
  <c r="AK378" i="5" s="1"/>
  <c r="AH13" i="5"/>
  <c r="AK13" i="5" s="1"/>
  <c r="AH29" i="5"/>
  <c r="AK29" i="5" s="1"/>
  <c r="AK74" i="5"/>
  <c r="AH80" i="5"/>
  <c r="AK80" i="5" s="1"/>
  <c r="AH104" i="5"/>
  <c r="AH106" i="5"/>
  <c r="AK106" i="5" s="1"/>
  <c r="AH113" i="5"/>
  <c r="AK113" i="5" s="1"/>
  <c r="AH124" i="5"/>
  <c r="AK124" i="5" s="1"/>
  <c r="AH133" i="5"/>
  <c r="AK133" i="5" s="1"/>
  <c r="AK232" i="5"/>
  <c r="AK248" i="5"/>
  <c r="AH261" i="5"/>
  <c r="AK261" i="5" s="1"/>
  <c r="AH266" i="5"/>
  <c r="AK266" i="5" s="1"/>
  <c r="AH270" i="5"/>
  <c r="AH277" i="5"/>
  <c r="AK277" i="5" s="1"/>
  <c r="AH282" i="5"/>
  <c r="AK282" i="5" s="1"/>
  <c r="AH286" i="5"/>
  <c r="AK331" i="5"/>
  <c r="AK347" i="5"/>
  <c r="AK31" i="5"/>
  <c r="AK42" i="5"/>
  <c r="AK131" i="5"/>
  <c r="AK150" i="5"/>
  <c r="AK182" i="5"/>
  <c r="AK256" i="5"/>
  <c r="AK264" i="5"/>
  <c r="AK280" i="5"/>
  <c r="AK293" i="5"/>
  <c r="AK309" i="5"/>
  <c r="AK367" i="5"/>
  <c r="AK369" i="5"/>
  <c r="AK410" i="5"/>
  <c r="AK832" i="5"/>
  <c r="AK899" i="5"/>
  <c r="AH444" i="5"/>
  <c r="AK444" i="5" s="1"/>
  <c r="AH468" i="5"/>
  <c r="AK468" i="5" s="1"/>
  <c r="AH488" i="5"/>
  <c r="AK488" i="5" s="1"/>
  <c r="AH492" i="5"/>
  <c r="AH508" i="5"/>
  <c r="AK508" i="5" s="1"/>
  <c r="AK521" i="5"/>
  <c r="AK554" i="5"/>
  <c r="AH580" i="5"/>
  <c r="AK580" i="5" s="1"/>
  <c r="AH584" i="5"/>
  <c r="AK584" i="5" s="1"/>
  <c r="AK601" i="5"/>
  <c r="AK607" i="5"/>
  <c r="AH616" i="5"/>
  <c r="AH708" i="5"/>
  <c r="AK708" i="5" s="1"/>
  <c r="AK714" i="5"/>
  <c r="AK757" i="5"/>
  <c r="AK759" i="5"/>
  <c r="AH792" i="5"/>
  <c r="AH796" i="5"/>
  <c r="AK796" i="5" s="1"/>
  <c r="AK805" i="5"/>
  <c r="AK816" i="5"/>
  <c r="AH820" i="5"/>
  <c r="AK820" i="5" s="1"/>
  <c r="AH824" i="5"/>
  <c r="AH844" i="5"/>
  <c r="AK844" i="5" s="1"/>
  <c r="AK851" i="5"/>
  <c r="AH927" i="5"/>
  <c r="AK927" i="5" s="1"/>
  <c r="AH936" i="5"/>
  <c r="AK936" i="5" s="1"/>
  <c r="AH956" i="5"/>
  <c r="AK956" i="5" s="1"/>
  <c r="AH980" i="5"/>
  <c r="AK980" i="5" s="1"/>
  <c r="AH993" i="5"/>
  <c r="AK993" i="5" s="1"/>
  <c r="AH1013" i="5"/>
  <c r="AK1013" i="5" s="1"/>
  <c r="AH1019" i="5"/>
  <c r="AK1019" i="5" s="1"/>
  <c r="AH1021" i="5"/>
  <c r="AK1024" i="5"/>
  <c r="AH1032" i="5"/>
  <c r="AK1032" i="5" s="1"/>
  <c r="AK1043" i="5"/>
  <c r="AH394" i="5"/>
  <c r="AK394" i="5" s="1"/>
  <c r="AK420" i="5"/>
  <c r="AH434" i="5"/>
  <c r="AK434" i="5" s="1"/>
  <c r="AH441" i="5"/>
  <c r="AK441" i="5" s="1"/>
  <c r="AH459" i="5"/>
  <c r="AK459" i="5" s="1"/>
  <c r="AH472" i="5"/>
  <c r="AK472" i="5" s="1"/>
  <c r="AH474" i="5"/>
  <c r="AK474" i="5" s="1"/>
  <c r="AK484" i="5"/>
  <c r="AH498" i="5"/>
  <c r="AK498" i="5" s="1"/>
  <c r="AH523" i="5"/>
  <c r="AH552" i="5"/>
  <c r="AK552" i="5" s="1"/>
  <c r="AH556" i="5"/>
  <c r="AK556" i="5" s="1"/>
  <c r="AH562" i="5"/>
  <c r="AK562" i="5" s="1"/>
  <c r="AK620" i="5"/>
  <c r="AK627" i="5"/>
  <c r="AH650" i="5"/>
  <c r="AK650" i="5" s="1"/>
  <c r="AH664" i="5"/>
  <c r="AK664" i="5" s="1"/>
  <c r="AH670" i="5"/>
  <c r="AK670" i="5" s="1"/>
  <c r="AH677" i="5"/>
  <c r="AH679" i="5"/>
  <c r="AK679" i="5" s="1"/>
  <c r="AH690" i="5"/>
  <c r="AK690" i="5" s="1"/>
  <c r="AH712" i="5"/>
  <c r="AK712" i="5" s="1"/>
  <c r="AH740" i="5"/>
  <c r="AK740" i="5" s="1"/>
  <c r="AH746" i="5"/>
  <c r="AK746" i="5" s="1"/>
  <c r="AH765" i="5"/>
  <c r="AK765" i="5" s="1"/>
  <c r="AH802" i="5"/>
  <c r="AK802" i="5" s="1"/>
  <c r="AH811" i="5"/>
  <c r="AK811" i="5" s="1"/>
  <c r="AH813" i="5"/>
  <c r="AK864" i="5"/>
  <c r="AH868" i="5"/>
  <c r="AK868" i="5" s="1"/>
  <c r="AH874" i="5"/>
  <c r="AK874" i="5" s="1"/>
  <c r="AH878" i="5"/>
  <c r="AK878" i="5" s="1"/>
  <c r="AK883" i="5"/>
  <c r="AH893" i="5"/>
  <c r="AK893" i="5" s="1"/>
  <c r="AH916" i="5"/>
  <c r="AK916" i="5" s="1"/>
  <c r="AH920" i="5"/>
  <c r="AK920" i="5" s="1"/>
  <c r="AH942" i="5"/>
  <c r="AK942" i="5" s="1"/>
  <c r="AH949" i="5"/>
  <c r="AK949" i="5" s="1"/>
  <c r="AH951" i="5"/>
  <c r="AK951" i="5" s="1"/>
  <c r="AH984" i="5"/>
  <c r="AK984" i="5" s="1"/>
  <c r="AH999" i="5"/>
  <c r="AK999" i="5" s="1"/>
  <c r="AK1036" i="5"/>
  <c r="AH1042" i="5"/>
  <c r="AK1042" i="5" s="1"/>
  <c r="AK1188" i="5"/>
  <c r="AH407" i="5"/>
  <c r="AK407" i="5" s="1"/>
  <c r="AH414" i="5"/>
  <c r="AH423" i="5"/>
  <c r="AK423" i="5" s="1"/>
  <c r="AH425" i="5"/>
  <c r="AH431" i="5"/>
  <c r="AK431" i="5" s="1"/>
  <c r="AH465" i="5"/>
  <c r="AK465" i="5" s="1"/>
  <c r="AH478" i="5"/>
  <c r="AH487" i="5"/>
  <c r="AK487" i="5" s="1"/>
  <c r="AH527" i="5"/>
  <c r="AK530" i="5"/>
  <c r="AH538" i="5"/>
  <c r="AK538" i="5" s="1"/>
  <c r="AK575" i="5"/>
  <c r="AH594" i="5"/>
  <c r="AK594" i="5" s="1"/>
  <c r="AH626" i="5"/>
  <c r="AK626" i="5" s="1"/>
  <c r="AK640" i="5"/>
  <c r="AK648" i="5"/>
  <c r="AK675" i="5"/>
  <c r="AH683" i="5"/>
  <c r="AK683" i="5" s="1"/>
  <c r="AK688" i="5"/>
  <c r="AK703" i="5"/>
  <c r="AK716" i="5"/>
  <c r="AH718" i="5"/>
  <c r="AK718" i="5" s="1"/>
  <c r="AK723" i="5"/>
  <c r="AH725" i="5"/>
  <c r="AK725" i="5" s="1"/>
  <c r="AH729" i="5"/>
  <c r="AK729" i="5" s="1"/>
  <c r="AH731" i="5"/>
  <c r="AK731" i="5" s="1"/>
  <c r="AH733" i="5"/>
  <c r="AK733" i="5" s="1"/>
  <c r="AK744" i="5"/>
  <c r="AH750" i="5"/>
  <c r="AK755" i="5"/>
  <c r="AK770" i="5"/>
  <c r="AH778" i="5"/>
  <c r="AK778" i="5" s="1"/>
  <c r="AH782" i="5"/>
  <c r="AK782" i="5" s="1"/>
  <c r="AH789" i="5"/>
  <c r="AK789" i="5" s="1"/>
  <c r="AH791" i="5"/>
  <c r="AK791" i="5" s="1"/>
  <c r="AK815" i="5"/>
  <c r="AK828" i="5"/>
  <c r="AH830" i="5"/>
  <c r="AH837" i="5"/>
  <c r="AK863" i="5"/>
  <c r="AH882" i="5"/>
  <c r="AK882" i="5" s="1"/>
  <c r="AK911" i="5"/>
  <c r="AK940" i="5"/>
  <c r="AH970" i="5"/>
  <c r="AK970" i="5" s="1"/>
  <c r="AK973" i="5"/>
  <c r="AH990" i="5"/>
  <c r="AK990" i="5" s="1"/>
  <c r="AH1003" i="5"/>
  <c r="AK1003" i="5" s="1"/>
  <c r="AK1008" i="5"/>
  <c r="AK1025" i="5"/>
  <c r="AK1040" i="5"/>
  <c r="AH1066" i="5"/>
  <c r="AK1066" i="5" s="1"/>
  <c r="AH1068" i="5"/>
  <c r="AK1068" i="5" s="1"/>
  <c r="AH1093" i="5"/>
  <c r="AK1093" i="5" s="1"/>
  <c r="AH1095" i="5"/>
  <c r="AK1095" i="5" s="1"/>
  <c r="AH1106" i="5"/>
  <c r="AK1106" i="5" s="1"/>
  <c r="AH1114" i="5"/>
  <c r="AK1114" i="5" s="1"/>
  <c r="AK896" i="5"/>
  <c r="AK960" i="5"/>
  <c r="AK1021" i="5"/>
  <c r="AK425" i="5"/>
  <c r="AH436" i="5"/>
  <c r="AK436" i="5" s="1"/>
  <c r="AK448" i="5"/>
  <c r="AH452" i="5"/>
  <c r="AK452" i="5" s="1"/>
  <c r="AH500" i="5"/>
  <c r="AK500" i="5" s="1"/>
  <c r="AH540" i="5"/>
  <c r="AK540" i="5" s="1"/>
  <c r="AH568" i="5"/>
  <c r="AH572" i="5"/>
  <c r="AK572" i="5" s="1"/>
  <c r="AK602" i="5"/>
  <c r="AK606" i="5"/>
  <c r="AK619" i="5"/>
  <c r="AH628" i="5"/>
  <c r="AK628" i="5" s="1"/>
  <c r="AH632" i="5"/>
  <c r="AK654" i="5"/>
  <c r="AH687" i="5"/>
  <c r="AK687" i="5" s="1"/>
  <c r="AH696" i="5"/>
  <c r="AH700" i="5"/>
  <c r="AK700" i="5" s="1"/>
  <c r="AK787" i="5"/>
  <c r="AK800" i="5"/>
  <c r="AH804" i="5"/>
  <c r="AK804" i="5" s="1"/>
  <c r="AK813" i="5"/>
  <c r="AH847" i="5"/>
  <c r="AK847" i="5" s="1"/>
  <c r="AH856" i="5"/>
  <c r="AH860" i="5"/>
  <c r="AK860" i="5" s="1"/>
  <c r="AK880" i="5"/>
  <c r="AH884" i="5"/>
  <c r="AK884" i="5" s="1"/>
  <c r="AH888" i="5"/>
  <c r="AH904" i="5"/>
  <c r="AK904" i="5" s="1"/>
  <c r="AK910" i="5"/>
  <c r="AH919" i="5"/>
  <c r="AK919" i="5" s="1"/>
  <c r="AH930" i="5"/>
  <c r="AK930" i="5" s="1"/>
  <c r="AH939" i="5"/>
  <c r="AK939" i="5" s="1"/>
  <c r="AH959" i="5"/>
  <c r="AK959" i="5" s="1"/>
  <c r="AH972" i="5"/>
  <c r="AK972" i="5" s="1"/>
  <c r="AH1005" i="5"/>
  <c r="AH1007" i="5"/>
  <c r="AK1007" i="5" s="1"/>
  <c r="AH1016" i="5"/>
  <c r="AK1016" i="5" s="1"/>
  <c r="AH1022" i="5"/>
  <c r="AK1022" i="5" s="1"/>
  <c r="AK1027" i="5"/>
  <c r="AK1056" i="5"/>
  <c r="AH1082" i="5"/>
  <c r="AK1082" i="5" s="1"/>
  <c r="AH1086" i="5"/>
  <c r="AK1086" i="5" s="1"/>
  <c r="AK1091" i="5"/>
  <c r="AK1152" i="5"/>
  <c r="AH393" i="5"/>
  <c r="AK393" i="5" s="1"/>
  <c r="AH442" i="5"/>
  <c r="AK442" i="5" s="1"/>
  <c r="AH449" i="5"/>
  <c r="AK449" i="5" s="1"/>
  <c r="AH456" i="5"/>
  <c r="AH462" i="5"/>
  <c r="AK462" i="5" s="1"/>
  <c r="AH504" i="5"/>
  <c r="AK504" i="5" s="1"/>
  <c r="AH506" i="5"/>
  <c r="AK506" i="5" s="1"/>
  <c r="AH516" i="5"/>
  <c r="AK516" i="5" s="1"/>
  <c r="AH520" i="5"/>
  <c r="AK520" i="5" s="1"/>
  <c r="AH559" i="5"/>
  <c r="AK559" i="5" s="1"/>
  <c r="AH596" i="5"/>
  <c r="AK596" i="5" s="1"/>
  <c r="AH600" i="5"/>
  <c r="AK600" i="5" s="1"/>
  <c r="AH604" i="5"/>
  <c r="AK604" i="5" s="1"/>
  <c r="AH610" i="5"/>
  <c r="AK610" i="5" s="1"/>
  <c r="AH638" i="5"/>
  <c r="AH647" i="5"/>
  <c r="AK647" i="5" s="1"/>
  <c r="AH649" i="5"/>
  <c r="AH667" i="5"/>
  <c r="AK667" i="5" s="1"/>
  <c r="AH669" i="5"/>
  <c r="AK669" i="5" s="1"/>
  <c r="AH671" i="5"/>
  <c r="AK671" i="5" s="1"/>
  <c r="AK685" i="5"/>
  <c r="AH717" i="5"/>
  <c r="AK717" i="5" s="1"/>
  <c r="AH741" i="5"/>
  <c r="AH743" i="5"/>
  <c r="AK743" i="5" s="1"/>
  <c r="AK752" i="5"/>
  <c r="AH756" i="5"/>
  <c r="AK756" i="5" s="1"/>
  <c r="AH760" i="5"/>
  <c r="AH766" i="5"/>
  <c r="AH808" i="5"/>
  <c r="AK808" i="5" s="1"/>
  <c r="AH814" i="5"/>
  <c r="AK814" i="5" s="1"/>
  <c r="AK819" i="5"/>
  <c r="AH829" i="5"/>
  <c r="AK829" i="5" s="1"/>
  <c r="AH869" i="5"/>
  <c r="AK869" i="5" s="1"/>
  <c r="AH875" i="5"/>
  <c r="AK875" i="5" s="1"/>
  <c r="AH877" i="5"/>
  <c r="AK877" i="5" s="1"/>
  <c r="AH908" i="5"/>
  <c r="AK908" i="5" s="1"/>
  <c r="AH941" i="5"/>
  <c r="AK941" i="5" s="1"/>
  <c r="AK979" i="5"/>
  <c r="AK992" i="5"/>
  <c r="AK1009" i="5"/>
  <c r="AH1026" i="5"/>
  <c r="AK1080" i="5"/>
  <c r="AH1090" i="5"/>
  <c r="AH426" i="5"/>
  <c r="AK426" i="5" s="1"/>
  <c r="AK440" i="5"/>
  <c r="AK460" i="5"/>
  <c r="AH466" i="5"/>
  <c r="AK466" i="5" s="1"/>
  <c r="AH513" i="5"/>
  <c r="AK513" i="5" s="1"/>
  <c r="AH526" i="5"/>
  <c r="AK526" i="5" s="1"/>
  <c r="AH533" i="5"/>
  <c r="AH565" i="5"/>
  <c r="AK565" i="5" s="1"/>
  <c r="AH567" i="5"/>
  <c r="AK567" i="5" s="1"/>
  <c r="AK608" i="5"/>
  <c r="AK623" i="5"/>
  <c r="AK636" i="5"/>
  <c r="AH651" i="5"/>
  <c r="AK651" i="5" s="1"/>
  <c r="AH658" i="5"/>
  <c r="AK658" i="5" s="1"/>
  <c r="AK676" i="5"/>
  <c r="AH682" i="5"/>
  <c r="AK682" i="5" s="1"/>
  <c r="AH693" i="5"/>
  <c r="AK693" i="5" s="1"/>
  <c r="AH695" i="5"/>
  <c r="AK695" i="5" s="1"/>
  <c r="AH719" i="5"/>
  <c r="AH730" i="5"/>
  <c r="AK730" i="5" s="1"/>
  <c r="AH734" i="5"/>
  <c r="AK734" i="5" s="1"/>
  <c r="AH747" i="5"/>
  <c r="AK747" i="5" s="1"/>
  <c r="AH749" i="5"/>
  <c r="AK764" i="5"/>
  <c r="AH773" i="5"/>
  <c r="AH779" i="5"/>
  <c r="AK779" i="5" s="1"/>
  <c r="AH781" i="5"/>
  <c r="AK781" i="5" s="1"/>
  <c r="AK784" i="5"/>
  <c r="AK797" i="5"/>
  <c r="AK834" i="5"/>
  <c r="AH842" i="5"/>
  <c r="AK842" i="5" s="1"/>
  <c r="AH853" i="5"/>
  <c r="AK853" i="5" s="1"/>
  <c r="AH855" i="5"/>
  <c r="AK855" i="5" s="1"/>
  <c r="AH866" i="5"/>
  <c r="AK866" i="5" s="1"/>
  <c r="AK879" i="5"/>
  <c r="AK892" i="5"/>
  <c r="AH894" i="5"/>
  <c r="AK894" i="5" s="1"/>
  <c r="AH901" i="5"/>
  <c r="AK901" i="5" s="1"/>
  <c r="AH903" i="5"/>
  <c r="AK903" i="5" s="1"/>
  <c r="AK915" i="5"/>
  <c r="AH925" i="5"/>
  <c r="AK925" i="5" s="1"/>
  <c r="AK928" i="5"/>
  <c r="AH954" i="5"/>
  <c r="AK954" i="5" s="1"/>
  <c r="AK957" i="5"/>
  <c r="AH965" i="5"/>
  <c r="AK965" i="5" s="1"/>
  <c r="AH967" i="5"/>
  <c r="AK967" i="5" s="1"/>
  <c r="AH978" i="5"/>
  <c r="AK978" i="5" s="1"/>
  <c r="AH996" i="5"/>
  <c r="AK996" i="5" s="1"/>
  <c r="AH1000" i="5"/>
  <c r="AK1000" i="5" s="1"/>
  <c r="AK1005" i="5"/>
  <c r="AH1053" i="5"/>
  <c r="AK1053" i="5" s="1"/>
  <c r="AH1059" i="5"/>
  <c r="AK1059" i="5" s="1"/>
  <c r="AH1203" i="5"/>
  <c r="AK1203" i="5" s="1"/>
  <c r="AK1067" i="5"/>
  <c r="AK1087" i="5"/>
  <c r="AK1100" i="5"/>
  <c r="AK1135" i="5"/>
  <c r="AK1144" i="5"/>
  <c r="AK1153" i="5"/>
  <c r="AH1155" i="5"/>
  <c r="AK1155" i="5" s="1"/>
  <c r="AK1160" i="5"/>
  <c r="AK1173" i="5"/>
  <c r="AH1175" i="5"/>
  <c r="AK1175" i="5" s="1"/>
  <c r="AH1177" i="5"/>
  <c r="AK1177" i="5" s="1"/>
  <c r="AK1189" i="5"/>
  <c r="AH1202" i="5"/>
  <c r="AK1202" i="5" s="1"/>
  <c r="AH1229" i="5"/>
  <c r="AH1253" i="5"/>
  <c r="AK1253" i="5" s="1"/>
  <c r="AH1255" i="5"/>
  <c r="AK1255" i="5" s="1"/>
  <c r="AH1275" i="5"/>
  <c r="AK1275" i="5" s="1"/>
  <c r="AH1293" i="5"/>
  <c r="AK1293" i="5" s="1"/>
  <c r="AH1314" i="5"/>
  <c r="AK1314" i="5" s="1"/>
  <c r="AH1321" i="5"/>
  <c r="AK1321" i="5" s="1"/>
  <c r="AH1328" i="5"/>
  <c r="AK1328" i="5" s="1"/>
  <c r="AH1337" i="5"/>
  <c r="AK1337" i="5" s="1"/>
  <c r="AH1360" i="5"/>
  <c r="AK1360" i="5" s="1"/>
  <c r="AH1364" i="5"/>
  <c r="AK1364" i="5" s="1"/>
  <c r="AH1440" i="5"/>
  <c r="AK1440" i="5" s="1"/>
  <c r="AH1448" i="5"/>
  <c r="AK1448" i="5" s="1"/>
  <c r="AH1472" i="5"/>
  <c r="AK1472" i="5" s="1"/>
  <c r="AH1489" i="5"/>
  <c r="AK1489" i="5" s="1"/>
  <c r="AK1500" i="5"/>
  <c r="AK1548" i="5"/>
  <c r="AH1550" i="5"/>
  <c r="AK1550" i="5" s="1"/>
  <c r="AH1557" i="5"/>
  <c r="AK1557" i="5" s="1"/>
  <c r="AH1563" i="5"/>
  <c r="AK1563" i="5" s="1"/>
  <c r="AK1584" i="5"/>
  <c r="AH1591" i="5"/>
  <c r="AK1591" i="5" s="1"/>
  <c r="AH1593" i="5"/>
  <c r="AK1593" i="5" s="1"/>
  <c r="AK1670" i="5"/>
  <c r="AK1697" i="5"/>
  <c r="AK1710" i="5"/>
  <c r="AH1038" i="5"/>
  <c r="AK1038" i="5" s="1"/>
  <c r="AH1045" i="5"/>
  <c r="AK1045" i="5" s="1"/>
  <c r="AH1047" i="5"/>
  <c r="AK1047" i="5" s="1"/>
  <c r="AH1069" i="5"/>
  <c r="AK1069" i="5" s="1"/>
  <c r="AH1076" i="5"/>
  <c r="AK1076" i="5" s="1"/>
  <c r="AK1107" i="5"/>
  <c r="AH1117" i="5"/>
  <c r="AK1117" i="5" s="1"/>
  <c r="AK1120" i="5"/>
  <c r="AH1130" i="5"/>
  <c r="AK1130" i="5" s="1"/>
  <c r="AH1157" i="5"/>
  <c r="AK1157" i="5" s="1"/>
  <c r="AH1159" i="5"/>
  <c r="AK1159" i="5" s="1"/>
  <c r="AH1179" i="5"/>
  <c r="AK1179" i="5" s="1"/>
  <c r="AK1200" i="5"/>
  <c r="AH1210" i="5"/>
  <c r="AK1210" i="5" s="1"/>
  <c r="AH1226" i="5"/>
  <c r="AK1226" i="5" s="1"/>
  <c r="AH1231" i="5"/>
  <c r="AK1231" i="5" s="1"/>
  <c r="AH1233" i="5"/>
  <c r="AK1233" i="5" s="1"/>
  <c r="AH1257" i="5"/>
  <c r="AK1257" i="5" s="1"/>
  <c r="AH1262" i="5"/>
  <c r="AK1262" i="5" s="1"/>
  <c r="AK1265" i="5"/>
  <c r="AH1277" i="5"/>
  <c r="AK1277" i="5" s="1"/>
  <c r="AK1295" i="5"/>
  <c r="AH1309" i="5"/>
  <c r="AK1309" i="5" s="1"/>
  <c r="AK1319" i="5"/>
  <c r="AH1344" i="5"/>
  <c r="AK1344" i="5" s="1"/>
  <c r="AH1353" i="5"/>
  <c r="AK1353" i="5" s="1"/>
  <c r="AK1362" i="5"/>
  <c r="AH1372" i="5"/>
  <c r="AK1372" i="5" s="1"/>
  <c r="AH1376" i="5"/>
  <c r="AK1376" i="5" s="1"/>
  <c r="AH1393" i="5"/>
  <c r="AK1393" i="5" s="1"/>
  <c r="AH1408" i="5"/>
  <c r="AK1408" i="5" s="1"/>
  <c r="AH1420" i="5"/>
  <c r="AK1420" i="5" s="1"/>
  <c r="AH1433" i="5"/>
  <c r="AK1433" i="5" s="1"/>
  <c r="AK1438" i="5"/>
  <c r="AK1442" i="5"/>
  <c r="AK1446" i="5"/>
  <c r="AH1452" i="5"/>
  <c r="AK1452" i="5" s="1"/>
  <c r="AH1463" i="5"/>
  <c r="AK1463" i="5" s="1"/>
  <c r="AH1465" i="5"/>
  <c r="AH1476" i="5"/>
  <c r="AH1480" i="5"/>
  <c r="AH1497" i="5"/>
  <c r="AK1497" i="5" s="1"/>
  <c r="AH1516" i="5"/>
  <c r="AK1516" i="5" s="1"/>
  <c r="AH1520" i="5"/>
  <c r="AK1520" i="5" s="1"/>
  <c r="AH1529" i="5"/>
  <c r="AK1529" i="5" s="1"/>
  <c r="AH1531" i="5"/>
  <c r="AK1531" i="5" s="1"/>
  <c r="AH1533" i="5"/>
  <c r="AK1533" i="5" s="1"/>
  <c r="AH1545" i="5"/>
  <c r="AK1545" i="5" s="1"/>
  <c r="AH1582" i="5"/>
  <c r="AK1582" i="5" s="1"/>
  <c r="AK1608" i="5"/>
  <c r="AK1642" i="5"/>
  <c r="AH1646" i="5"/>
  <c r="AK1646" i="5" s="1"/>
  <c r="AK1648" i="5"/>
  <c r="AH1726" i="5"/>
  <c r="AK1726" i="5" s="1"/>
  <c r="AH1730" i="5"/>
  <c r="AK1730" i="5" s="1"/>
  <c r="AK1124" i="5"/>
  <c r="AK1128" i="5"/>
  <c r="AK1208" i="5"/>
  <c r="AK1215" i="5"/>
  <c r="AK1217" i="5"/>
  <c r="AH1219" i="5"/>
  <c r="AK1219" i="5" s="1"/>
  <c r="AH1237" i="5"/>
  <c r="AK1237" i="5" s="1"/>
  <c r="AH1239" i="5"/>
  <c r="AK1239" i="5" s="1"/>
  <c r="AH1241" i="5"/>
  <c r="AK1241" i="5" s="1"/>
  <c r="AH1266" i="5"/>
  <c r="AK1266" i="5" s="1"/>
  <c r="AK1284" i="5"/>
  <c r="AH1304" i="5"/>
  <c r="AK1304" i="5" s="1"/>
  <c r="AK1307" i="5"/>
  <c r="AK1323" i="5"/>
  <c r="AH1325" i="5"/>
  <c r="AK1325" i="5" s="1"/>
  <c r="AK1351" i="5"/>
  <c r="AK1370" i="5"/>
  <c r="AK1374" i="5"/>
  <c r="AK1406" i="5"/>
  <c r="AH1424" i="5"/>
  <c r="AK1424" i="5" s="1"/>
  <c r="AK1429" i="5"/>
  <c r="AK1431" i="5"/>
  <c r="AH1456" i="5"/>
  <c r="AK1456" i="5" s="1"/>
  <c r="AH1467" i="5"/>
  <c r="AK1467" i="5" s="1"/>
  <c r="AK1474" i="5"/>
  <c r="AH1484" i="5"/>
  <c r="AK1484" i="5" s="1"/>
  <c r="AK1493" i="5"/>
  <c r="AK1518" i="5"/>
  <c r="AH1524" i="5"/>
  <c r="AK1524" i="5" s="1"/>
  <c r="AH1549" i="5"/>
  <c r="AK1549" i="5" s="1"/>
  <c r="AK1569" i="5"/>
  <c r="AH1577" i="5"/>
  <c r="AK1577" i="5" s="1"/>
  <c r="AK1714" i="5"/>
  <c r="AK1718" i="5"/>
  <c r="AK1722" i="5"/>
  <c r="AH1734" i="5"/>
  <c r="AK1734" i="5" s="1"/>
  <c r="AH1736" i="5"/>
  <c r="AK1736" i="5" s="1"/>
  <c r="AH1738" i="5"/>
  <c r="AK1738" i="5" s="1"/>
  <c r="AK1744" i="5"/>
  <c r="AH1119" i="5"/>
  <c r="AH1134" i="5"/>
  <c r="AK1134" i="5" s="1"/>
  <c r="AH1141" i="5"/>
  <c r="AK1141" i="5" s="1"/>
  <c r="AH1143" i="5"/>
  <c r="AK1143" i="5" s="1"/>
  <c r="AH1170" i="5"/>
  <c r="AK1170" i="5" s="1"/>
  <c r="AH1197" i="5"/>
  <c r="AK1197" i="5" s="1"/>
  <c r="AH1221" i="5"/>
  <c r="AK1221" i="5" s="1"/>
  <c r="AH1223" i="5"/>
  <c r="AK1223" i="5" s="1"/>
  <c r="AK1235" i="5"/>
  <c r="AH1243" i="5"/>
  <c r="AK1243" i="5" s="1"/>
  <c r="AK1264" i="5"/>
  <c r="AH1274" i="5"/>
  <c r="AK1274" i="5" s="1"/>
  <c r="AK1290" i="5"/>
  <c r="AK1301" i="5"/>
  <c r="AK1318" i="5"/>
  <c r="AK1397" i="5"/>
  <c r="AK1422" i="5"/>
  <c r="AK1465" i="5"/>
  <c r="AK1505" i="5"/>
  <c r="AK1522" i="5"/>
  <c r="AK1610" i="5"/>
  <c r="AH1633" i="5"/>
  <c r="AK1633" i="5" s="1"/>
  <c r="AH1639" i="5"/>
  <c r="AK1639" i="5" s="1"/>
  <c r="AK1692" i="5"/>
  <c r="AH1707" i="5"/>
  <c r="AK1707" i="5" s="1"/>
  <c r="AH1147" i="5"/>
  <c r="AK1147" i="5" s="1"/>
  <c r="AK1168" i="5"/>
  <c r="AH1178" i="5"/>
  <c r="AK1178" i="5" s="1"/>
  <c r="AH1194" i="5"/>
  <c r="AK1194" i="5" s="1"/>
  <c r="AH1199" i="5"/>
  <c r="AK1199" i="5" s="1"/>
  <c r="AH1201" i="5"/>
  <c r="AK1201" i="5" s="1"/>
  <c r="AH1225" i="5"/>
  <c r="AK1225" i="5" s="1"/>
  <c r="AH1230" i="5"/>
  <c r="AK1230" i="5" s="1"/>
  <c r="AH1245" i="5"/>
  <c r="AK1245" i="5" s="1"/>
  <c r="AK1268" i="5"/>
  <c r="AK1272" i="5"/>
  <c r="AK1279" i="5"/>
  <c r="AH1281" i="5"/>
  <c r="AK1281" i="5" s="1"/>
  <c r="AH1283" i="5"/>
  <c r="AK1283" i="5" s="1"/>
  <c r="AK1288" i="5"/>
  <c r="AH1294" i="5"/>
  <c r="AK1294" i="5" s="1"/>
  <c r="AH1296" i="5"/>
  <c r="AH1320" i="5"/>
  <c r="AK1320" i="5" s="1"/>
  <c r="AH1322" i="5"/>
  <c r="AK1322" i="5" s="1"/>
  <c r="AH1327" i="5"/>
  <c r="AK1327" i="5" s="1"/>
  <c r="AH1336" i="5"/>
  <c r="AK1336" i="5" s="1"/>
  <c r="AH1361" i="5"/>
  <c r="AK1361" i="5" s="1"/>
  <c r="AH1369" i="5"/>
  <c r="AK1369" i="5" s="1"/>
  <c r="AH1382" i="5"/>
  <c r="AK1382" i="5" s="1"/>
  <c r="AK1395" i="5"/>
  <c r="AH1399" i="5"/>
  <c r="AK1399" i="5" s="1"/>
  <c r="AH1401" i="5"/>
  <c r="AK1401" i="5" s="1"/>
  <c r="AH1405" i="5"/>
  <c r="AK1405" i="5" s="1"/>
  <c r="AH1415" i="5"/>
  <c r="AK1415" i="5" s="1"/>
  <c r="AH1417" i="5"/>
  <c r="AK1417" i="5" s="1"/>
  <c r="AH1449" i="5"/>
  <c r="AK1449" i="5" s="1"/>
  <c r="AH1458" i="5"/>
  <c r="AK1458" i="5" s="1"/>
  <c r="AH1473" i="5"/>
  <c r="AH1616" i="5"/>
  <c r="AK1616" i="5" s="1"/>
  <c r="AH1620" i="5"/>
  <c r="AK1620" i="5" s="1"/>
  <c r="AK1637" i="5"/>
  <c r="AH1044" i="5"/>
  <c r="AK1044" i="5" s="1"/>
  <c r="AH1048" i="5"/>
  <c r="AK1048" i="5" s="1"/>
  <c r="AH1092" i="5"/>
  <c r="AK1092" i="5" s="1"/>
  <c r="AK1101" i="5"/>
  <c r="AH1116" i="5"/>
  <c r="AK1116" i="5" s="1"/>
  <c r="AK1131" i="5"/>
  <c r="AK1136" i="5"/>
  <c r="AH1216" i="5"/>
  <c r="AK1216" i="5" s="1"/>
  <c r="AH1232" i="5"/>
  <c r="AK1232" i="5" s="1"/>
  <c r="AK1311" i="5"/>
  <c r="AH1315" i="5"/>
  <c r="AK1315" i="5" s="1"/>
  <c r="AH1338" i="5"/>
  <c r="AK1338" i="5" s="1"/>
  <c r="AH1350" i="5"/>
  <c r="AH1371" i="5"/>
  <c r="AH1375" i="5"/>
  <c r="AK1375" i="5" s="1"/>
  <c r="AH1386" i="5"/>
  <c r="AK1386" i="5" s="1"/>
  <c r="AH1390" i="5"/>
  <c r="AK1390" i="5" s="1"/>
  <c r="AH1394" i="5"/>
  <c r="AK1394" i="5" s="1"/>
  <c r="AH1407" i="5"/>
  <c r="AH1419" i="5"/>
  <c r="AK1419" i="5" s="1"/>
  <c r="AK1426" i="5"/>
  <c r="AH1430" i="5"/>
  <c r="AK1430" i="5" s="1"/>
  <c r="AH1434" i="5"/>
  <c r="AK1434" i="5" s="1"/>
  <c r="AH1477" i="5"/>
  <c r="AK1477" i="5" s="1"/>
  <c r="AH1494" i="5"/>
  <c r="AK1494" i="5" s="1"/>
  <c r="AH1530" i="5"/>
  <c r="AK1530" i="5" s="1"/>
  <c r="AH1546" i="5"/>
  <c r="AK1546" i="5" s="1"/>
  <c r="AH1570" i="5"/>
  <c r="AH1605" i="5"/>
  <c r="AK1605" i="5" s="1"/>
  <c r="AK1052" i="5"/>
  <c r="AH1054" i="5"/>
  <c r="AK1054" i="5" s="1"/>
  <c r="AH1063" i="5"/>
  <c r="AK1063" i="5" s="1"/>
  <c r="AH1083" i="5"/>
  <c r="AK1083" i="5" s="1"/>
  <c r="AH1085" i="5"/>
  <c r="AK1085" i="5" s="1"/>
  <c r="AK1088" i="5"/>
  <c r="AH1096" i="5"/>
  <c r="AK1096" i="5" s="1"/>
  <c r="AH1102" i="5"/>
  <c r="AK1102" i="5" s="1"/>
  <c r="AH1109" i="5"/>
  <c r="AK1109" i="5" s="1"/>
  <c r="AH1111" i="5"/>
  <c r="AK1111" i="5" s="1"/>
  <c r="AH1122" i="5"/>
  <c r="AK1122" i="5" s="1"/>
  <c r="AH1133" i="5"/>
  <c r="AK1133" i="5" s="1"/>
  <c r="AH1140" i="5"/>
  <c r="AK1140" i="5" s="1"/>
  <c r="AH1146" i="5"/>
  <c r="AK1146" i="5" s="1"/>
  <c r="AH1162" i="5"/>
  <c r="AK1162" i="5" s="1"/>
  <c r="AH1167" i="5"/>
  <c r="AK1167" i="5" s="1"/>
  <c r="AH1169" i="5"/>
  <c r="AK1169" i="5" s="1"/>
  <c r="AH1193" i="5"/>
  <c r="AK1193" i="5" s="1"/>
  <c r="AH1198" i="5"/>
  <c r="AK1198" i="5" s="1"/>
  <c r="AH1213" i="5"/>
  <c r="AK1213" i="5" s="1"/>
  <c r="AH1236" i="5"/>
  <c r="AK1236" i="5" s="1"/>
  <c r="AH1240" i="5"/>
  <c r="AK1240" i="5" s="1"/>
  <c r="AH1249" i="5"/>
  <c r="AK1249" i="5" s="1"/>
  <c r="AH1251" i="5"/>
  <c r="AK1251" i="5" s="1"/>
  <c r="AH1269" i="5"/>
  <c r="AK1269" i="5" s="1"/>
  <c r="AH1271" i="5"/>
  <c r="AK1271" i="5" s="1"/>
  <c r="AH1273" i="5"/>
  <c r="AK1273" i="5" s="1"/>
  <c r="AK1296" i="5"/>
  <c r="AH1312" i="5"/>
  <c r="AK1312" i="5" s="1"/>
  <c r="AH1331" i="5"/>
  <c r="AK1331" i="5" s="1"/>
  <c r="AH1354" i="5"/>
  <c r="AK1354" i="5" s="1"/>
  <c r="AH1379" i="5"/>
  <c r="AK1388" i="5"/>
  <c r="AH1398" i="5"/>
  <c r="AK1398" i="5" s="1"/>
  <c r="AK1485" i="5"/>
  <c r="AH1498" i="5"/>
  <c r="AK1498" i="5" s="1"/>
  <c r="AH1502" i="5"/>
  <c r="AK1502" i="5" s="1"/>
  <c r="AH1574" i="5"/>
  <c r="AK1574" i="5" s="1"/>
  <c r="AH1578" i="5"/>
  <c r="AK1578" i="5" s="1"/>
  <c r="AK1634" i="5"/>
  <c r="AH1586" i="5"/>
  <c r="AK1586" i="5" s="1"/>
  <c r="AH1595" i="5"/>
  <c r="AK1595" i="5" s="1"/>
  <c r="AH1617" i="5"/>
  <c r="AK1617" i="5" s="1"/>
  <c r="AH1626" i="5"/>
  <c r="AK1626" i="5" s="1"/>
  <c r="AH1630" i="5"/>
  <c r="AK1630" i="5" s="1"/>
  <c r="AH1647" i="5"/>
  <c r="AH1649" i="5"/>
  <c r="AK1649" i="5" s="1"/>
  <c r="AH1651" i="5"/>
  <c r="AK1651" i="5" s="1"/>
  <c r="AH1653" i="5"/>
  <c r="AK1653" i="5" s="1"/>
  <c r="AH1655" i="5"/>
  <c r="AK1655" i="5" s="1"/>
  <c r="AH1671" i="5"/>
  <c r="AK1671" i="5" s="1"/>
  <c r="AH1678" i="5"/>
  <c r="AK1678" i="5" s="1"/>
  <c r="AH1682" i="5"/>
  <c r="AK1682" i="5" s="1"/>
  <c r="AH1686" i="5"/>
  <c r="AK1686" i="5" s="1"/>
  <c r="AK1699" i="5"/>
  <c r="AH1703" i="5"/>
  <c r="AK1703" i="5" s="1"/>
  <c r="G19" i="6"/>
  <c r="K20" i="6"/>
  <c r="H22" i="6"/>
  <c r="L23" i="6"/>
  <c r="I25" i="6"/>
  <c r="D27" i="6"/>
  <c r="J28" i="6"/>
  <c r="E30" i="6"/>
  <c r="K31" i="6"/>
  <c r="J33" i="6"/>
  <c r="H35" i="6"/>
  <c r="F37" i="6"/>
  <c r="E39" i="6"/>
  <c r="J40" i="6"/>
  <c r="H44" i="6"/>
  <c r="N46" i="6"/>
  <c r="G49" i="6"/>
  <c r="M51" i="6"/>
  <c r="D16" i="2" s="1"/>
  <c r="J54" i="6"/>
  <c r="L57" i="6"/>
  <c r="H60" i="6"/>
  <c r="M62" i="6"/>
  <c r="H65" i="6"/>
  <c r="F70" i="6"/>
  <c r="N73" i="6"/>
  <c r="E78" i="6"/>
  <c r="K81" i="6"/>
  <c r="O84" i="6"/>
  <c r="J88" i="6"/>
  <c r="N91" i="6"/>
  <c r="O108" i="6"/>
  <c r="J25" i="6"/>
  <c r="G27" i="6"/>
  <c r="K28" i="6"/>
  <c r="H30" i="6"/>
  <c r="F32" i="6"/>
  <c r="D34" i="6"/>
  <c r="I35" i="6"/>
  <c r="G37" i="6"/>
  <c r="F39" i="6"/>
  <c r="K40" i="6"/>
  <c r="K140" i="6" s="1"/>
  <c r="I44" i="6"/>
  <c r="O46" i="6"/>
  <c r="H49" i="6"/>
  <c r="N51" i="6"/>
  <c r="F55" i="6"/>
  <c r="O57" i="6"/>
  <c r="I60" i="6"/>
  <c r="N62" i="6"/>
  <c r="K65" i="6"/>
  <c r="J70" i="6"/>
  <c r="N74" i="6"/>
  <c r="F78" i="6"/>
  <c r="N81" i="6"/>
  <c r="G85" i="6"/>
  <c r="J89" i="6"/>
  <c r="N96" i="6"/>
  <c r="D115" i="6"/>
  <c r="AK1379" i="5"/>
  <c r="AH1383" i="5"/>
  <c r="AK1383" i="5" s="1"/>
  <c r="AH1404" i="5"/>
  <c r="AK1404" i="5" s="1"/>
  <c r="AH1414" i="5"/>
  <c r="AK1414" i="5" s="1"/>
  <c r="AH1416" i="5"/>
  <c r="AK1416" i="5" s="1"/>
  <c r="AH1423" i="5"/>
  <c r="AK1423" i="5" s="1"/>
  <c r="AH1425" i="5"/>
  <c r="AK1425" i="5" s="1"/>
  <c r="AK1439" i="5"/>
  <c r="AK1443" i="5"/>
  <c r="AH1462" i="5"/>
  <c r="AK1462" i="5" s="1"/>
  <c r="AH1466" i="5"/>
  <c r="AK1466" i="5" s="1"/>
  <c r="AH1468" i="5"/>
  <c r="AK1468" i="5" s="1"/>
  <c r="AH1488" i="5"/>
  <c r="AK1488" i="5" s="1"/>
  <c r="AH1492" i="5"/>
  <c r="AK1492" i="5" s="1"/>
  <c r="AH1511" i="5"/>
  <c r="AK1511" i="5" s="1"/>
  <c r="AH1526" i="5"/>
  <c r="AK1526" i="5" s="1"/>
  <c r="AH1528" i="5"/>
  <c r="AK1528" i="5" s="1"/>
  <c r="AH1537" i="5"/>
  <c r="AK1537" i="5" s="1"/>
  <c r="AH1542" i="5"/>
  <c r="AK1542" i="5" s="1"/>
  <c r="AH1544" i="5"/>
  <c r="AK1544" i="5" s="1"/>
  <c r="AH1558" i="5"/>
  <c r="AK1558" i="5" s="1"/>
  <c r="AH1562" i="5"/>
  <c r="AK1562" i="5" s="1"/>
  <c r="AH1564" i="5"/>
  <c r="AK1564" i="5" s="1"/>
  <c r="AH1581" i="5"/>
  <c r="AK1581" i="5" s="1"/>
  <c r="AH1606" i="5"/>
  <c r="AK1606" i="5" s="1"/>
  <c r="AH1612" i="5"/>
  <c r="AK1612" i="5" s="1"/>
  <c r="AH1625" i="5"/>
  <c r="AK1625" i="5" s="1"/>
  <c r="AH1638" i="5"/>
  <c r="AK1638" i="5" s="1"/>
  <c r="AH1644" i="5"/>
  <c r="AK1644" i="5" s="1"/>
  <c r="AH1659" i="5"/>
  <c r="AH1668" i="5"/>
  <c r="AK1668" i="5" s="1"/>
  <c r="AH1675" i="5"/>
  <c r="AK1690" i="5"/>
  <c r="AH1700" i="5"/>
  <c r="AK1700" i="5" s="1"/>
  <c r="AH1712" i="5"/>
  <c r="AK1712" i="5" s="1"/>
  <c r="AH1716" i="5"/>
  <c r="AK1716" i="5" s="1"/>
  <c r="AH1724" i="5"/>
  <c r="AK1724" i="5" s="1"/>
  <c r="AH1731" i="5"/>
  <c r="AK1731" i="5" s="1"/>
  <c r="AH1741" i="5"/>
  <c r="AK1741" i="5" s="1"/>
  <c r="AH1743" i="5"/>
  <c r="AK1743" i="5" s="1"/>
  <c r="I19" i="6"/>
  <c r="F21" i="6"/>
  <c r="J22" i="6"/>
  <c r="G24" i="6"/>
  <c r="K25" i="6"/>
  <c r="H27" i="6"/>
  <c r="E29" i="6"/>
  <c r="I30" i="6"/>
  <c r="G32" i="6"/>
  <c r="E34" i="6"/>
  <c r="D36" i="6"/>
  <c r="I37" i="6"/>
  <c r="G39" i="6"/>
  <c r="F41" i="6"/>
  <c r="L44" i="6"/>
  <c r="E47" i="6"/>
  <c r="K49" i="6"/>
  <c r="D52" i="6"/>
  <c r="I55" i="6"/>
  <c r="F58" i="6"/>
  <c r="L60" i="6"/>
  <c r="D63" i="6"/>
  <c r="H66" i="6"/>
  <c r="H218" i="6" s="1"/>
  <c r="I71" i="6"/>
  <c r="D75" i="6"/>
  <c r="J78" i="6"/>
  <c r="O81" i="6"/>
  <c r="F86" i="6"/>
  <c r="M89" i="6"/>
  <c r="L97" i="6"/>
  <c r="H116" i="6"/>
  <c r="G21" i="6"/>
  <c r="L22" i="6"/>
  <c r="H24" i="6"/>
  <c r="E26" i="6"/>
  <c r="I27" i="6"/>
  <c r="F29" i="6"/>
  <c r="J30" i="6"/>
  <c r="H32" i="6"/>
  <c r="F34" i="6"/>
  <c r="F36" i="6"/>
  <c r="O37" i="6"/>
  <c r="I39" i="6"/>
  <c r="G41" i="6"/>
  <c r="G141" i="6" s="1"/>
  <c r="H45" i="6"/>
  <c r="N47" i="6"/>
  <c r="G50" i="6"/>
  <c r="M52" i="6"/>
  <c r="D17" i="2" s="1"/>
  <c r="J55" i="6"/>
  <c r="O58" i="6"/>
  <c r="H61" i="6"/>
  <c r="M63" i="6"/>
  <c r="K66" i="6"/>
  <c r="M71" i="6"/>
  <c r="E75" i="6"/>
  <c r="M78" i="6"/>
  <c r="D83" i="6"/>
  <c r="J86" i="6"/>
  <c r="N89" i="6"/>
  <c r="K98" i="6"/>
  <c r="D642" i="6"/>
  <c r="E642" i="6" s="1"/>
  <c r="D58" i="7" s="1"/>
  <c r="I21" i="6"/>
  <c r="E23" i="6"/>
  <c r="J24" i="6"/>
  <c r="F26" i="6"/>
  <c r="K27" i="6"/>
  <c r="G29" i="6"/>
  <c r="D31" i="6"/>
  <c r="J32" i="6"/>
  <c r="H34" i="6"/>
  <c r="G36" i="6"/>
  <c r="E38" i="6"/>
  <c r="J39" i="6"/>
  <c r="I41" i="6"/>
  <c r="K45" i="6"/>
  <c r="D48" i="6"/>
  <c r="J50" i="6"/>
  <c r="D53" i="6"/>
  <c r="M55" i="6"/>
  <c r="D21" i="2" s="1"/>
  <c r="E59" i="6"/>
  <c r="K61" i="6"/>
  <c r="D64" i="6"/>
  <c r="L66" i="6"/>
  <c r="D72" i="6"/>
  <c r="I75" i="6"/>
  <c r="M79" i="6"/>
  <c r="E83" i="6"/>
  <c r="M86" i="6"/>
  <c r="F90" i="6"/>
  <c r="L99" i="6"/>
  <c r="AH1641" i="5"/>
  <c r="AK1641" i="5" s="1"/>
  <c r="AH1650" i="5"/>
  <c r="AK1650" i="5" s="1"/>
  <c r="AH1654" i="5"/>
  <c r="AK1654" i="5" s="1"/>
  <c r="AK1659" i="5"/>
  <c r="AH1663" i="5"/>
  <c r="AK1663" i="5" s="1"/>
  <c r="AH1665" i="5"/>
  <c r="AK1665" i="5" s="1"/>
  <c r="AK1679" i="5"/>
  <c r="AK1694" i="5"/>
  <c r="AH1711" i="5"/>
  <c r="AK1711" i="5" s="1"/>
  <c r="AH1740" i="5"/>
  <c r="AH1742" i="5"/>
  <c r="AK1742" i="5" s="1"/>
  <c r="F20" i="6"/>
  <c r="J21" i="6"/>
  <c r="G23" i="6"/>
  <c r="K24" i="6"/>
  <c r="H26" i="6"/>
  <c r="D28" i="6"/>
  <c r="I29" i="6"/>
  <c r="E31" i="6"/>
  <c r="E33" i="6"/>
  <c r="I34" i="6"/>
  <c r="J36" i="6"/>
  <c r="F38" i="6"/>
  <c r="E40" i="6"/>
  <c r="J41" i="6"/>
  <c r="L45" i="6"/>
  <c r="E48" i="6"/>
  <c r="K50" i="6"/>
  <c r="G53" i="6"/>
  <c r="I56" i="6"/>
  <c r="F59" i="6"/>
  <c r="L61" i="6"/>
  <c r="G64" i="6"/>
  <c r="O66" i="6"/>
  <c r="F73" i="6"/>
  <c r="H76" i="6"/>
  <c r="D80" i="6"/>
  <c r="I83" i="6"/>
  <c r="N86" i="6"/>
  <c r="F91" i="6"/>
  <c r="F105" i="6"/>
  <c r="D643" i="6"/>
  <c r="E643" i="6" s="1"/>
  <c r="D59" i="7" s="1"/>
  <c r="H23" i="6"/>
  <c r="H123" i="6" s="1"/>
  <c r="E25" i="6"/>
  <c r="I26" i="6"/>
  <c r="F28" i="6"/>
  <c r="J29" i="6"/>
  <c r="G31" i="6"/>
  <c r="F33" i="6"/>
  <c r="F133" i="6" s="1"/>
  <c r="D35" i="6"/>
  <c r="O36" i="6"/>
  <c r="I38" i="6"/>
  <c r="F40" i="6"/>
  <c r="M41" i="6"/>
  <c r="O45" i="6"/>
  <c r="H48" i="6"/>
  <c r="N50" i="6"/>
  <c r="F54" i="6"/>
  <c r="L56" i="6"/>
  <c r="I59" i="6"/>
  <c r="O61" i="6"/>
  <c r="D65" i="6"/>
  <c r="O69" i="6"/>
  <c r="G73" i="6"/>
  <c r="L76" i="6"/>
  <c r="H80" i="6"/>
  <c r="L83" i="6"/>
  <c r="O87" i="6"/>
  <c r="J91" i="6"/>
  <c r="I106" i="6"/>
  <c r="AH1658" i="5"/>
  <c r="AK1658" i="5" s="1"/>
  <c r="AH1674" i="5"/>
  <c r="AK1674" i="5" s="1"/>
  <c r="AK1684" i="5"/>
  <c r="AK1701" i="5"/>
  <c r="AH1706" i="5"/>
  <c r="AK1706" i="5" s="1"/>
  <c r="AK1732" i="5"/>
  <c r="AH1735" i="5"/>
  <c r="AK1735" i="5" s="1"/>
  <c r="AK1737" i="5"/>
  <c r="J20" i="6"/>
  <c r="E22" i="6"/>
  <c r="K23" i="6"/>
  <c r="F25" i="6"/>
  <c r="L26" i="6"/>
  <c r="G28" i="6"/>
  <c r="G128" i="6" s="1"/>
  <c r="D30" i="6"/>
  <c r="H31" i="6"/>
  <c r="I33" i="6"/>
  <c r="G35" i="6"/>
  <c r="E37" i="6"/>
  <c r="J38" i="6"/>
  <c r="I40" i="6"/>
  <c r="E44" i="6"/>
  <c r="K46" i="6"/>
  <c r="D49" i="6"/>
  <c r="J51" i="6"/>
  <c r="G54" i="6"/>
  <c r="M56" i="6"/>
  <c r="D22" i="2" s="1"/>
  <c r="E60" i="6"/>
  <c r="J62" i="6"/>
  <c r="G65" i="6"/>
  <c r="E70" i="6"/>
  <c r="K73" i="6"/>
  <c r="O76" i="6"/>
  <c r="G81" i="6"/>
  <c r="L84" i="6"/>
  <c r="G88" i="6"/>
  <c r="M91" i="6"/>
  <c r="L107" i="6"/>
  <c r="AK34" i="5"/>
  <c r="AH64" i="5"/>
  <c r="AK64" i="5" s="1"/>
  <c r="AK382" i="5"/>
  <c r="AK492" i="5"/>
  <c r="AK649" i="5"/>
  <c r="AK741" i="5"/>
  <c r="AK22" i="5"/>
  <c r="AH27" i="5"/>
  <c r="AK27" i="5" s="1"/>
  <c r="AK45" i="5"/>
  <c r="AH58" i="5"/>
  <c r="AK58" i="5" s="1"/>
  <c r="AK70" i="5"/>
  <c r="AK72" i="5"/>
  <c r="AK95" i="5"/>
  <c r="AH97" i="5"/>
  <c r="AK97" i="5" s="1"/>
  <c r="AH122" i="5"/>
  <c r="AK122" i="5" s="1"/>
  <c r="AK134" i="5"/>
  <c r="AK136" i="5"/>
  <c r="AH157" i="5"/>
  <c r="AK157" i="5" s="1"/>
  <c r="AK174" i="5"/>
  <c r="AK177" i="5"/>
  <c r="AH189" i="5"/>
  <c r="AK189" i="5" s="1"/>
  <c r="AK206" i="5"/>
  <c r="AK209" i="5"/>
  <c r="AH221" i="5"/>
  <c r="AK221" i="5" s="1"/>
  <c r="AK238" i="5"/>
  <c r="AK241" i="5"/>
  <c r="AH253" i="5"/>
  <c r="AK253" i="5" s="1"/>
  <c r="AK270" i="5"/>
  <c r="AK273" i="5"/>
  <c r="AH285" i="5"/>
  <c r="AK285" i="5" s="1"/>
  <c r="AK302" i="5"/>
  <c r="AK305" i="5"/>
  <c r="AH317" i="5"/>
  <c r="AK317" i="5" s="1"/>
  <c r="AK334" i="5"/>
  <c r="AK337" i="5"/>
  <c r="AH349" i="5"/>
  <c r="AK349" i="5" s="1"/>
  <c r="AH391" i="5"/>
  <c r="AK391" i="5" s="1"/>
  <c r="AK400" i="5"/>
  <c r="AH427" i="5"/>
  <c r="AK427" i="5" s="1"/>
  <c r="AK456" i="5"/>
  <c r="AK467" i="5"/>
  <c r="AK469" i="5"/>
  <c r="AK527" i="5"/>
  <c r="AK624" i="5"/>
  <c r="AK732" i="5"/>
  <c r="AH754" i="5"/>
  <c r="AK754" i="5" s="1"/>
  <c r="AK831" i="5"/>
  <c r="AH907" i="5"/>
  <c r="AK907" i="5" s="1"/>
  <c r="AH994" i="5"/>
  <c r="AK994" i="5" s="1"/>
  <c r="I482" i="6"/>
  <c r="G481" i="6"/>
  <c r="E480" i="6"/>
  <c r="C479" i="6"/>
  <c r="I478" i="6"/>
  <c r="G477" i="6"/>
  <c r="E476" i="6"/>
  <c r="C475" i="6"/>
  <c r="I474" i="6"/>
  <c r="G482" i="6"/>
  <c r="E481" i="6"/>
  <c r="C480" i="6"/>
  <c r="I479" i="6"/>
  <c r="G478" i="6"/>
  <c r="E477" i="6"/>
  <c r="C476" i="6"/>
  <c r="I475" i="6"/>
  <c r="G474" i="6"/>
  <c r="C482" i="6"/>
  <c r="H481" i="6"/>
  <c r="D479" i="6"/>
  <c r="H478" i="6"/>
  <c r="H475" i="6"/>
  <c r="C474" i="6"/>
  <c r="I473" i="6"/>
  <c r="G472" i="6"/>
  <c r="E471" i="6"/>
  <c r="C470" i="6"/>
  <c r="I469" i="6"/>
  <c r="G468" i="6"/>
  <c r="E467" i="6"/>
  <c r="C466" i="6"/>
  <c r="I480" i="6"/>
  <c r="D476" i="6"/>
  <c r="G475" i="6"/>
  <c r="H473" i="6"/>
  <c r="D471" i="6"/>
  <c r="H469" i="6"/>
  <c r="D467" i="6"/>
  <c r="H465" i="6"/>
  <c r="D463" i="6"/>
  <c r="D481" i="6"/>
  <c r="H480" i="6"/>
  <c r="E478" i="6"/>
  <c r="G473" i="6"/>
  <c r="E472" i="6"/>
  <c r="C471" i="6"/>
  <c r="I470" i="6"/>
  <c r="G469" i="6"/>
  <c r="C481" i="6"/>
  <c r="G480" i="6"/>
  <c r="D478" i="6"/>
  <c r="I477" i="6"/>
  <c r="E475" i="6"/>
  <c r="D472" i="6"/>
  <c r="H470" i="6"/>
  <c r="D468" i="6"/>
  <c r="H466" i="6"/>
  <c r="D464" i="6"/>
  <c r="H462" i="6"/>
  <c r="D460" i="6"/>
  <c r="H458" i="6"/>
  <c r="D456" i="6"/>
  <c r="H454" i="6"/>
  <c r="D480" i="6"/>
  <c r="G479" i="6"/>
  <c r="I476" i="6"/>
  <c r="D473" i="6"/>
  <c r="H471" i="6"/>
  <c r="D469" i="6"/>
  <c r="H467" i="6"/>
  <c r="D465" i="6"/>
  <c r="H463" i="6"/>
  <c r="D461" i="6"/>
  <c r="H459" i="6"/>
  <c r="D457" i="6"/>
  <c r="H455" i="6"/>
  <c r="E482" i="6"/>
  <c r="D477" i="6"/>
  <c r="H476" i="6"/>
  <c r="E474" i="6"/>
  <c r="C473" i="6"/>
  <c r="I472" i="6"/>
  <c r="G471" i="6"/>
  <c r="E470" i="6"/>
  <c r="C469" i="6"/>
  <c r="I468" i="6"/>
  <c r="G467" i="6"/>
  <c r="E466" i="6"/>
  <c r="B585" i="6" s="1"/>
  <c r="H477" i="6"/>
  <c r="H472" i="6"/>
  <c r="E469" i="6"/>
  <c r="D462" i="6"/>
  <c r="H461" i="6"/>
  <c r="E459" i="6"/>
  <c r="C477" i="6"/>
  <c r="C472" i="6"/>
  <c r="I465" i="6"/>
  <c r="I464" i="6"/>
  <c r="C462" i="6"/>
  <c r="G461" i="6"/>
  <c r="I460" i="6"/>
  <c r="D459" i="6"/>
  <c r="I458" i="6"/>
  <c r="E456" i="6"/>
  <c r="I455" i="6"/>
  <c r="C454" i="6"/>
  <c r="H453" i="6"/>
  <c r="D451" i="6"/>
  <c r="H449" i="6"/>
  <c r="D447" i="6"/>
  <c r="H482" i="6"/>
  <c r="D475" i="6"/>
  <c r="G470" i="6"/>
  <c r="I466" i="6"/>
  <c r="G465" i="6"/>
  <c r="H464" i="6"/>
  <c r="E461" i="6"/>
  <c r="H460" i="6"/>
  <c r="C459" i="6"/>
  <c r="G458" i="6"/>
  <c r="C456" i="6"/>
  <c r="G455" i="6"/>
  <c r="G453" i="6"/>
  <c r="E452" i="6"/>
  <c r="C451" i="6"/>
  <c r="I450" i="6"/>
  <c r="G449" i="6"/>
  <c r="E448" i="6"/>
  <c r="C447" i="6"/>
  <c r="D482" i="6"/>
  <c r="D470" i="6"/>
  <c r="G466" i="6"/>
  <c r="E465" i="6"/>
  <c r="G464" i="6"/>
  <c r="I463" i="6"/>
  <c r="C461" i="6"/>
  <c r="G460" i="6"/>
  <c r="E458" i="6"/>
  <c r="I457" i="6"/>
  <c r="D452" i="6"/>
  <c r="H450" i="6"/>
  <c r="D448" i="6"/>
  <c r="H408" i="6"/>
  <c r="E407" i="6"/>
  <c r="J406" i="6"/>
  <c r="G405" i="6"/>
  <c r="C478" i="6"/>
  <c r="E473" i="6"/>
  <c r="I467" i="6"/>
  <c r="D466" i="6"/>
  <c r="C465" i="6"/>
  <c r="E464" i="6"/>
  <c r="G463" i="6"/>
  <c r="D458" i="6"/>
  <c r="H457" i="6"/>
  <c r="E455" i="6"/>
  <c r="E453" i="6"/>
  <c r="C452" i="6"/>
  <c r="I451" i="6"/>
  <c r="G450" i="6"/>
  <c r="E449" i="6"/>
  <c r="C448" i="6"/>
  <c r="I447" i="6"/>
  <c r="G408" i="6"/>
  <c r="D407" i="6"/>
  <c r="F405" i="6"/>
  <c r="K404" i="6"/>
  <c r="C404" i="6"/>
  <c r="G476" i="6"/>
  <c r="I471" i="6"/>
  <c r="H468" i="6"/>
  <c r="C464" i="6"/>
  <c r="I462" i="6"/>
  <c r="E460" i="6"/>
  <c r="I459" i="6"/>
  <c r="C604" i="6" s="1"/>
  <c r="C458" i="6"/>
  <c r="G457" i="6"/>
  <c r="I456" i="6"/>
  <c r="D455" i="6"/>
  <c r="I454" i="6"/>
  <c r="D453" i="6"/>
  <c r="H451" i="6"/>
  <c r="D449" i="6"/>
  <c r="H447" i="6"/>
  <c r="C460" i="6"/>
  <c r="G456" i="6"/>
  <c r="H448" i="6"/>
  <c r="E447" i="6"/>
  <c r="H474" i="6"/>
  <c r="D474" i="6"/>
  <c r="E463" i="6"/>
  <c r="G454" i="6"/>
  <c r="C453" i="6"/>
  <c r="E468" i="6"/>
  <c r="C463" i="6"/>
  <c r="I461" i="6"/>
  <c r="G459" i="6"/>
  <c r="E457" i="6"/>
  <c r="E454" i="6"/>
  <c r="I449" i="6"/>
  <c r="E408" i="6"/>
  <c r="G407" i="6"/>
  <c r="H406" i="6"/>
  <c r="F404" i="6"/>
  <c r="J403" i="6"/>
  <c r="G401" i="6"/>
  <c r="D400" i="6"/>
  <c r="F398" i="6"/>
  <c r="K397" i="6"/>
  <c r="C397" i="6"/>
  <c r="H396" i="6"/>
  <c r="E394" i="6"/>
  <c r="J393" i="6"/>
  <c r="G392" i="6"/>
  <c r="D391" i="6"/>
  <c r="F389" i="6"/>
  <c r="K387" i="6"/>
  <c r="C387" i="6"/>
  <c r="H386" i="6"/>
  <c r="E385" i="6"/>
  <c r="J384" i="6"/>
  <c r="G383" i="6"/>
  <c r="D382" i="6"/>
  <c r="B516" i="6" s="1"/>
  <c r="E372" i="6"/>
  <c r="J371" i="6"/>
  <c r="G370" i="6"/>
  <c r="D369" i="6"/>
  <c r="F367" i="6"/>
  <c r="K365" i="6"/>
  <c r="C365" i="6"/>
  <c r="H364" i="6"/>
  <c r="E363" i="6"/>
  <c r="J362" i="6"/>
  <c r="G361" i="6"/>
  <c r="D360" i="6"/>
  <c r="H479" i="6"/>
  <c r="C468" i="6"/>
  <c r="C457" i="6"/>
  <c r="D454" i="6"/>
  <c r="G451" i="6"/>
  <c r="E450" i="6"/>
  <c r="C449" i="6"/>
  <c r="D408" i="6"/>
  <c r="F407" i="6"/>
  <c r="G406" i="6"/>
  <c r="K405" i="6"/>
  <c r="E404" i="6"/>
  <c r="F401" i="6"/>
  <c r="K400" i="6"/>
  <c r="C400" i="6"/>
  <c r="H399" i="6"/>
  <c r="E398" i="6"/>
  <c r="J397" i="6"/>
  <c r="G396" i="6"/>
  <c r="D394" i="6"/>
  <c r="F392" i="6"/>
  <c r="K391" i="6"/>
  <c r="C391" i="6"/>
  <c r="H390" i="6"/>
  <c r="E389" i="6"/>
  <c r="J387" i="6"/>
  <c r="G386" i="6"/>
  <c r="D385" i="6"/>
  <c r="F383" i="6"/>
  <c r="K382" i="6"/>
  <c r="C382" i="6"/>
  <c r="D372" i="6"/>
  <c r="F370" i="6"/>
  <c r="K369" i="6"/>
  <c r="C369" i="6"/>
  <c r="H368" i="6"/>
  <c r="E367" i="6"/>
  <c r="J365" i="6"/>
  <c r="G364" i="6"/>
  <c r="D363" i="6"/>
  <c r="F361" i="6"/>
  <c r="K360" i="6"/>
  <c r="C360" i="6"/>
  <c r="H358" i="6"/>
  <c r="G462" i="6"/>
  <c r="H452" i="6"/>
  <c r="E451" i="6"/>
  <c r="C450" i="6"/>
  <c r="G447" i="6"/>
  <c r="E406" i="6"/>
  <c r="G403" i="6"/>
  <c r="D401" i="6"/>
  <c r="F399" i="6"/>
  <c r="K398" i="6"/>
  <c r="C398" i="6"/>
  <c r="H397" i="6"/>
  <c r="E396" i="6"/>
  <c r="J394" i="6"/>
  <c r="G393" i="6"/>
  <c r="D392" i="6"/>
  <c r="F390" i="6"/>
  <c r="K389" i="6"/>
  <c r="C389" i="6"/>
  <c r="H387" i="6"/>
  <c r="E386" i="6"/>
  <c r="J385" i="6"/>
  <c r="G384" i="6"/>
  <c r="D383" i="6"/>
  <c r="J372" i="6"/>
  <c r="I481" i="6"/>
  <c r="C467" i="6"/>
  <c r="C455" i="6"/>
  <c r="G448" i="6"/>
  <c r="J407" i="6"/>
  <c r="K406" i="6"/>
  <c r="E405" i="6"/>
  <c r="G404" i="6"/>
  <c r="F403" i="6"/>
  <c r="H400" i="6"/>
  <c r="I452" i="6"/>
  <c r="D450" i="6"/>
  <c r="G452" i="6"/>
  <c r="K408" i="6"/>
  <c r="H407" i="6"/>
  <c r="D406" i="6"/>
  <c r="C405" i="6"/>
  <c r="D403" i="6"/>
  <c r="E401" i="6"/>
  <c r="F400" i="6"/>
  <c r="E399" i="6"/>
  <c r="G398" i="6"/>
  <c r="F397" i="6"/>
  <c r="H394" i="6"/>
  <c r="K393" i="6"/>
  <c r="K392" i="6"/>
  <c r="D384" i="6"/>
  <c r="E383" i="6"/>
  <c r="F382" i="6"/>
  <c r="F372" i="6"/>
  <c r="G371" i="6"/>
  <c r="K370" i="6"/>
  <c r="E368" i="6"/>
  <c r="H367" i="6"/>
  <c r="C364" i="6"/>
  <c r="F363" i="6"/>
  <c r="G362" i="6"/>
  <c r="K361" i="6"/>
  <c r="E358" i="6"/>
  <c r="F356" i="6"/>
  <c r="K355" i="6"/>
  <c r="C355" i="6"/>
  <c r="H354" i="6"/>
  <c r="E353" i="6"/>
  <c r="J351" i="6"/>
  <c r="G350" i="6"/>
  <c r="D349" i="6"/>
  <c r="F347" i="6"/>
  <c r="K346" i="6"/>
  <c r="C346" i="6"/>
  <c r="H456" i="6"/>
  <c r="J408" i="6"/>
  <c r="C407" i="6"/>
  <c r="C406" i="6"/>
  <c r="C403" i="6"/>
  <c r="C401" i="6"/>
  <c r="E400" i="6"/>
  <c r="D399" i="6"/>
  <c r="D398" i="6"/>
  <c r="E397" i="6"/>
  <c r="F396" i="6"/>
  <c r="G394" i="6"/>
  <c r="H393" i="6"/>
  <c r="J392" i="6"/>
  <c r="J391" i="6"/>
  <c r="K390" i="6"/>
  <c r="J389" i="6"/>
  <c r="C384" i="6"/>
  <c r="C383" i="6"/>
  <c r="E382" i="6"/>
  <c r="C372" i="6"/>
  <c r="F371" i="6"/>
  <c r="J370" i="6"/>
  <c r="D368" i="6"/>
  <c r="G367" i="6"/>
  <c r="H365" i="6"/>
  <c r="C363" i="6"/>
  <c r="F362" i="6"/>
  <c r="J361" i="6"/>
  <c r="D358" i="6"/>
  <c r="H357" i="6"/>
  <c r="E356" i="6"/>
  <c r="J355" i="6"/>
  <c r="G354" i="6"/>
  <c r="D353" i="6"/>
  <c r="F350" i="6"/>
  <c r="K349" i="6"/>
  <c r="B511" i="6" s="1"/>
  <c r="C349" i="6"/>
  <c r="H348" i="6"/>
  <c r="E347" i="6"/>
  <c r="J346" i="6"/>
  <c r="E462" i="6"/>
  <c r="F408" i="6"/>
  <c r="C399" i="6"/>
  <c r="D397" i="6"/>
  <c r="D396" i="6"/>
  <c r="F394" i="6"/>
  <c r="F393" i="6"/>
  <c r="H391" i="6"/>
  <c r="J390" i="6"/>
  <c r="K386" i="6"/>
  <c r="K385" i="6"/>
  <c r="E371" i="6"/>
  <c r="J369" i="6"/>
  <c r="C368" i="6"/>
  <c r="D367" i="6"/>
  <c r="G365" i="6"/>
  <c r="K364" i="6"/>
  <c r="E362" i="6"/>
  <c r="J360" i="6"/>
  <c r="C358" i="6"/>
  <c r="G357" i="6"/>
  <c r="D356" i="6"/>
  <c r="F354" i="6"/>
  <c r="K353" i="6"/>
  <c r="C353" i="6"/>
  <c r="H351" i="6"/>
  <c r="E350" i="6"/>
  <c r="J349" i="6"/>
  <c r="B510" i="6" s="1"/>
  <c r="G348" i="6"/>
  <c r="I453" i="6"/>
  <c r="J405" i="6"/>
  <c r="K403" i="6"/>
  <c r="K401" i="6"/>
  <c r="D393" i="6"/>
  <c r="E392" i="6"/>
  <c r="F391" i="6"/>
  <c r="E390" i="6"/>
  <c r="G389" i="6"/>
  <c r="F387" i="6"/>
  <c r="H385" i="6"/>
  <c r="K384" i="6"/>
  <c r="K383" i="6"/>
  <c r="K372" i="6"/>
  <c r="C371" i="6"/>
  <c r="E370" i="6"/>
  <c r="H369" i="6"/>
  <c r="K368" i="6"/>
  <c r="E365" i="6"/>
  <c r="J363" i="6"/>
  <c r="C362" i="6"/>
  <c r="E361" i="6"/>
  <c r="H360" i="6"/>
  <c r="K358" i="6"/>
  <c r="E357" i="6"/>
  <c r="J356" i="6"/>
  <c r="G355" i="6"/>
  <c r="D354" i="6"/>
  <c r="F351" i="6"/>
  <c r="K350" i="6"/>
  <c r="C350" i="6"/>
  <c r="H349" i="6"/>
  <c r="E348" i="6"/>
  <c r="J347" i="6"/>
  <c r="G346" i="6"/>
  <c r="G399" i="6"/>
  <c r="E393" i="6"/>
  <c r="G391" i="6"/>
  <c r="H389" i="6"/>
  <c r="J386" i="6"/>
  <c r="C385" i="6"/>
  <c r="J383" i="6"/>
  <c r="G372" i="6"/>
  <c r="F369" i="6"/>
  <c r="K367" i="6"/>
  <c r="F365" i="6"/>
  <c r="K362" i="6"/>
  <c r="C361" i="6"/>
  <c r="J358" i="6"/>
  <c r="D357" i="6"/>
  <c r="K351" i="6"/>
  <c r="F349" i="6"/>
  <c r="D348" i="6"/>
  <c r="C347" i="6"/>
  <c r="E346" i="6"/>
  <c r="C408" i="6"/>
  <c r="G397" i="6"/>
  <c r="K394" i="6"/>
  <c r="C393" i="6"/>
  <c r="E391" i="6"/>
  <c r="D389" i="6"/>
  <c r="F386" i="6"/>
  <c r="E369" i="6"/>
  <c r="J367" i="6"/>
  <c r="D365" i="6"/>
  <c r="K363" i="6"/>
  <c r="H362" i="6"/>
  <c r="G358" i="6"/>
  <c r="C357" i="6"/>
  <c r="J353" i="6"/>
  <c r="G351" i="6"/>
  <c r="H350" i="6"/>
  <c r="E349" i="6"/>
  <c r="C348" i="6"/>
  <c r="D346" i="6"/>
  <c r="E479" i="6"/>
  <c r="H405" i="6"/>
  <c r="H403" i="6"/>
  <c r="J400" i="6"/>
  <c r="J398" i="6"/>
  <c r="D386" i="6"/>
  <c r="H383" i="6"/>
  <c r="H370" i="6"/>
  <c r="D362" i="6"/>
  <c r="F358" i="6"/>
  <c r="K354" i="6"/>
  <c r="H353" i="6"/>
  <c r="E351" i="6"/>
  <c r="D350" i="6"/>
  <c r="K407" i="6"/>
  <c r="D405" i="6"/>
  <c r="E403" i="6"/>
  <c r="G400" i="6"/>
  <c r="C394" i="6"/>
  <c r="C386" i="6"/>
  <c r="H384" i="6"/>
  <c r="D370" i="6"/>
  <c r="C367" i="6"/>
  <c r="H363" i="6"/>
  <c r="G360" i="6"/>
  <c r="K356" i="6"/>
  <c r="J354" i="6"/>
  <c r="G353" i="6"/>
  <c r="D351" i="6"/>
  <c r="H398" i="6"/>
  <c r="K396" i="6"/>
  <c r="H392" i="6"/>
  <c r="G390" i="6"/>
  <c r="G387" i="6"/>
  <c r="F384" i="6"/>
  <c r="K371" i="6"/>
  <c r="C370" i="6"/>
  <c r="J368" i="6"/>
  <c r="J364" i="6"/>
  <c r="G363" i="6"/>
  <c r="F360" i="6"/>
  <c r="H355" i="6"/>
  <c r="F353" i="6"/>
  <c r="C351" i="6"/>
  <c r="F406" i="6"/>
  <c r="G368" i="6"/>
  <c r="F364" i="6"/>
  <c r="K357" i="6"/>
  <c r="F355" i="6"/>
  <c r="G349" i="6"/>
  <c r="H347" i="6"/>
  <c r="I448" i="6"/>
  <c r="J401" i="6"/>
  <c r="D390" i="6"/>
  <c r="J382" i="6"/>
  <c r="B520" i="6" s="1"/>
  <c r="H371" i="6"/>
  <c r="F368" i="6"/>
  <c r="E364" i="6"/>
  <c r="H361" i="6"/>
  <c r="J357" i="6"/>
  <c r="E355" i="6"/>
  <c r="G347" i="6"/>
  <c r="H401" i="6"/>
  <c r="C390" i="6"/>
  <c r="G385" i="6"/>
  <c r="H382" i="6"/>
  <c r="B519" i="6" s="1"/>
  <c r="D371" i="6"/>
  <c r="D364" i="6"/>
  <c r="D361" i="6"/>
  <c r="F357" i="6"/>
  <c r="D355" i="6"/>
  <c r="D347" i="6"/>
  <c r="J404" i="6"/>
  <c r="F385" i="6"/>
  <c r="G382" i="6"/>
  <c r="K348" i="6"/>
  <c r="H404" i="6"/>
  <c r="E360" i="6"/>
  <c r="H356" i="6"/>
  <c r="E354" i="6"/>
  <c r="J350" i="6"/>
  <c r="J348" i="6"/>
  <c r="H313" i="6"/>
  <c r="M110" i="1" s="1"/>
  <c r="C396" i="6"/>
  <c r="C354" i="6"/>
  <c r="F348" i="6"/>
  <c r="G313" i="6"/>
  <c r="J110" i="1" s="1"/>
  <c r="F313" i="6"/>
  <c r="G110" i="1" s="1"/>
  <c r="K399" i="6"/>
  <c r="E387" i="6"/>
  <c r="K347" i="6"/>
  <c r="D404" i="6"/>
  <c r="C392" i="6"/>
  <c r="G356" i="6"/>
  <c r="J396" i="6"/>
  <c r="H346" i="6"/>
  <c r="D387" i="6"/>
  <c r="F346" i="6"/>
  <c r="C356" i="6"/>
  <c r="E384" i="6"/>
  <c r="G369" i="6"/>
  <c r="J399" i="6"/>
  <c r="H372" i="6"/>
  <c r="AK176" i="5"/>
  <c r="AK208" i="5"/>
  <c r="AK240" i="5"/>
  <c r="AK272" i="5"/>
  <c r="AK304" i="5"/>
  <c r="AK336" i="5"/>
  <c r="AK416" i="5"/>
  <c r="AK591" i="5"/>
  <c r="AK18" i="5"/>
  <c r="AH23" i="5"/>
  <c r="AK23" i="5" s="1"/>
  <c r="AH46" i="5"/>
  <c r="AK46" i="5" s="1"/>
  <c r="AH96" i="5"/>
  <c r="AK96" i="5" s="1"/>
  <c r="AH110" i="5"/>
  <c r="AK110" i="5" s="1"/>
  <c r="AK411" i="5"/>
  <c r="AK457" i="5"/>
  <c r="AK576" i="5"/>
  <c r="AK616" i="5"/>
  <c r="AK639" i="5"/>
  <c r="AK660" i="5"/>
  <c r="AK722" i="5"/>
  <c r="AH735" i="5"/>
  <c r="AK735" i="5" s="1"/>
  <c r="J441" i="6" s="1"/>
  <c r="AK749" i="5"/>
  <c r="AK812" i="5"/>
  <c r="AH818" i="5"/>
  <c r="AK818" i="5" s="1"/>
  <c r="AK895" i="5"/>
  <c r="AK1020" i="5"/>
  <c r="AK1055" i="5"/>
  <c r="AH11" i="5"/>
  <c r="AK11" i="5" s="1"/>
  <c r="AK38" i="5"/>
  <c r="AK40" i="5"/>
  <c r="AK63" i="5"/>
  <c r="AH65" i="5"/>
  <c r="AK65" i="5" s="1"/>
  <c r="AK77" i="5"/>
  <c r="AH90" i="5"/>
  <c r="AK90" i="5" s="1"/>
  <c r="AK102" i="5"/>
  <c r="AK104" i="5"/>
  <c r="AK127" i="5"/>
  <c r="AH129" i="5"/>
  <c r="AK129" i="5" s="1"/>
  <c r="AK141" i="5"/>
  <c r="AK158" i="5"/>
  <c r="AK161" i="5"/>
  <c r="AH173" i="5"/>
  <c r="AK173" i="5" s="1"/>
  <c r="AK190" i="5"/>
  <c r="AK193" i="5"/>
  <c r="AH205" i="5"/>
  <c r="AK205" i="5" s="1"/>
  <c r="AK222" i="5"/>
  <c r="AK225" i="5"/>
  <c r="AH237" i="5"/>
  <c r="AK237" i="5" s="1"/>
  <c r="AK254" i="5"/>
  <c r="AK257" i="5"/>
  <c r="AH269" i="5"/>
  <c r="AK269" i="5" s="1"/>
  <c r="AK286" i="5"/>
  <c r="AK289" i="5"/>
  <c r="AH301" i="5"/>
  <c r="AK301" i="5" s="1"/>
  <c r="AK318" i="5"/>
  <c r="AK321" i="5"/>
  <c r="AH333" i="5"/>
  <c r="AK333" i="5" s="1"/>
  <c r="AK350" i="5"/>
  <c r="AK353" i="5"/>
  <c r="AK372" i="5"/>
  <c r="AH430" i="5"/>
  <c r="AK430" i="5" s="1"/>
  <c r="AH463" i="5"/>
  <c r="AK463" i="5" s="1"/>
  <c r="AK480" i="5"/>
  <c r="AK489" i="5"/>
  <c r="AH497" i="5"/>
  <c r="AK497" i="5" s="1"/>
  <c r="AH519" i="5"/>
  <c r="AK519" i="5" s="1"/>
  <c r="AK524" i="5"/>
  <c r="AH537" i="5"/>
  <c r="AK537" i="5" s="1"/>
  <c r="AH555" i="5"/>
  <c r="AK555" i="5" s="1"/>
  <c r="AK560" i="5"/>
  <c r="AH629" i="5"/>
  <c r="AK629" i="5" s="1"/>
  <c r="AK668" i="5"/>
  <c r="AK691" i="5"/>
  <c r="AK719" i="5"/>
  <c r="AH885" i="5"/>
  <c r="AK885" i="5" s="1"/>
  <c r="AH917" i="5"/>
  <c r="AK917" i="5" s="1"/>
  <c r="AK991" i="5"/>
  <c r="AK1084" i="5"/>
  <c r="AK1119" i="5"/>
  <c r="AK361" i="5"/>
  <c r="AK446" i="5"/>
  <c r="AK510" i="5"/>
  <c r="AK523" i="5"/>
  <c r="AK633" i="5"/>
  <c r="AK638" i="5"/>
  <c r="J448" i="6" s="1"/>
  <c r="AK766" i="5"/>
  <c r="AK830" i="5"/>
  <c r="AK962" i="5"/>
  <c r="AK1090" i="5"/>
  <c r="AK1310" i="5"/>
  <c r="AK1350" i="5"/>
  <c r="AK1407" i="5"/>
  <c r="AK1561" i="5"/>
  <c r="AK1570" i="5"/>
  <c r="AH68" i="5"/>
  <c r="AK68" i="5" s="1"/>
  <c r="AH100" i="5"/>
  <c r="AK100" i="5" s="1"/>
  <c r="AH132" i="5"/>
  <c r="AK132" i="5" s="1"/>
  <c r="AH156" i="5"/>
  <c r="AK156" i="5" s="1"/>
  <c r="AH172" i="5"/>
  <c r="AK172" i="5" s="1"/>
  <c r="AH188" i="5"/>
  <c r="AK188" i="5" s="1"/>
  <c r="AH204" i="5"/>
  <c r="AK204" i="5" s="1"/>
  <c r="AH220" i="5"/>
  <c r="AK220" i="5" s="1"/>
  <c r="AH236" i="5"/>
  <c r="AK236" i="5" s="1"/>
  <c r="AH252" i="5"/>
  <c r="AK252" i="5" s="1"/>
  <c r="AH268" i="5"/>
  <c r="AK268" i="5" s="1"/>
  <c r="AH284" i="5"/>
  <c r="AK284" i="5" s="1"/>
  <c r="AH300" i="5"/>
  <c r="AK300" i="5" s="1"/>
  <c r="AH316" i="5"/>
  <c r="AK316" i="5" s="1"/>
  <c r="AH332" i="5"/>
  <c r="AK332" i="5" s="1"/>
  <c r="AH348" i="5"/>
  <c r="AK348" i="5" s="1"/>
  <c r="AH418" i="5"/>
  <c r="AK418" i="5" s="1"/>
  <c r="AH421" i="5"/>
  <c r="AK421" i="5" s="1"/>
  <c r="AH482" i="5"/>
  <c r="AK482" i="5" s="1"/>
  <c r="AH485" i="5"/>
  <c r="AK485" i="5" s="1"/>
  <c r="AK568" i="5"/>
  <c r="AH578" i="5"/>
  <c r="AK578" i="5" s="1"/>
  <c r="AH581" i="5"/>
  <c r="AK581" i="5" s="1"/>
  <c r="AH599" i="5"/>
  <c r="AK599" i="5" s="1"/>
  <c r="AH617" i="5"/>
  <c r="AK617" i="5" s="1"/>
  <c r="AK622" i="5"/>
  <c r="AH635" i="5"/>
  <c r="AK635" i="5" s="1"/>
  <c r="AK696" i="5"/>
  <c r="AH706" i="5"/>
  <c r="AK706" i="5" s="1"/>
  <c r="AH709" i="5"/>
  <c r="AK709" i="5" s="1"/>
  <c r="AH727" i="5"/>
  <c r="AK727" i="5" s="1"/>
  <c r="AH745" i="5"/>
  <c r="AK745" i="5" s="1"/>
  <c r="AK750" i="5"/>
  <c r="AH763" i="5"/>
  <c r="AK763" i="5" s="1"/>
  <c r="AK792" i="5"/>
  <c r="AH807" i="5"/>
  <c r="AK807" i="5" s="1"/>
  <c r="AH827" i="5"/>
  <c r="AK827" i="5" s="1"/>
  <c r="AK856" i="5"/>
  <c r="AH871" i="5"/>
  <c r="AK871" i="5" s="1"/>
  <c r="AH891" i="5"/>
  <c r="AK891" i="5" s="1"/>
  <c r="AH923" i="5"/>
  <c r="AK923" i="5" s="1"/>
  <c r="AH933" i="5"/>
  <c r="AK933" i="5" s="1"/>
  <c r="AH1010" i="5"/>
  <c r="AK1010" i="5" s="1"/>
  <c r="AH1051" i="5"/>
  <c r="AK1051" i="5" s="1"/>
  <c r="AH1061" i="5"/>
  <c r="AK1061" i="5" s="1"/>
  <c r="AH1138" i="5"/>
  <c r="AK1138" i="5" s="1"/>
  <c r="AK1148" i="5"/>
  <c r="AH1150" i="5"/>
  <c r="AK1150" i="5" s="1"/>
  <c r="AK1165" i="5"/>
  <c r="AK1212" i="5"/>
  <c r="AH1214" i="5"/>
  <c r="AK1214" i="5" s="1"/>
  <c r="AK1229" i="5"/>
  <c r="AK1276" i="5"/>
  <c r="AH1278" i="5"/>
  <c r="AK1278" i="5" s="1"/>
  <c r="AK1454" i="5"/>
  <c r="AK1538" i="5"/>
  <c r="AK1647" i="5"/>
  <c r="AH1669" i="5"/>
  <c r="AK1669" i="5" s="1"/>
  <c r="AK437" i="5"/>
  <c r="AK501" i="5"/>
  <c r="D441" i="6" s="1"/>
  <c r="AK549" i="5"/>
  <c r="AK585" i="5"/>
  <c r="AK677" i="5"/>
  <c r="AK713" i="5"/>
  <c r="AH56" i="5"/>
  <c r="AK56" i="5" s="1"/>
  <c r="AH88" i="5"/>
  <c r="AK88" i="5" s="1"/>
  <c r="AH120" i="5"/>
  <c r="AK120" i="5" s="1"/>
  <c r="AK414" i="5"/>
  <c r="AK478" i="5"/>
  <c r="AK533" i="5"/>
  <c r="AK569" i="5"/>
  <c r="J453" i="6" s="1"/>
  <c r="AK574" i="5"/>
  <c r="AK587" i="5"/>
  <c r="AK661" i="5"/>
  <c r="AK697" i="5"/>
  <c r="AK702" i="5"/>
  <c r="AK715" i="5"/>
  <c r="AK773" i="5"/>
  <c r="AK798" i="5"/>
  <c r="AK837" i="5"/>
  <c r="AK862" i="5"/>
  <c r="AK898" i="5"/>
  <c r="AK1026" i="5"/>
  <c r="AK1480" i="5"/>
  <c r="AK1556" i="5"/>
  <c r="AH52" i="5"/>
  <c r="AK52" i="5" s="1"/>
  <c r="AH84" i="5"/>
  <c r="AK84" i="5" s="1"/>
  <c r="AH116" i="5"/>
  <c r="AK116" i="5" s="1"/>
  <c r="AH148" i="5"/>
  <c r="AK148" i="5" s="1"/>
  <c r="AH164" i="5"/>
  <c r="AK164" i="5" s="1"/>
  <c r="AH180" i="5"/>
  <c r="AK180" i="5" s="1"/>
  <c r="AH196" i="5"/>
  <c r="AK196" i="5" s="1"/>
  <c r="AH212" i="5"/>
  <c r="AK212" i="5" s="1"/>
  <c r="AH228" i="5"/>
  <c r="AK228" i="5" s="1"/>
  <c r="AH244" i="5"/>
  <c r="AK244" i="5" s="1"/>
  <c r="AH260" i="5"/>
  <c r="AK260" i="5" s="1"/>
  <c r="AH276" i="5"/>
  <c r="AK276" i="5" s="1"/>
  <c r="AH292" i="5"/>
  <c r="AK292" i="5" s="1"/>
  <c r="AH308" i="5"/>
  <c r="AK308" i="5" s="1"/>
  <c r="AH324" i="5"/>
  <c r="AK324" i="5" s="1"/>
  <c r="AH340" i="5"/>
  <c r="AK340" i="5" s="1"/>
  <c r="AH356" i="5"/>
  <c r="AK356" i="5" s="1"/>
  <c r="AH365" i="5"/>
  <c r="AK365" i="5" s="1"/>
  <c r="AH386" i="5"/>
  <c r="AK386" i="5" s="1"/>
  <c r="AH389" i="5"/>
  <c r="AK389" i="5" s="1"/>
  <c r="AH450" i="5"/>
  <c r="AK450" i="5" s="1"/>
  <c r="AH453" i="5"/>
  <c r="AK453" i="5" s="1"/>
  <c r="AH514" i="5"/>
  <c r="AK514" i="5" s="1"/>
  <c r="AH517" i="5"/>
  <c r="AK517" i="5" s="1"/>
  <c r="AH535" i="5"/>
  <c r="AK535" i="5" s="1"/>
  <c r="AH553" i="5"/>
  <c r="AK553" i="5" s="1"/>
  <c r="AK558" i="5"/>
  <c r="AH571" i="5"/>
  <c r="AK571" i="5" s="1"/>
  <c r="AK632" i="5"/>
  <c r="AH642" i="5"/>
  <c r="AK642" i="5" s="1"/>
  <c r="AH645" i="5"/>
  <c r="AK645" i="5" s="1"/>
  <c r="AH663" i="5"/>
  <c r="AK663" i="5" s="1"/>
  <c r="AH681" i="5"/>
  <c r="AK681" i="5" s="1"/>
  <c r="AK686" i="5"/>
  <c r="AH699" i="5"/>
  <c r="AK699" i="5" s="1"/>
  <c r="AK760" i="5"/>
  <c r="AH775" i="5"/>
  <c r="AK775" i="5" s="1"/>
  <c r="AH795" i="5"/>
  <c r="AK795" i="5" s="1"/>
  <c r="AK824" i="5"/>
  <c r="AH839" i="5"/>
  <c r="AK839" i="5" s="1"/>
  <c r="AH859" i="5"/>
  <c r="AK859" i="5" s="1"/>
  <c r="AK888" i="5"/>
  <c r="AH946" i="5"/>
  <c r="AK946" i="5" s="1"/>
  <c r="AH987" i="5"/>
  <c r="AK987" i="5" s="1"/>
  <c r="AH1074" i="5"/>
  <c r="AK1074" i="5" s="1"/>
  <c r="AH1115" i="5"/>
  <c r="AK1115" i="5" s="1"/>
  <c r="AH1125" i="5"/>
  <c r="AK1125" i="5" s="1"/>
  <c r="AK1180" i="5"/>
  <c r="AH1182" i="5"/>
  <c r="AK1182" i="5" s="1"/>
  <c r="AK1244" i="5"/>
  <c r="AH1246" i="5"/>
  <c r="AK1246" i="5" s="1"/>
  <c r="AK1261" i="5"/>
  <c r="AK1339" i="5"/>
  <c r="AH1341" i="5"/>
  <c r="AK1341" i="5" s="1"/>
  <c r="AK1355" i="5"/>
  <c r="AH1357" i="5"/>
  <c r="AK1357" i="5" s="1"/>
  <c r="AK1478" i="5"/>
  <c r="AH1412" i="5"/>
  <c r="AK1412" i="5" s="1"/>
  <c r="AH1451" i="5"/>
  <c r="AK1451" i="5" s="1"/>
  <c r="AH1464" i="5"/>
  <c r="AK1464" i="5" s="1"/>
  <c r="AH1469" i="5"/>
  <c r="AK1469" i="5" s="1"/>
  <c r="AH1527" i="5"/>
  <c r="AK1527" i="5" s="1"/>
  <c r="AH1540" i="5"/>
  <c r="AK1540" i="5" s="1"/>
  <c r="AH1579" i="5"/>
  <c r="AK1579" i="5" s="1"/>
  <c r="AH1592" i="5"/>
  <c r="AK1592" i="5" s="1"/>
  <c r="AH1597" i="5"/>
  <c r="AK1597" i="5" s="1"/>
  <c r="AH1672" i="5"/>
  <c r="AK1672" i="5" s="1"/>
  <c r="AK1705" i="5"/>
  <c r="P18" i="6"/>
  <c r="AH529" i="5"/>
  <c r="AK529" i="5" s="1"/>
  <c r="AH545" i="5"/>
  <c r="AK545" i="5" s="1"/>
  <c r="AH561" i="5"/>
  <c r="AK561" i="5" s="1"/>
  <c r="AH577" i="5"/>
  <c r="AK577" i="5" s="1"/>
  <c r="AH593" i="5"/>
  <c r="AK593" i="5" s="1"/>
  <c r="AH609" i="5"/>
  <c r="AK609" i="5" s="1"/>
  <c r="AH625" i="5"/>
  <c r="AK625" i="5" s="1"/>
  <c r="AH641" i="5"/>
  <c r="AK641" i="5" s="1"/>
  <c r="AH657" i="5"/>
  <c r="AK657" i="5" s="1"/>
  <c r="AH673" i="5"/>
  <c r="AK673" i="5" s="1"/>
  <c r="AH689" i="5"/>
  <c r="AK689" i="5" s="1"/>
  <c r="AH705" i="5"/>
  <c r="AK705" i="5" s="1"/>
  <c r="AH721" i="5"/>
  <c r="AK721" i="5" s="1"/>
  <c r="AH737" i="5"/>
  <c r="AK737" i="5" s="1"/>
  <c r="AH753" i="5"/>
  <c r="AK753" i="5" s="1"/>
  <c r="AH769" i="5"/>
  <c r="AK769" i="5" s="1"/>
  <c r="AH785" i="5"/>
  <c r="AK785" i="5" s="1"/>
  <c r="AH801" i="5"/>
  <c r="AK801" i="5" s="1"/>
  <c r="AH817" i="5"/>
  <c r="AK817" i="5" s="1"/>
  <c r="AH833" i="5"/>
  <c r="AK833" i="5" s="1"/>
  <c r="AH849" i="5"/>
  <c r="AK849" i="5" s="1"/>
  <c r="AH865" i="5"/>
  <c r="AK865" i="5" s="1"/>
  <c r="AH881" i="5"/>
  <c r="AK881" i="5" s="1"/>
  <c r="AH897" i="5"/>
  <c r="AK897" i="5" s="1"/>
  <c r="AH913" i="5"/>
  <c r="AK913" i="5" s="1"/>
  <c r="AH929" i="5"/>
  <c r="AK929" i="5" s="1"/>
  <c r="AH945" i="5"/>
  <c r="AK945" i="5" s="1"/>
  <c r="AH961" i="5"/>
  <c r="AK961" i="5" s="1"/>
  <c r="AH1041" i="5"/>
  <c r="AK1041" i="5" s="1"/>
  <c r="AH1057" i="5"/>
  <c r="AK1057" i="5" s="1"/>
  <c r="AH1073" i="5"/>
  <c r="AK1073" i="5" s="1"/>
  <c r="AH1089" i="5"/>
  <c r="AK1089" i="5" s="1"/>
  <c r="AH1105" i="5"/>
  <c r="AK1105" i="5" s="1"/>
  <c r="AH1121" i="5"/>
  <c r="AK1121" i="5" s="1"/>
  <c r="AH1137" i="5"/>
  <c r="AK1137" i="5" s="1"/>
  <c r="AH1158" i="5"/>
  <c r="AK1158" i="5" s="1"/>
  <c r="AH1190" i="5"/>
  <c r="AK1190" i="5" s="1"/>
  <c r="AH1222" i="5"/>
  <c r="AK1222" i="5" s="1"/>
  <c r="AH1254" i="5"/>
  <c r="AK1254" i="5" s="1"/>
  <c r="AH1286" i="5"/>
  <c r="AK1286" i="5" s="1"/>
  <c r="AH1297" i="5"/>
  <c r="AK1297" i="5" s="1"/>
  <c r="AH1380" i="5"/>
  <c r="AK1380" i="5" s="1"/>
  <c r="AH1432" i="5"/>
  <c r="AK1432" i="5" s="1"/>
  <c r="AK1435" i="5"/>
  <c r="AH1437" i="5"/>
  <c r="AK1437" i="5" s="1"/>
  <c r="AH1495" i="5"/>
  <c r="AK1495" i="5" s="1"/>
  <c r="AH1508" i="5"/>
  <c r="AK1508" i="5" s="1"/>
  <c r="G434" i="6" s="1"/>
  <c r="G436" i="6" s="1"/>
  <c r="AH1547" i="5"/>
  <c r="AK1547" i="5" s="1"/>
  <c r="AH1560" i="5"/>
  <c r="AK1560" i="5" s="1"/>
  <c r="AH1565" i="5"/>
  <c r="AK1565" i="5" s="1"/>
  <c r="AH1623" i="5"/>
  <c r="AK1623" i="5" s="1"/>
  <c r="AH1636" i="5"/>
  <c r="AK1636" i="5" s="1"/>
  <c r="AH1704" i="5"/>
  <c r="AK1704" i="5" s="1"/>
  <c r="M407" i="6"/>
  <c r="M394" i="6"/>
  <c r="M385" i="6"/>
  <c r="M372" i="6"/>
  <c r="M363" i="6"/>
  <c r="M398" i="6"/>
  <c r="M389" i="6"/>
  <c r="M367" i="6"/>
  <c r="M408" i="6"/>
  <c r="M396" i="6"/>
  <c r="M386" i="6"/>
  <c r="M391" i="6"/>
  <c r="M387" i="6"/>
  <c r="M364" i="6"/>
  <c r="M353" i="6"/>
  <c r="M369" i="6"/>
  <c r="M360" i="6"/>
  <c r="M356" i="6"/>
  <c r="M347" i="6"/>
  <c r="M404" i="6"/>
  <c r="M403" i="6"/>
  <c r="M384" i="6"/>
  <c r="M368" i="6"/>
  <c r="M358" i="6"/>
  <c r="M350" i="6"/>
  <c r="M406" i="6"/>
  <c r="M400" i="6"/>
  <c r="M397" i="6"/>
  <c r="M382" i="6"/>
  <c r="M371" i="6"/>
  <c r="M362" i="6"/>
  <c r="M357" i="6"/>
  <c r="M348" i="6"/>
  <c r="M370" i="6"/>
  <c r="G323" i="6"/>
  <c r="J138" i="1" s="1"/>
  <c r="M405" i="6"/>
  <c r="M354" i="6"/>
  <c r="M355" i="6"/>
  <c r="M392" i="6"/>
  <c r="M390" i="6"/>
  <c r="M361" i="6"/>
  <c r="M401" i="6"/>
  <c r="M351" i="6"/>
  <c r="F323" i="6"/>
  <c r="G138" i="1" s="1"/>
  <c r="M393" i="6"/>
  <c r="M346" i="6"/>
  <c r="M399" i="6"/>
  <c r="M383" i="6"/>
  <c r="H323" i="6"/>
  <c r="M138" i="1" s="1"/>
  <c r="M349" i="6"/>
  <c r="M365" i="6"/>
  <c r="C14" i="6"/>
  <c r="AH377" i="5"/>
  <c r="AK377" i="5" s="1"/>
  <c r="AH397" i="5"/>
  <c r="AK397" i="5" s="1"/>
  <c r="AH413" i="5"/>
  <c r="AK413" i="5" s="1"/>
  <c r="AH429" i="5"/>
  <c r="AK429" i="5" s="1"/>
  <c r="AH445" i="5"/>
  <c r="AK445" i="5" s="1"/>
  <c r="AH461" i="5"/>
  <c r="AK461" i="5" s="1"/>
  <c r="AH477" i="5"/>
  <c r="AK477" i="5" s="1"/>
  <c r="AH493" i="5"/>
  <c r="AK493" i="5" s="1"/>
  <c r="AH509" i="5"/>
  <c r="AK509" i="5" s="1"/>
  <c r="AH525" i="5"/>
  <c r="AK525" i="5" s="1"/>
  <c r="AH541" i="5"/>
  <c r="AK541" i="5" s="1"/>
  <c r="AH557" i="5"/>
  <c r="AK557" i="5" s="1"/>
  <c r="AH573" i="5"/>
  <c r="AK573" i="5" s="1"/>
  <c r="AH589" i="5"/>
  <c r="AK589" i="5" s="1"/>
  <c r="AH605" i="5"/>
  <c r="AK605" i="5" s="1"/>
  <c r="AH621" i="5"/>
  <c r="AK621" i="5" s="1"/>
  <c r="AH637" i="5"/>
  <c r="AK637" i="5" s="1"/>
  <c r="AK1348" i="5"/>
  <c r="AK1403" i="5"/>
  <c r="AK1476" i="5"/>
  <c r="AK1515" i="5"/>
  <c r="AK1604" i="5"/>
  <c r="AK1643" i="5"/>
  <c r="AK1685" i="5"/>
  <c r="AH373" i="5"/>
  <c r="AK373" i="5" s="1"/>
  <c r="AH390" i="5"/>
  <c r="AK390" i="5" s="1"/>
  <c r="AH406" i="5"/>
  <c r="AK406" i="5" s="1"/>
  <c r="AH422" i="5"/>
  <c r="AK422" i="5" s="1"/>
  <c r="AH438" i="5"/>
  <c r="AK438" i="5" s="1"/>
  <c r="AH454" i="5"/>
  <c r="AK454" i="5" s="1"/>
  <c r="AH470" i="5"/>
  <c r="AK470" i="5" s="1"/>
  <c r="AH486" i="5"/>
  <c r="AK486" i="5" s="1"/>
  <c r="AH502" i="5"/>
  <c r="AK502" i="5" s="1"/>
  <c r="AH518" i="5"/>
  <c r="AK518" i="5" s="1"/>
  <c r="AH534" i="5"/>
  <c r="AK534" i="5" s="1"/>
  <c r="AH550" i="5"/>
  <c r="AK550" i="5" s="1"/>
  <c r="E441" i="6" s="1"/>
  <c r="AH566" i="5"/>
  <c r="AK566" i="5" s="1"/>
  <c r="AH582" i="5"/>
  <c r="AK582" i="5" s="1"/>
  <c r="F435" i="6" s="1"/>
  <c r="F437" i="6" s="1"/>
  <c r="AH598" i="5"/>
  <c r="AK598" i="5" s="1"/>
  <c r="AH614" i="5"/>
  <c r="AK614" i="5" s="1"/>
  <c r="AH630" i="5"/>
  <c r="AK630" i="5" s="1"/>
  <c r="G441" i="6" s="1"/>
  <c r="AH646" i="5"/>
  <c r="AK646" i="5" s="1"/>
  <c r="AH662" i="5"/>
  <c r="AK662" i="5" s="1"/>
  <c r="AH678" i="5"/>
  <c r="AK678" i="5" s="1"/>
  <c r="AH694" i="5"/>
  <c r="AK694" i="5" s="1"/>
  <c r="I435" i="6" s="1"/>
  <c r="I437" i="6" s="1"/>
  <c r="AH710" i="5"/>
  <c r="AK710" i="5" s="1"/>
  <c r="AH726" i="5"/>
  <c r="AK726" i="5" s="1"/>
  <c r="AH742" i="5"/>
  <c r="AK742" i="5" s="1"/>
  <c r="AH758" i="5"/>
  <c r="AK758" i="5" s="1"/>
  <c r="AH774" i="5"/>
  <c r="AK774" i="5" s="1"/>
  <c r="AH790" i="5"/>
  <c r="AK790" i="5" s="1"/>
  <c r="AH806" i="5"/>
  <c r="AK806" i="5" s="1"/>
  <c r="L435" i="6" s="1"/>
  <c r="AH822" i="5"/>
  <c r="AK822" i="5" s="1"/>
  <c r="M441" i="6" s="1"/>
  <c r="AH838" i="5"/>
  <c r="AK838" i="5" s="1"/>
  <c r="AH854" i="5"/>
  <c r="AK854" i="5" s="1"/>
  <c r="AH870" i="5"/>
  <c r="AK870" i="5" s="1"/>
  <c r="AH886" i="5"/>
  <c r="AK886" i="5" s="1"/>
  <c r="AH902" i="5"/>
  <c r="AK902" i="5" s="1"/>
  <c r="O441" i="6" s="1"/>
  <c r="AH918" i="5"/>
  <c r="AK918" i="5" s="1"/>
  <c r="AH934" i="5"/>
  <c r="AK934" i="5" s="1"/>
  <c r="AH950" i="5"/>
  <c r="AK950" i="5" s="1"/>
  <c r="AH966" i="5"/>
  <c r="AK966" i="5" s="1"/>
  <c r="AH982" i="5"/>
  <c r="AK982" i="5" s="1"/>
  <c r="AH998" i="5"/>
  <c r="AK998" i="5" s="1"/>
  <c r="AH1014" i="5"/>
  <c r="AK1014" i="5" s="1"/>
  <c r="AH1030" i="5"/>
  <c r="AK1030" i="5" s="1"/>
  <c r="AH1046" i="5"/>
  <c r="AK1046" i="5" s="1"/>
  <c r="AH1062" i="5"/>
  <c r="AK1062" i="5" s="1"/>
  <c r="AH1078" i="5"/>
  <c r="AK1078" i="5" s="1"/>
  <c r="AH1094" i="5"/>
  <c r="AK1094" i="5" s="1"/>
  <c r="AH1110" i="5"/>
  <c r="AK1110" i="5" s="1"/>
  <c r="AH1126" i="5"/>
  <c r="AK1126" i="5" s="1"/>
  <c r="AH1142" i="5"/>
  <c r="AK1142" i="5" s="1"/>
  <c r="AH1154" i="5"/>
  <c r="AK1154" i="5" s="1"/>
  <c r="AH1186" i="5"/>
  <c r="AK1186" i="5" s="1"/>
  <c r="AH1218" i="5"/>
  <c r="AK1218" i="5" s="1"/>
  <c r="AH1250" i="5"/>
  <c r="AK1250" i="5" s="1"/>
  <c r="AH1282" i="5"/>
  <c r="AK1282" i="5" s="1"/>
  <c r="AH1316" i="5"/>
  <c r="AK1316" i="5" s="1"/>
  <c r="AH1332" i="5"/>
  <c r="AK1332" i="5" s="1"/>
  <c r="AH1384" i="5"/>
  <c r="AK1384" i="5" s="1"/>
  <c r="AH1389" i="5"/>
  <c r="AK1389" i="5" s="1"/>
  <c r="AH1447" i="5"/>
  <c r="AK1447" i="5" s="1"/>
  <c r="AH1460" i="5"/>
  <c r="AK1460" i="5" s="1"/>
  <c r="AH1499" i="5"/>
  <c r="AK1499" i="5" s="1"/>
  <c r="AH1512" i="5"/>
  <c r="AK1512" i="5" s="1"/>
  <c r="AH1517" i="5"/>
  <c r="AK1517" i="5" s="1"/>
  <c r="AH1575" i="5"/>
  <c r="AK1575" i="5" s="1"/>
  <c r="AH1588" i="5"/>
  <c r="AK1588" i="5" s="1"/>
  <c r="AH1627" i="5"/>
  <c r="AK1627" i="5" s="1"/>
  <c r="AH1640" i="5"/>
  <c r="AK1640" i="5" s="1"/>
  <c r="AH1645" i="5"/>
  <c r="AK1645" i="5" s="1"/>
  <c r="AH1652" i="5"/>
  <c r="AK1652" i="5" s="1"/>
  <c r="AH1660" i="5"/>
  <c r="AK1660" i="5" s="1"/>
  <c r="AH1680" i="5"/>
  <c r="AK1680" i="5" s="1"/>
  <c r="AH761" i="5"/>
  <c r="AK761" i="5" s="1"/>
  <c r="AH777" i="5"/>
  <c r="AK777" i="5" s="1"/>
  <c r="AH793" i="5"/>
  <c r="AK793" i="5" s="1"/>
  <c r="AH809" i="5"/>
  <c r="AK809" i="5" s="1"/>
  <c r="L441" i="6" s="1"/>
  <c r="AH825" i="5"/>
  <c r="AK825" i="5" s="1"/>
  <c r="AH841" i="5"/>
  <c r="AK841" i="5" s="1"/>
  <c r="AH857" i="5"/>
  <c r="AK857" i="5" s="1"/>
  <c r="AH873" i="5"/>
  <c r="AK873" i="5" s="1"/>
  <c r="AH889" i="5"/>
  <c r="AK889" i="5" s="1"/>
  <c r="AH905" i="5"/>
  <c r="AK905" i="5" s="1"/>
  <c r="AH921" i="5"/>
  <c r="AK921" i="5" s="1"/>
  <c r="AH937" i="5"/>
  <c r="AK937" i="5" s="1"/>
  <c r="AH953" i="5"/>
  <c r="AK953" i="5" s="1"/>
  <c r="AH969" i="5"/>
  <c r="AK969" i="5" s="1"/>
  <c r="AH985" i="5"/>
  <c r="AK985" i="5" s="1"/>
  <c r="AH1017" i="5"/>
  <c r="AK1017" i="5" s="1"/>
  <c r="AH1033" i="5"/>
  <c r="AK1033" i="5" s="1"/>
  <c r="AH1049" i="5"/>
  <c r="AK1049" i="5" s="1"/>
  <c r="AH1065" i="5"/>
  <c r="AK1065" i="5" s="1"/>
  <c r="AH1081" i="5"/>
  <c r="AK1081" i="5" s="1"/>
  <c r="AH1097" i="5"/>
  <c r="AK1097" i="5" s="1"/>
  <c r="AH1113" i="5"/>
  <c r="AK1113" i="5" s="1"/>
  <c r="AH1129" i="5"/>
  <c r="AK1129" i="5" s="1"/>
  <c r="AH1145" i="5"/>
  <c r="AK1145" i="5" s="1"/>
  <c r="AK1163" i="5"/>
  <c r="AH1174" i="5"/>
  <c r="AK1174" i="5" s="1"/>
  <c r="AK1195" i="5"/>
  <c r="AH1206" i="5"/>
  <c r="AK1206" i="5" s="1"/>
  <c r="AK1227" i="5"/>
  <c r="AH1238" i="5"/>
  <c r="AK1238" i="5" s="1"/>
  <c r="AK1259" i="5"/>
  <c r="AH1270" i="5"/>
  <c r="AK1270" i="5" s="1"/>
  <c r="AK1291" i="5"/>
  <c r="AK1302" i="5"/>
  <c r="AK1305" i="5"/>
  <c r="AK1345" i="5"/>
  <c r="AK1358" i="5"/>
  <c r="AH1368" i="5"/>
  <c r="AK1368" i="5" s="1"/>
  <c r="AK1371" i="5"/>
  <c r="AH1373" i="5"/>
  <c r="AK1373" i="5" s="1"/>
  <c r="AH1444" i="5"/>
  <c r="AK1444" i="5" s="1"/>
  <c r="AK1473" i="5"/>
  <c r="AH1483" i="5"/>
  <c r="AK1483" i="5" s="1"/>
  <c r="AK1486" i="5"/>
  <c r="AH1496" i="5"/>
  <c r="AK1496" i="5" s="1"/>
  <c r="AH1501" i="5"/>
  <c r="AK1501" i="5" s="1"/>
  <c r="AH1559" i="5"/>
  <c r="AK1559" i="5" s="1"/>
  <c r="AH1572" i="5"/>
  <c r="AK1572" i="5" s="1"/>
  <c r="AK1601" i="5"/>
  <c r="AH1611" i="5"/>
  <c r="AK1611" i="5" s="1"/>
  <c r="AK1614" i="5"/>
  <c r="AH1624" i="5"/>
  <c r="AK1624" i="5" s="1"/>
  <c r="AH1629" i="5"/>
  <c r="AK1629" i="5" s="1"/>
  <c r="AK1673" i="5"/>
  <c r="AK1675" i="5"/>
  <c r="AK1717" i="5"/>
  <c r="AK1733" i="5"/>
  <c r="AH1300" i="5"/>
  <c r="AK1300" i="5" s="1"/>
  <c r="AH1459" i="5"/>
  <c r="AK1459" i="5" s="1"/>
  <c r="F455" i="6" s="1"/>
  <c r="AH1475" i="5"/>
  <c r="AK1475" i="5" s="1"/>
  <c r="F471" i="6" s="1"/>
  <c r="AH1491" i="5"/>
  <c r="AK1491" i="5" s="1"/>
  <c r="AH1507" i="5"/>
  <c r="AK1507" i="5" s="1"/>
  <c r="AH1523" i="5"/>
  <c r="AK1523" i="5" s="1"/>
  <c r="AH1539" i="5"/>
  <c r="AK1539" i="5" s="1"/>
  <c r="AH1555" i="5"/>
  <c r="AK1555" i="5" s="1"/>
  <c r="AH1571" i="5"/>
  <c r="AK1571" i="5" s="1"/>
  <c r="AH1587" i="5"/>
  <c r="AK1587" i="5" s="1"/>
  <c r="AH1603" i="5"/>
  <c r="AK1603" i="5" s="1"/>
  <c r="AH1619" i="5"/>
  <c r="AK1619" i="5" s="1"/>
  <c r="AH1635" i="5"/>
  <c r="AK1635" i="5" s="1"/>
  <c r="AH1656" i="5"/>
  <c r="AK1656" i="5" s="1"/>
  <c r="AH1688" i="5"/>
  <c r="AK1688" i="5" s="1"/>
  <c r="AH1720" i="5"/>
  <c r="AK1720" i="5" s="1"/>
  <c r="J159" i="6"/>
  <c r="AK1740" i="5"/>
  <c r="AH1292" i="5"/>
  <c r="AK1292" i="5" s="1"/>
  <c r="AH1455" i="5"/>
  <c r="AK1455" i="5" s="1"/>
  <c r="AH1471" i="5"/>
  <c r="AK1471" i="5" s="1"/>
  <c r="AH1487" i="5"/>
  <c r="AK1487" i="5" s="1"/>
  <c r="AH1503" i="5"/>
  <c r="AK1503" i="5" s="1"/>
  <c r="AH1519" i="5"/>
  <c r="AK1519" i="5" s="1"/>
  <c r="AH1535" i="5"/>
  <c r="AK1535" i="5" s="1"/>
  <c r="AH1551" i="5"/>
  <c r="AK1551" i="5" s="1"/>
  <c r="AH1567" i="5"/>
  <c r="AK1567" i="5" s="1"/>
  <c r="F452" i="6" s="1"/>
  <c r="AH1583" i="5"/>
  <c r="AK1583" i="5" s="1"/>
  <c r="AH1599" i="5"/>
  <c r="AK1599" i="5" s="1"/>
  <c r="AH1615" i="5"/>
  <c r="AK1615" i="5" s="1"/>
  <c r="AH1631" i="5"/>
  <c r="AK1631" i="5" s="1"/>
  <c r="AH1664" i="5"/>
  <c r="AK1664" i="5" s="1"/>
  <c r="AH1696" i="5"/>
  <c r="AK1696" i="5" s="1"/>
  <c r="AH1728" i="5"/>
  <c r="AK1728" i="5" s="1"/>
  <c r="M434" i="6" s="1"/>
  <c r="N159" i="6"/>
  <c r="P68" i="6"/>
  <c r="F243" i="6"/>
  <c r="P93" i="6"/>
  <c r="P43" i="6"/>
  <c r="M44" i="6"/>
  <c r="F47" i="6"/>
  <c r="I48" i="6"/>
  <c r="L49" i="6"/>
  <c r="O50" i="6"/>
  <c r="E52" i="6"/>
  <c r="H53" i="6"/>
  <c r="K54" i="6"/>
  <c r="N55" i="6"/>
  <c r="D57" i="6"/>
  <c r="G58" i="6"/>
  <c r="J59" i="6"/>
  <c r="M60" i="6"/>
  <c r="D29" i="2" s="1"/>
  <c r="E63" i="6"/>
  <c r="H64" i="6"/>
  <c r="L65" i="6"/>
  <c r="L218" i="6" s="1"/>
  <c r="M70" i="6"/>
  <c r="H72" i="6"/>
  <c r="O73" i="6"/>
  <c r="L75" i="6"/>
  <c r="L171" i="6" s="1"/>
  <c r="G77" i="6"/>
  <c r="N78" i="6"/>
  <c r="K80" i="6"/>
  <c r="F82" i="6"/>
  <c r="M83" i="6"/>
  <c r="J85" i="6"/>
  <c r="D87" i="6"/>
  <c r="K88" i="6"/>
  <c r="I90" i="6"/>
  <c r="H94" i="6"/>
  <c r="J100" i="6"/>
  <c r="C631" i="6"/>
  <c r="K439" i="6"/>
  <c r="K435" i="6"/>
  <c r="K437" i="6" s="1"/>
  <c r="K433" i="6"/>
  <c r="J439" i="6"/>
  <c r="J433" i="6"/>
  <c r="I441" i="6"/>
  <c r="I439" i="6"/>
  <c r="I433" i="6"/>
  <c r="H439" i="6"/>
  <c r="H433" i="6"/>
  <c r="O439" i="6"/>
  <c r="G439" i="6"/>
  <c r="O433" i="6"/>
  <c r="G433" i="6"/>
  <c r="F439" i="6"/>
  <c r="N433" i="6"/>
  <c r="D439" i="6"/>
  <c r="F433" i="6"/>
  <c r="E433" i="6"/>
  <c r="M439" i="6"/>
  <c r="M433" i="6"/>
  <c r="F441" i="6"/>
  <c r="F443" i="6" s="1"/>
  <c r="L433" i="6"/>
  <c r="D433" i="6"/>
  <c r="L439" i="6"/>
  <c r="N439" i="6"/>
  <c r="E439" i="6"/>
  <c r="O116" i="6"/>
  <c r="G116" i="6"/>
  <c r="K115" i="6"/>
  <c r="O114" i="6"/>
  <c r="G114" i="6"/>
  <c r="L113" i="6"/>
  <c r="D113" i="6"/>
  <c r="I112" i="6"/>
  <c r="O111" i="6"/>
  <c r="G111" i="6"/>
  <c r="L110" i="6"/>
  <c r="D110" i="6"/>
  <c r="I109" i="6"/>
  <c r="N108" i="6"/>
  <c r="F108" i="6"/>
  <c r="K107" i="6"/>
  <c r="H106" i="6"/>
  <c r="M105" i="6"/>
  <c r="E105" i="6"/>
  <c r="J104" i="6"/>
  <c r="O103" i="6"/>
  <c r="G103" i="6"/>
  <c r="L102" i="6"/>
  <c r="D102" i="6"/>
  <c r="I101" i="6"/>
  <c r="N100" i="6"/>
  <c r="F100" i="6"/>
  <c r="K99" i="6"/>
  <c r="H98" i="6"/>
  <c r="M97" i="6"/>
  <c r="E97" i="6"/>
  <c r="N116" i="6"/>
  <c r="F116" i="6"/>
  <c r="J115" i="6"/>
  <c r="N114" i="6"/>
  <c r="F114" i="6"/>
  <c r="K113" i="6"/>
  <c r="C113" i="6"/>
  <c r="H112" i="6"/>
  <c r="N111" i="6"/>
  <c r="F111" i="6"/>
  <c r="K110" i="6"/>
  <c r="H109" i="6"/>
  <c r="M108" i="6"/>
  <c r="E108" i="6"/>
  <c r="J107" i="6"/>
  <c r="O106" i="6"/>
  <c r="G106" i="6"/>
  <c r="L105" i="6"/>
  <c r="D105" i="6"/>
  <c r="I104" i="6"/>
  <c r="N103" i="6"/>
  <c r="F103" i="6"/>
  <c r="K102" i="6"/>
  <c r="M116" i="6"/>
  <c r="E116" i="6"/>
  <c r="I115" i="6"/>
  <c r="M114" i="6"/>
  <c r="E114" i="6"/>
  <c r="J113" i="6"/>
  <c r="O112" i="6"/>
  <c r="G112" i="6"/>
  <c r="M111" i="6"/>
  <c r="E111" i="6"/>
  <c r="J110" i="6"/>
  <c r="O109" i="6"/>
  <c r="G109" i="6"/>
  <c r="L108" i="6"/>
  <c r="D108" i="6"/>
  <c r="I107" i="6"/>
  <c r="N106" i="6"/>
  <c r="F106" i="6"/>
  <c r="K105" i="6"/>
  <c r="H104" i="6"/>
  <c r="M103" i="6"/>
  <c r="E103" i="6"/>
  <c r="J102" i="6"/>
  <c r="O101" i="6"/>
  <c r="G101" i="6"/>
  <c r="L100" i="6"/>
  <c r="D100" i="6"/>
  <c r="I99" i="6"/>
  <c r="N98" i="6"/>
  <c r="F98" i="6"/>
  <c r="K97" i="6"/>
  <c r="L116" i="6"/>
  <c r="D116" i="6"/>
  <c r="D268" i="6" s="1"/>
  <c r="H115" i="6"/>
  <c r="L114" i="6"/>
  <c r="D114" i="6"/>
  <c r="I113" i="6"/>
  <c r="N112" i="6"/>
  <c r="F112" i="6"/>
  <c r="L111" i="6"/>
  <c r="D111" i="6"/>
  <c r="I110" i="6"/>
  <c r="N109" i="6"/>
  <c r="F109" i="6"/>
  <c r="K108" i="6"/>
  <c r="H107" i="6"/>
  <c r="M106" i="6"/>
  <c r="E106" i="6"/>
  <c r="J105" i="6"/>
  <c r="O104" i="6"/>
  <c r="G104" i="6"/>
  <c r="L103" i="6"/>
  <c r="D103" i="6"/>
  <c r="I102" i="6"/>
  <c r="N101" i="6"/>
  <c r="F101" i="6"/>
  <c r="K100" i="6"/>
  <c r="H99" i="6"/>
  <c r="M98" i="6"/>
  <c r="E98" i="6"/>
  <c r="J97" i="6"/>
  <c r="O115" i="6"/>
  <c r="K114" i="6"/>
  <c r="H113" i="6"/>
  <c r="E112" i="6"/>
  <c r="M109" i="6"/>
  <c r="J108" i="6"/>
  <c r="G107" i="6"/>
  <c r="D106" i="6"/>
  <c r="N104" i="6"/>
  <c r="K103" i="6"/>
  <c r="H102" i="6"/>
  <c r="J101" i="6"/>
  <c r="I100" i="6"/>
  <c r="J99" i="6"/>
  <c r="J98" i="6"/>
  <c r="I97" i="6"/>
  <c r="M96" i="6"/>
  <c r="E96" i="6"/>
  <c r="J95" i="6"/>
  <c r="O94" i="6"/>
  <c r="G94" i="6"/>
  <c r="L91" i="6"/>
  <c r="D91" i="6"/>
  <c r="H90" i="6"/>
  <c r="L89" i="6"/>
  <c r="D89" i="6"/>
  <c r="I88" i="6"/>
  <c r="N87" i="6"/>
  <c r="N137" i="6" s="1"/>
  <c r="F87" i="6"/>
  <c r="L86" i="6"/>
  <c r="D86" i="6"/>
  <c r="I85" i="6"/>
  <c r="N84" i="6"/>
  <c r="N134" i="6" s="1"/>
  <c r="F84" i="6"/>
  <c r="K83" i="6"/>
  <c r="H82" i="6"/>
  <c r="M81" i="6"/>
  <c r="E81" i="6"/>
  <c r="J80" i="6"/>
  <c r="O79" i="6"/>
  <c r="G79" i="6"/>
  <c r="L78" i="6"/>
  <c r="D78" i="6"/>
  <c r="I77" i="6"/>
  <c r="N76" i="6"/>
  <c r="F76" i="6"/>
  <c r="K75" i="6"/>
  <c r="H74" i="6"/>
  <c r="M73" i="6"/>
  <c r="E73" i="6"/>
  <c r="J72" i="6"/>
  <c r="O71" i="6"/>
  <c r="O121" i="6" s="1"/>
  <c r="G71" i="6"/>
  <c r="L70" i="6"/>
  <c r="D70" i="6"/>
  <c r="I69" i="6"/>
  <c r="N66" i="6"/>
  <c r="F66" i="6"/>
  <c r="J65" i="6"/>
  <c r="N64" i="6"/>
  <c r="F64" i="6"/>
  <c r="K63" i="6"/>
  <c r="H62" i="6"/>
  <c r="N61" i="6"/>
  <c r="F61" i="6"/>
  <c r="K60" i="6"/>
  <c r="H59" i="6"/>
  <c r="M58" i="6"/>
  <c r="D25" i="2" s="1"/>
  <c r="E58" i="6"/>
  <c r="J57" i="6"/>
  <c r="O56" i="6"/>
  <c r="G56" i="6"/>
  <c r="L55" i="6"/>
  <c r="D55" i="6"/>
  <c r="I54" i="6"/>
  <c r="N53" i="6"/>
  <c r="F53" i="6"/>
  <c r="K52" i="6"/>
  <c r="H51" i="6"/>
  <c r="M50" i="6"/>
  <c r="E50" i="6"/>
  <c r="J49" i="6"/>
  <c r="O48" i="6"/>
  <c r="G48" i="6"/>
  <c r="L47" i="6"/>
  <c r="D47" i="6"/>
  <c r="I46" i="6"/>
  <c r="N45" i="6"/>
  <c r="F45" i="6"/>
  <c r="K44" i="6"/>
  <c r="K156" i="6" s="1"/>
  <c r="H41" i="6"/>
  <c r="L40" i="6"/>
  <c r="L140" i="6" s="1"/>
  <c r="D40" i="6"/>
  <c r="H39" i="6"/>
  <c r="L38" i="6"/>
  <c r="D38" i="6"/>
  <c r="D138" i="6" s="1"/>
  <c r="H37" i="6"/>
  <c r="H137" i="6" s="1"/>
  <c r="M36" i="6"/>
  <c r="M136" i="6" s="1"/>
  <c r="E36" i="6"/>
  <c r="E136" i="6" s="1"/>
  <c r="J35" i="6"/>
  <c r="J135" i="6" s="1"/>
  <c r="O34" i="6"/>
  <c r="G34" i="6"/>
  <c r="L33" i="6"/>
  <c r="D33" i="6"/>
  <c r="I32" i="6"/>
  <c r="I132" i="6" s="1"/>
  <c r="N31" i="6"/>
  <c r="F31" i="6"/>
  <c r="F131" i="6" s="1"/>
  <c r="K30" i="6"/>
  <c r="K130" i="6" s="1"/>
  <c r="H29" i="6"/>
  <c r="M28" i="6"/>
  <c r="E28" i="6"/>
  <c r="J27" i="6"/>
  <c r="O26" i="6"/>
  <c r="G26" i="6"/>
  <c r="G126" i="6" s="1"/>
  <c r="L25" i="6"/>
  <c r="L125" i="6" s="1"/>
  <c r="D25" i="6"/>
  <c r="D125" i="6" s="1"/>
  <c r="I24" i="6"/>
  <c r="N23" i="6"/>
  <c r="F23" i="6"/>
  <c r="K22" i="6"/>
  <c r="H21" i="6"/>
  <c r="H121" i="6" s="1"/>
  <c r="M20" i="6"/>
  <c r="M120" i="6" s="1"/>
  <c r="E20" i="6"/>
  <c r="E120" i="6" s="1"/>
  <c r="J19" i="6"/>
  <c r="J119" i="6" s="1"/>
  <c r="N115" i="6"/>
  <c r="J114" i="6"/>
  <c r="G113" i="6"/>
  <c r="D112" i="6"/>
  <c r="O110" i="6"/>
  <c r="L109" i="6"/>
  <c r="I108" i="6"/>
  <c r="F107" i="6"/>
  <c r="M104" i="6"/>
  <c r="J103" i="6"/>
  <c r="G102" i="6"/>
  <c r="G184" i="6" s="1"/>
  <c r="H101" i="6"/>
  <c r="H100" i="6"/>
  <c r="G99" i="6"/>
  <c r="I98" i="6"/>
  <c r="H97" i="6"/>
  <c r="L96" i="6"/>
  <c r="D96" i="6"/>
  <c r="I95" i="6"/>
  <c r="N94" i="6"/>
  <c r="F94" i="6"/>
  <c r="K91" i="6"/>
  <c r="O90" i="6"/>
  <c r="O140" i="6" s="1"/>
  <c r="G90" i="6"/>
  <c r="K89" i="6"/>
  <c r="H88" i="6"/>
  <c r="M87" i="6"/>
  <c r="E87" i="6"/>
  <c r="K86" i="6"/>
  <c r="H85" i="6"/>
  <c r="M84" i="6"/>
  <c r="E84" i="6"/>
  <c r="J83" i="6"/>
  <c r="O82" i="6"/>
  <c r="G82" i="6"/>
  <c r="L81" i="6"/>
  <c r="D81" i="6"/>
  <c r="I80" i="6"/>
  <c r="N79" i="6"/>
  <c r="N129" i="6" s="1"/>
  <c r="F79" i="6"/>
  <c r="K78" i="6"/>
  <c r="H77" i="6"/>
  <c r="M76" i="6"/>
  <c r="E76" i="6"/>
  <c r="E171" i="6" s="1"/>
  <c r="J75" i="6"/>
  <c r="O74" i="6"/>
  <c r="O124" i="6" s="1"/>
  <c r="G74" i="6"/>
  <c r="L73" i="6"/>
  <c r="D73" i="6"/>
  <c r="I72" i="6"/>
  <c r="N71" i="6"/>
  <c r="F71" i="6"/>
  <c r="K70" i="6"/>
  <c r="H69" i="6"/>
  <c r="M66" i="6"/>
  <c r="E66" i="6"/>
  <c r="I65" i="6"/>
  <c r="M64" i="6"/>
  <c r="M167" i="6" s="1"/>
  <c r="E64" i="6"/>
  <c r="J63" i="6"/>
  <c r="O62" i="6"/>
  <c r="G62" i="6"/>
  <c r="M61" i="6"/>
  <c r="E61" i="6"/>
  <c r="J60" i="6"/>
  <c r="O59" i="6"/>
  <c r="G59" i="6"/>
  <c r="L58" i="6"/>
  <c r="D58" i="6"/>
  <c r="I57" i="6"/>
  <c r="N56" i="6"/>
  <c r="F56" i="6"/>
  <c r="K55" i="6"/>
  <c r="H54" i="6"/>
  <c r="M53" i="6"/>
  <c r="D18" i="2" s="1"/>
  <c r="E53" i="6"/>
  <c r="J52" i="6"/>
  <c r="O51" i="6"/>
  <c r="G51" i="6"/>
  <c r="G159" i="6" s="1"/>
  <c r="L50" i="6"/>
  <c r="D50" i="6"/>
  <c r="I49" i="6"/>
  <c r="N48" i="6"/>
  <c r="F48" i="6"/>
  <c r="K47" i="6"/>
  <c r="H46" i="6"/>
  <c r="H156" i="6" s="1"/>
  <c r="M45" i="6"/>
  <c r="E45" i="6"/>
  <c r="J44" i="6"/>
  <c r="M115" i="6"/>
  <c r="H318" i="6" s="1"/>
  <c r="M133" i="1" s="1"/>
  <c r="I114" i="6"/>
  <c r="F113" i="6"/>
  <c r="C112" i="6"/>
  <c r="N110" i="6"/>
  <c r="K109" i="6"/>
  <c r="H108" i="6"/>
  <c r="E107" i="6"/>
  <c r="O105" i="6"/>
  <c r="L104" i="6"/>
  <c r="I103" i="6"/>
  <c r="F102" i="6"/>
  <c r="F184" i="6" s="1"/>
  <c r="E101" i="6"/>
  <c r="G100" i="6"/>
  <c r="F99" i="6"/>
  <c r="G98" i="6"/>
  <c r="G97" i="6"/>
  <c r="K96" i="6"/>
  <c r="H95" i="6"/>
  <c r="M94" i="6"/>
  <c r="E94" i="6"/>
  <c r="L115" i="6"/>
  <c r="H114" i="6"/>
  <c r="E113" i="6"/>
  <c r="M110" i="6"/>
  <c r="J109" i="6"/>
  <c r="G108" i="6"/>
  <c r="D107" i="6"/>
  <c r="N105" i="6"/>
  <c r="K104" i="6"/>
  <c r="H103" i="6"/>
  <c r="E102" i="6"/>
  <c r="D101" i="6"/>
  <c r="E100" i="6"/>
  <c r="E99" i="6"/>
  <c r="D98" i="6"/>
  <c r="F97" i="6"/>
  <c r="J96" i="6"/>
  <c r="O95" i="6"/>
  <c r="G95" i="6"/>
  <c r="L94" i="6"/>
  <c r="D94" i="6"/>
  <c r="I91" i="6"/>
  <c r="I243" i="6" s="1"/>
  <c r="M90" i="6"/>
  <c r="M243" i="6" s="1"/>
  <c r="E90" i="6"/>
  <c r="I89" i="6"/>
  <c r="N88" i="6"/>
  <c r="N138" i="6" s="1"/>
  <c r="F88" i="6"/>
  <c r="K87" i="6"/>
  <c r="I86" i="6"/>
  <c r="N85" i="6"/>
  <c r="F85" i="6"/>
  <c r="K84" i="6"/>
  <c r="H83" i="6"/>
  <c r="M82" i="6"/>
  <c r="E82" i="6"/>
  <c r="J81" i="6"/>
  <c r="O80" i="6"/>
  <c r="G80" i="6"/>
  <c r="L79" i="6"/>
  <c r="D79" i="6"/>
  <c r="I78" i="6"/>
  <c r="N77" i="6"/>
  <c r="N172" i="6" s="1"/>
  <c r="F77" i="6"/>
  <c r="F172" i="6" s="1"/>
  <c r="K76" i="6"/>
  <c r="H75" i="6"/>
  <c r="H171" i="6" s="1"/>
  <c r="M74" i="6"/>
  <c r="E74" i="6"/>
  <c r="J73" i="6"/>
  <c r="O72" i="6"/>
  <c r="G72" i="6"/>
  <c r="G169" i="6" s="1"/>
  <c r="L71" i="6"/>
  <c r="D71" i="6"/>
  <c r="I70" i="6"/>
  <c r="I259" i="6" s="1"/>
  <c r="N69" i="6"/>
  <c r="F69" i="6"/>
  <c r="K116" i="6"/>
  <c r="K268" i="6" s="1"/>
  <c r="G115" i="6"/>
  <c r="C114" i="6"/>
  <c r="M112" i="6"/>
  <c r="K111" i="6"/>
  <c r="H110" i="6"/>
  <c r="E109" i="6"/>
  <c r="O107" i="6"/>
  <c r="L106" i="6"/>
  <c r="I105" i="6"/>
  <c r="F104" i="6"/>
  <c r="O99" i="6"/>
  <c r="D99" i="6"/>
  <c r="D97" i="6"/>
  <c r="I96" i="6"/>
  <c r="N95" i="6"/>
  <c r="F95" i="6"/>
  <c r="K94" i="6"/>
  <c r="H91" i="6"/>
  <c r="H243" i="6" s="1"/>
  <c r="L90" i="6"/>
  <c r="D90" i="6"/>
  <c r="H89" i="6"/>
  <c r="M88" i="6"/>
  <c r="E88" i="6"/>
  <c r="J87" i="6"/>
  <c r="H86" i="6"/>
  <c r="M85" i="6"/>
  <c r="E85" i="6"/>
  <c r="J84" i="6"/>
  <c r="O83" i="6"/>
  <c r="G83" i="6"/>
  <c r="L82" i="6"/>
  <c r="D82" i="6"/>
  <c r="I81" i="6"/>
  <c r="N80" i="6"/>
  <c r="N130" i="6" s="1"/>
  <c r="F80" i="6"/>
  <c r="K79" i="6"/>
  <c r="H78" i="6"/>
  <c r="M77" i="6"/>
  <c r="M172" i="6" s="1"/>
  <c r="E77" i="6"/>
  <c r="E172" i="6" s="1"/>
  <c r="J76" i="6"/>
  <c r="O75" i="6"/>
  <c r="O171" i="6" s="1"/>
  <c r="G75" i="6"/>
  <c r="L74" i="6"/>
  <c r="D74" i="6"/>
  <c r="I73" i="6"/>
  <c r="N72" i="6"/>
  <c r="N169" i="6" s="1"/>
  <c r="F72" i="6"/>
  <c r="K71" i="6"/>
  <c r="H70" i="6"/>
  <c r="M69" i="6"/>
  <c r="M168" i="6" s="1"/>
  <c r="M258" i="6" s="1"/>
  <c r="E69" i="6"/>
  <c r="J66" i="6"/>
  <c r="J218" i="6" s="1"/>
  <c r="N65" i="6"/>
  <c r="F65" i="6"/>
  <c r="J64" i="6"/>
  <c r="O63" i="6"/>
  <c r="G63" i="6"/>
  <c r="L62" i="6"/>
  <c r="D62" i="6"/>
  <c r="J61" i="6"/>
  <c r="O60" i="6"/>
  <c r="G60" i="6"/>
  <c r="L59" i="6"/>
  <c r="D59" i="6"/>
  <c r="I58" i="6"/>
  <c r="N57" i="6"/>
  <c r="F57" i="6"/>
  <c r="K56" i="6"/>
  <c r="H55" i="6"/>
  <c r="M54" i="6"/>
  <c r="E54" i="6"/>
  <c r="J53" i="6"/>
  <c r="O52" i="6"/>
  <c r="G52" i="6"/>
  <c r="G160" i="6" s="1"/>
  <c r="L51" i="6"/>
  <c r="D51" i="6"/>
  <c r="I50" i="6"/>
  <c r="N49" i="6"/>
  <c r="F49" i="6"/>
  <c r="K48" i="6"/>
  <c r="H47" i="6"/>
  <c r="H157" i="6" s="1"/>
  <c r="M46" i="6"/>
  <c r="D9" i="2" s="1"/>
  <c r="E46" i="6"/>
  <c r="J45" i="6"/>
  <c r="O44" i="6"/>
  <c r="O156" i="6" s="1"/>
  <c r="G44" i="6"/>
  <c r="L41" i="6"/>
  <c r="L141" i="6" s="1"/>
  <c r="D41" i="6"/>
  <c r="H40" i="6"/>
  <c r="H140" i="6" s="1"/>
  <c r="L39" i="6"/>
  <c r="L139" i="6" s="1"/>
  <c r="D39" i="6"/>
  <c r="D139" i="6" s="1"/>
  <c r="H38" i="6"/>
  <c r="L37" i="6"/>
  <c r="D37" i="6"/>
  <c r="I36" i="6"/>
  <c r="N35" i="6"/>
  <c r="F35" i="6"/>
  <c r="F135" i="6" s="1"/>
  <c r="K34" i="6"/>
  <c r="K134" i="6" s="1"/>
  <c r="H33" i="6"/>
  <c r="H133" i="6" s="1"/>
  <c r="M32" i="6"/>
  <c r="E32" i="6"/>
  <c r="J31" i="6"/>
  <c r="O30" i="6"/>
  <c r="G30" i="6"/>
  <c r="G130" i="6" s="1"/>
  <c r="L29" i="6"/>
  <c r="D29" i="6"/>
  <c r="D129" i="6" s="1"/>
  <c r="I28" i="6"/>
  <c r="I128" i="6" s="1"/>
  <c r="N27" i="6"/>
  <c r="F27" i="6"/>
  <c r="K26" i="6"/>
  <c r="H25" i="6"/>
  <c r="H125" i="6" s="1"/>
  <c r="M24" i="6"/>
  <c r="M124" i="6" s="1"/>
  <c r="C13" i="2" s="1"/>
  <c r="E24" i="6"/>
  <c r="E124" i="6" s="1"/>
  <c r="J23" i="6"/>
  <c r="J123" i="6" s="1"/>
  <c r="O22" i="6"/>
  <c r="G22" i="6"/>
  <c r="L21" i="6"/>
  <c r="D21" i="6"/>
  <c r="I20" i="6"/>
  <c r="I120" i="6" s="1"/>
  <c r="N19" i="6"/>
  <c r="F19" i="6"/>
  <c r="F119" i="6" s="1"/>
  <c r="J116" i="6"/>
  <c r="J268" i="6" s="1"/>
  <c r="F115" i="6"/>
  <c r="O113" i="6"/>
  <c r="L112" i="6"/>
  <c r="J111" i="6"/>
  <c r="G110" i="6"/>
  <c r="D109" i="6"/>
  <c r="N107" i="6"/>
  <c r="K106" i="6"/>
  <c r="H105" i="6"/>
  <c r="E104" i="6"/>
  <c r="O102" i="6"/>
  <c r="M101" i="6"/>
  <c r="O100" i="6"/>
  <c r="O183" i="6" s="1"/>
  <c r="N99" i="6"/>
  <c r="O98" i="6"/>
  <c r="O97" i="6"/>
  <c r="H96" i="6"/>
  <c r="M95" i="6"/>
  <c r="E95" i="6"/>
  <c r="J94" i="6"/>
  <c r="O91" i="6"/>
  <c r="G91" i="6"/>
  <c r="K90" i="6"/>
  <c r="O89" i="6"/>
  <c r="O139" i="6" s="1"/>
  <c r="G89" i="6"/>
  <c r="L88" i="6"/>
  <c r="D88" i="6"/>
  <c r="I87" i="6"/>
  <c r="O86" i="6"/>
  <c r="G86" i="6"/>
  <c r="L85" i="6"/>
  <c r="D85" i="6"/>
  <c r="I84" i="6"/>
  <c r="N83" i="6"/>
  <c r="F83" i="6"/>
  <c r="K82" i="6"/>
  <c r="H81" i="6"/>
  <c r="M80" i="6"/>
  <c r="E80" i="6"/>
  <c r="J79" i="6"/>
  <c r="O78" i="6"/>
  <c r="O128" i="6" s="1"/>
  <c r="G78" i="6"/>
  <c r="L77" i="6"/>
  <c r="D77" i="6"/>
  <c r="I76" i="6"/>
  <c r="I171" i="6" s="1"/>
  <c r="N75" i="6"/>
  <c r="F75" i="6"/>
  <c r="F171" i="6" s="1"/>
  <c r="K74" i="6"/>
  <c r="H73" i="6"/>
  <c r="M72" i="6"/>
  <c r="E72" i="6"/>
  <c r="J71" i="6"/>
  <c r="O70" i="6"/>
  <c r="G70" i="6"/>
  <c r="L69" i="6"/>
  <c r="D69" i="6"/>
  <c r="I66" i="6"/>
  <c r="I218" i="6" s="1"/>
  <c r="M65" i="6"/>
  <c r="F318" i="6" s="1"/>
  <c r="G133" i="1" s="1"/>
  <c r="E65" i="6"/>
  <c r="I64" i="6"/>
  <c r="N63" i="6"/>
  <c r="F63" i="6"/>
  <c r="K62" i="6"/>
  <c r="I61" i="6"/>
  <c r="N60" i="6"/>
  <c r="F60" i="6"/>
  <c r="K59" i="6"/>
  <c r="H58" i="6"/>
  <c r="M57" i="6"/>
  <c r="D23" i="2" s="1"/>
  <c r="E57" i="6"/>
  <c r="J56" i="6"/>
  <c r="J162" i="6" s="1"/>
  <c r="O55" i="6"/>
  <c r="G55" i="6"/>
  <c r="L54" i="6"/>
  <c r="D54" i="6"/>
  <c r="I53" i="6"/>
  <c r="N52" i="6"/>
  <c r="F52" i="6"/>
  <c r="K51" i="6"/>
  <c r="K159" i="6" s="1"/>
  <c r="H50" i="6"/>
  <c r="H159" i="6" s="1"/>
  <c r="M49" i="6"/>
  <c r="D13" i="2" s="1"/>
  <c r="E49" i="6"/>
  <c r="E157" i="6" s="1"/>
  <c r="J48" i="6"/>
  <c r="O47" i="6"/>
  <c r="G47" i="6"/>
  <c r="L46" i="6"/>
  <c r="L234" i="6" s="1"/>
  <c r="D46" i="6"/>
  <c r="I45" i="6"/>
  <c r="I234" i="6" s="1"/>
  <c r="N44" i="6"/>
  <c r="N156" i="6" s="1"/>
  <c r="F44" i="6"/>
  <c r="K41" i="6"/>
  <c r="O40" i="6"/>
  <c r="G40" i="6"/>
  <c r="K39" i="6"/>
  <c r="K139" i="6" s="1"/>
  <c r="O38" i="6"/>
  <c r="G38" i="6"/>
  <c r="G138" i="6" s="1"/>
  <c r="K37" i="6"/>
  <c r="K137" i="6" s="1"/>
  <c r="H36" i="6"/>
  <c r="H136" i="6" s="1"/>
  <c r="M35" i="6"/>
  <c r="E35" i="6"/>
  <c r="J34" i="6"/>
  <c r="J134" i="6" s="1"/>
  <c r="O33" i="6"/>
  <c r="G33" i="6"/>
  <c r="G133" i="6" s="1"/>
  <c r="L32" i="6"/>
  <c r="L132" i="6" s="1"/>
  <c r="D32" i="6"/>
  <c r="I31" i="6"/>
  <c r="N30" i="6"/>
  <c r="F30" i="6"/>
  <c r="K29" i="6"/>
  <c r="K129" i="6" s="1"/>
  <c r="H28" i="6"/>
  <c r="H128" i="6" s="1"/>
  <c r="M27" i="6"/>
  <c r="M127" i="6" s="1"/>
  <c r="E27" i="6"/>
  <c r="J26" i="6"/>
  <c r="J126" i="6" s="1"/>
  <c r="O25" i="6"/>
  <c r="G25" i="6"/>
  <c r="L24" i="6"/>
  <c r="D24" i="6"/>
  <c r="I23" i="6"/>
  <c r="N22" i="6"/>
  <c r="F22" i="6"/>
  <c r="F122" i="6" s="1"/>
  <c r="K21" i="6"/>
  <c r="K121" i="6" s="1"/>
  <c r="H20" i="6"/>
  <c r="M19" i="6"/>
  <c r="E19" i="6"/>
  <c r="E119" i="6" s="1"/>
  <c r="I116" i="6"/>
  <c r="I268" i="6" s="1"/>
  <c r="E115" i="6"/>
  <c r="N113" i="6"/>
  <c r="K112" i="6"/>
  <c r="I111" i="6"/>
  <c r="F110" i="6"/>
  <c r="M107" i="6"/>
  <c r="J106" i="6"/>
  <c r="G105" i="6"/>
  <c r="D104" i="6"/>
  <c r="N102" i="6"/>
  <c r="L101" i="6"/>
  <c r="M100" i="6"/>
  <c r="M99" i="6"/>
  <c r="L98" i="6"/>
  <c r="L181" i="6" s="1"/>
  <c r="N97" i="6"/>
  <c r="O96" i="6"/>
  <c r="G96" i="6"/>
  <c r="L95" i="6"/>
  <c r="D95" i="6"/>
  <c r="I94" i="6"/>
  <c r="I180" i="6" s="1"/>
  <c r="O19" i="6"/>
  <c r="N20" i="6"/>
  <c r="N21" i="6"/>
  <c r="M22" i="6"/>
  <c r="M122" i="6" s="1"/>
  <c r="M23" i="6"/>
  <c r="M123" i="6" s="1"/>
  <c r="C12" i="2" s="1"/>
  <c r="N24" i="6"/>
  <c r="M25" i="6"/>
  <c r="M125" i="6" s="1"/>
  <c r="M26" i="6"/>
  <c r="M126" i="6" s="1"/>
  <c r="C16" i="2" s="1"/>
  <c r="L27" i="6"/>
  <c r="L28" i="6"/>
  <c r="M29" i="6"/>
  <c r="L30" i="6"/>
  <c r="L31" i="6"/>
  <c r="L131" i="6" s="1"/>
  <c r="K32" i="6"/>
  <c r="K132" i="6" s="1"/>
  <c r="K33" i="6"/>
  <c r="K133" i="6" s="1"/>
  <c r="L34" i="6"/>
  <c r="L134" i="6" s="1"/>
  <c r="K35" i="6"/>
  <c r="K36" i="6"/>
  <c r="J37" i="6"/>
  <c r="K38" i="6"/>
  <c r="K138" i="6" s="1"/>
  <c r="M39" i="6"/>
  <c r="M139" i="6" s="1"/>
  <c r="M40" i="6"/>
  <c r="M140" i="6" s="1"/>
  <c r="E318" i="6" s="1"/>
  <c r="N41" i="6"/>
  <c r="F46" i="6"/>
  <c r="I47" i="6"/>
  <c r="L48" i="6"/>
  <c r="O49" i="6"/>
  <c r="E51" i="6"/>
  <c r="H52" i="6"/>
  <c r="H160" i="6" s="1"/>
  <c r="K53" i="6"/>
  <c r="N54" i="6"/>
  <c r="N162" i="6" s="1"/>
  <c r="D56" i="6"/>
  <c r="G57" i="6"/>
  <c r="J58" i="6"/>
  <c r="M59" i="6"/>
  <c r="D27" i="2" s="1"/>
  <c r="E62" i="6"/>
  <c r="H63" i="6"/>
  <c r="K64" i="6"/>
  <c r="O65" i="6"/>
  <c r="O218" i="6" s="1"/>
  <c r="G69" i="6"/>
  <c r="N70" i="6"/>
  <c r="N259" i="6" s="1"/>
  <c r="K72" i="6"/>
  <c r="F74" i="6"/>
  <c r="M75" i="6"/>
  <c r="M171" i="6" s="1"/>
  <c r="J77" i="6"/>
  <c r="J172" i="6" s="1"/>
  <c r="E79" i="6"/>
  <c r="L80" i="6"/>
  <c r="I82" i="6"/>
  <c r="D84" i="6"/>
  <c r="K85" i="6"/>
  <c r="G87" i="6"/>
  <c r="O88" i="6"/>
  <c r="O138" i="6" s="1"/>
  <c r="J90" i="6"/>
  <c r="J243" i="6" s="1"/>
  <c r="K101" i="6"/>
  <c r="H111" i="6"/>
  <c r="B567" i="6"/>
  <c r="B559" i="6"/>
  <c r="B551" i="6"/>
  <c r="B535" i="6"/>
  <c r="B549" i="6"/>
  <c r="B541" i="6"/>
  <c r="B533" i="6"/>
  <c r="B571" i="6"/>
  <c r="B547" i="6"/>
  <c r="B539" i="6"/>
  <c r="B570" i="6"/>
  <c r="B560" i="6"/>
  <c r="B548" i="6"/>
  <c r="B537" i="6"/>
  <c r="B569" i="6"/>
  <c r="B558" i="6"/>
  <c r="B556" i="6"/>
  <c r="B534" i="6"/>
  <c r="B532" i="6"/>
  <c r="B542" i="6"/>
  <c r="B562" i="6"/>
  <c r="B561" i="6"/>
  <c r="B538" i="6"/>
  <c r="B550" i="6"/>
  <c r="O20" i="6"/>
  <c r="O21" i="6"/>
  <c r="O23" i="6"/>
  <c r="O24" i="6"/>
  <c r="N25" i="6"/>
  <c r="N26" i="6"/>
  <c r="O27" i="6"/>
  <c r="N28" i="6"/>
  <c r="N29" i="6"/>
  <c r="M30" i="6"/>
  <c r="M130" i="6" s="1"/>
  <c r="C21" i="2" s="1"/>
  <c r="M31" i="6"/>
  <c r="N32" i="6"/>
  <c r="M33" i="6"/>
  <c r="M133" i="6" s="1"/>
  <c r="C25" i="2" s="1"/>
  <c r="M34" i="6"/>
  <c r="M134" i="6" s="1"/>
  <c r="C27" i="2" s="1"/>
  <c r="L35" i="6"/>
  <c r="L135" i="6" s="1"/>
  <c r="L36" i="6"/>
  <c r="L136" i="6" s="1"/>
  <c r="M37" i="6"/>
  <c r="M137" i="6" s="1"/>
  <c r="M38" i="6"/>
  <c r="N39" i="6"/>
  <c r="N40" i="6"/>
  <c r="O41" i="6"/>
  <c r="D45" i="6"/>
  <c r="G46" i="6"/>
  <c r="J47" i="6"/>
  <c r="M48" i="6"/>
  <c r="D12" i="2" s="1"/>
  <c r="F51" i="6"/>
  <c r="I52" i="6"/>
  <c r="L53" i="6"/>
  <c r="O54" i="6"/>
  <c r="E56" i="6"/>
  <c r="H57" i="6"/>
  <c r="K58" i="6"/>
  <c r="N59" i="6"/>
  <c r="D61" i="6"/>
  <c r="F62" i="6"/>
  <c r="I63" i="6"/>
  <c r="L64" i="6"/>
  <c r="D66" i="6"/>
  <c r="D218" i="6" s="1"/>
  <c r="J69" i="6"/>
  <c r="J168" i="6" s="1"/>
  <c r="E71" i="6"/>
  <c r="E259" i="6" s="1"/>
  <c r="L72" i="6"/>
  <c r="I74" i="6"/>
  <c r="D76" i="6"/>
  <c r="D171" i="6" s="1"/>
  <c r="K77" i="6"/>
  <c r="K172" i="6" s="1"/>
  <c r="H79" i="6"/>
  <c r="J82" i="6"/>
  <c r="G84" i="6"/>
  <c r="O85" i="6"/>
  <c r="O135" i="6" s="1"/>
  <c r="H87" i="6"/>
  <c r="E89" i="6"/>
  <c r="N90" i="6"/>
  <c r="N243" i="6" s="1"/>
  <c r="K95" i="6"/>
  <c r="M102" i="6"/>
  <c r="M184" i="6" s="1"/>
  <c r="J112" i="6"/>
  <c r="A491" i="6"/>
  <c r="B557" i="6"/>
  <c r="B563" i="6"/>
  <c r="B568" i="6"/>
  <c r="B552" i="6"/>
  <c r="A502" i="6"/>
  <c r="D19" i="6"/>
  <c r="D119" i="6" s="1"/>
  <c r="D20" i="6"/>
  <c r="D120" i="6" s="1"/>
  <c r="E21" i="6"/>
  <c r="E121" i="6" s="1"/>
  <c r="D22" i="6"/>
  <c r="D122" i="6" s="1"/>
  <c r="D23" i="6"/>
  <c r="D26" i="6"/>
  <c r="O28" i="6"/>
  <c r="O29" i="6"/>
  <c r="O31" i="6"/>
  <c r="O32" i="6"/>
  <c r="N33" i="6"/>
  <c r="N34" i="6"/>
  <c r="O35" i="6"/>
  <c r="N36" i="6"/>
  <c r="N37" i="6"/>
  <c r="N38" i="6"/>
  <c r="O39" i="6"/>
  <c r="E41" i="6"/>
  <c r="E141" i="6" s="1"/>
  <c r="D44" i="6"/>
  <c r="G45" i="6"/>
  <c r="J46" i="6"/>
  <c r="M47" i="6"/>
  <c r="F50" i="6"/>
  <c r="I51" i="6"/>
  <c r="L52" i="6"/>
  <c r="O53" i="6"/>
  <c r="E55" i="6"/>
  <c r="H56" i="6"/>
  <c r="K57" i="6"/>
  <c r="N58" i="6"/>
  <c r="D60" i="6"/>
  <c r="G61" i="6"/>
  <c r="I62" i="6"/>
  <c r="L63" i="6"/>
  <c r="O64" i="6"/>
  <c r="G66" i="6"/>
  <c r="G218" i="6" s="1"/>
  <c r="K69" i="6"/>
  <c r="H71" i="6"/>
  <c r="J74" i="6"/>
  <c r="G76" i="6"/>
  <c r="O77" i="6"/>
  <c r="O127" i="6" s="1"/>
  <c r="I79" i="6"/>
  <c r="F81" i="6"/>
  <c r="N82" i="6"/>
  <c r="N132" i="6" s="1"/>
  <c r="H84" i="6"/>
  <c r="E86" i="6"/>
  <c r="L87" i="6"/>
  <c r="F89" i="6"/>
  <c r="E91" i="6"/>
  <c r="F96" i="6"/>
  <c r="M113" i="6"/>
  <c r="K118" i="6"/>
  <c r="D121" i="6"/>
  <c r="O130" i="6"/>
  <c r="N135" i="6"/>
  <c r="F138" i="6"/>
  <c r="J121" i="6"/>
  <c r="I126" i="6"/>
  <c r="H131" i="6"/>
  <c r="N133" i="6"/>
  <c r="G136" i="6"/>
  <c r="L138" i="6"/>
  <c r="B644" i="6"/>
  <c r="D644" i="6" s="1"/>
  <c r="E644" i="6" s="1"/>
  <c r="D60" i="7" s="1"/>
  <c r="O440" i="6"/>
  <c r="O438" i="6"/>
  <c r="G438" i="6"/>
  <c r="O432" i="6"/>
  <c r="G432" i="6"/>
  <c r="N440" i="6"/>
  <c r="F440" i="6"/>
  <c r="N438" i="6"/>
  <c r="F438" i="6"/>
  <c r="N434" i="6"/>
  <c r="N436" i="6" s="1"/>
  <c r="F434" i="6"/>
  <c r="N432" i="6"/>
  <c r="F432" i="6"/>
  <c r="M438" i="6"/>
  <c r="E438" i="6"/>
  <c r="E434" i="6"/>
  <c r="M432" i="6"/>
  <c r="E432" i="6"/>
  <c r="L440" i="6"/>
  <c r="D440" i="6"/>
  <c r="L438" i="6"/>
  <c r="D438" i="6"/>
  <c r="D434" i="6"/>
  <c r="L432" i="6"/>
  <c r="D432" i="6"/>
  <c r="K440" i="6"/>
  <c r="K438" i="6"/>
  <c r="K434" i="6"/>
  <c r="K432" i="6"/>
  <c r="H432" i="6"/>
  <c r="J440" i="6"/>
  <c r="I440" i="6"/>
  <c r="J438" i="6"/>
  <c r="I438" i="6"/>
  <c r="I434" i="6"/>
  <c r="J432" i="6"/>
  <c r="H438" i="6"/>
  <c r="K295" i="6"/>
  <c r="O294" i="6"/>
  <c r="K293" i="6"/>
  <c r="O292" i="6"/>
  <c r="I432" i="6"/>
  <c r="E295" i="6"/>
  <c r="J293" i="6"/>
  <c r="M295" i="6"/>
  <c r="D295" i="6"/>
  <c r="I293" i="6"/>
  <c r="L295" i="6"/>
  <c r="J295" i="6"/>
  <c r="G293" i="6"/>
  <c r="I295" i="6"/>
  <c r="F295" i="6"/>
  <c r="N294" i="6"/>
  <c r="M293" i="6"/>
  <c r="L293" i="6"/>
  <c r="F293" i="6"/>
  <c r="H293" i="6"/>
  <c r="E293" i="6"/>
  <c r="H142" i="6"/>
  <c r="H295" i="6"/>
  <c r="D293" i="6"/>
  <c r="O142" i="6"/>
  <c r="L142" i="6"/>
  <c r="O141" i="6"/>
  <c r="F141" i="6"/>
  <c r="J140" i="6"/>
  <c r="N139" i="6"/>
  <c r="F139" i="6"/>
  <c r="N136" i="6"/>
  <c r="F136" i="6"/>
  <c r="K135" i="6"/>
  <c r="H134" i="6"/>
  <c r="E133" i="6"/>
  <c r="J132" i="6"/>
  <c r="O131" i="6"/>
  <c r="G131" i="6"/>
  <c r="L130" i="6"/>
  <c r="D130" i="6"/>
  <c r="I129" i="6"/>
  <c r="N128" i="6"/>
  <c r="F128" i="6"/>
  <c r="K127" i="6"/>
  <c r="H126" i="6"/>
  <c r="E125" i="6"/>
  <c r="J124" i="6"/>
  <c r="O123" i="6"/>
  <c r="G123" i="6"/>
  <c r="L122" i="6"/>
  <c r="I121" i="6"/>
  <c r="N120" i="6"/>
  <c r="F120" i="6"/>
  <c r="K119" i="6"/>
  <c r="H118" i="6"/>
  <c r="K142" i="6"/>
  <c r="N141" i="6"/>
  <c r="I140" i="6"/>
  <c r="E139" i="6"/>
  <c r="J138" i="6"/>
  <c r="O137" i="6"/>
  <c r="G137" i="6"/>
  <c r="O134" i="6"/>
  <c r="G134" i="6"/>
  <c r="L133" i="6"/>
  <c r="D133" i="6"/>
  <c r="N131" i="6"/>
  <c r="H129" i="6"/>
  <c r="M128" i="6"/>
  <c r="C18" i="2" s="1"/>
  <c r="E128" i="6"/>
  <c r="J127" i="6"/>
  <c r="O126" i="6"/>
  <c r="I124" i="6"/>
  <c r="N123" i="6"/>
  <c r="F123" i="6"/>
  <c r="K122" i="6"/>
  <c r="O118" i="6"/>
  <c r="G118" i="6"/>
  <c r="J142" i="6"/>
  <c r="M141" i="6"/>
  <c r="D141" i="6"/>
  <c r="I138" i="6"/>
  <c r="F137" i="6"/>
  <c r="D136" i="6"/>
  <c r="I135" i="6"/>
  <c r="F134" i="6"/>
  <c r="H132" i="6"/>
  <c r="M131" i="6"/>
  <c r="C22" i="2" s="1"/>
  <c r="E131" i="6"/>
  <c r="J130" i="6"/>
  <c r="O129" i="6"/>
  <c r="G129" i="6"/>
  <c r="L128" i="6"/>
  <c r="D128" i="6"/>
  <c r="I127" i="6"/>
  <c r="N126" i="6"/>
  <c r="F126" i="6"/>
  <c r="K125" i="6"/>
  <c r="H124" i="6"/>
  <c r="E123" i="6"/>
  <c r="J122" i="6"/>
  <c r="G121" i="6"/>
  <c r="L120" i="6"/>
  <c r="I119" i="6"/>
  <c r="N118" i="6"/>
  <c r="F118" i="6"/>
  <c r="N292" i="6"/>
  <c r="I142" i="6"/>
  <c r="K141" i="6"/>
  <c r="K193" i="6" s="1"/>
  <c r="G140" i="6"/>
  <c r="H138" i="6"/>
  <c r="E137" i="6"/>
  <c r="K136" i="6"/>
  <c r="H135" i="6"/>
  <c r="E134" i="6"/>
  <c r="J133" i="6"/>
  <c r="O132" i="6"/>
  <c r="G132" i="6"/>
  <c r="D131" i="6"/>
  <c r="I130" i="6"/>
  <c r="F129" i="6"/>
  <c r="K128" i="6"/>
  <c r="H127" i="6"/>
  <c r="E126" i="6"/>
  <c r="J125" i="6"/>
  <c r="G124" i="6"/>
  <c r="L123" i="6"/>
  <c r="I122" i="6"/>
  <c r="N121" i="6"/>
  <c r="F121" i="6"/>
  <c r="K120" i="6"/>
  <c r="H119" i="6"/>
  <c r="M118" i="6"/>
  <c r="E118" i="6"/>
  <c r="G142" i="6"/>
  <c r="J141" i="6"/>
  <c r="N140" i="6"/>
  <c r="F140" i="6"/>
  <c r="J139" i="6"/>
  <c r="L137" i="6"/>
  <c r="D137" i="6"/>
  <c r="J136" i="6"/>
  <c r="G135" i="6"/>
  <c r="D134" i="6"/>
  <c r="I133" i="6"/>
  <c r="F132" i="6"/>
  <c r="K131" i="6"/>
  <c r="H130" i="6"/>
  <c r="M129" i="6"/>
  <c r="E129" i="6"/>
  <c r="J128" i="6"/>
  <c r="G127" i="6"/>
  <c r="G148" i="6" s="1"/>
  <c r="L126" i="6"/>
  <c r="D126" i="6"/>
  <c r="I125" i="6"/>
  <c r="N124" i="6"/>
  <c r="F124" i="6"/>
  <c r="K123" i="6"/>
  <c r="H122" i="6"/>
  <c r="M121" i="6"/>
  <c r="C9" i="2" s="1"/>
  <c r="J120" i="6"/>
  <c r="O119" i="6"/>
  <c r="G119" i="6"/>
  <c r="L118" i="6"/>
  <c r="D118" i="6"/>
  <c r="N142" i="6"/>
  <c r="E142" i="6"/>
  <c r="H141" i="6"/>
  <c r="D140" i="6"/>
  <c r="H139" i="6"/>
  <c r="M138" i="6"/>
  <c r="E138" i="6"/>
  <c r="J137" i="6"/>
  <c r="M135" i="6"/>
  <c r="C29" i="2" s="1"/>
  <c r="E135" i="6"/>
  <c r="O133" i="6"/>
  <c r="I131" i="6"/>
  <c r="F130" i="6"/>
  <c r="O125" i="6"/>
  <c r="O147" i="6" s="1"/>
  <c r="G125" i="6"/>
  <c r="L124" i="6"/>
  <c r="D124" i="6"/>
  <c r="I123" i="6"/>
  <c r="N122" i="6"/>
  <c r="H120" i="6"/>
  <c r="M119" i="6"/>
  <c r="J118" i="6"/>
  <c r="L121" i="6"/>
  <c r="K126" i="6"/>
  <c r="J131" i="6"/>
  <c r="I136" i="6"/>
  <c r="I141" i="6"/>
  <c r="L119" i="6"/>
  <c r="E122" i="6"/>
  <c r="K124" i="6"/>
  <c r="D127" i="6"/>
  <c r="J129" i="6"/>
  <c r="I134" i="6"/>
  <c r="O136" i="6"/>
  <c r="G139" i="6"/>
  <c r="D142" i="6"/>
  <c r="G295" i="6"/>
  <c r="N119" i="6"/>
  <c r="G122" i="6"/>
  <c r="F127" i="6"/>
  <c r="L129" i="6"/>
  <c r="E132" i="6"/>
  <c r="I139" i="6"/>
  <c r="F142" i="6"/>
  <c r="G120" i="6"/>
  <c r="F125" i="6"/>
  <c r="L127" i="6"/>
  <c r="L148" i="6" s="1"/>
  <c r="E130" i="6"/>
  <c r="D135" i="6"/>
  <c r="I137" i="6"/>
  <c r="M142" i="6"/>
  <c r="E323" i="6" s="1"/>
  <c r="O122" i="6"/>
  <c r="M132" i="6"/>
  <c r="C23" i="2" s="1"/>
  <c r="E140" i="6"/>
  <c r="B521" i="6"/>
  <c r="B518" i="6"/>
  <c r="B517" i="6"/>
  <c r="B509" i="6"/>
  <c r="B506" i="6"/>
  <c r="B507" i="6"/>
  <c r="B508" i="6"/>
  <c r="C585" i="6"/>
  <c r="C588" i="6"/>
  <c r="B587" i="6"/>
  <c r="C586" i="6"/>
  <c r="C589" i="6"/>
  <c r="B589" i="6"/>
  <c r="B605" i="6"/>
  <c r="B607" i="6"/>
  <c r="C602" i="6"/>
  <c r="C605" i="6"/>
  <c r="C584" i="6"/>
  <c r="B602" i="6"/>
  <c r="C606" i="6"/>
  <c r="B606" i="6"/>
  <c r="B586" i="6"/>
  <c r="C607" i="6"/>
  <c r="C603" i="6"/>
  <c r="C587" i="6"/>
  <c r="B603" i="6"/>
  <c r="B604" i="6"/>
  <c r="B584" i="6"/>
  <c r="B588" i="6"/>
  <c r="E243" i="6" l="1"/>
  <c r="J434" i="6"/>
  <c r="F480" i="6"/>
  <c r="N181" i="6"/>
  <c r="E147" i="6"/>
  <c r="E436" i="6"/>
  <c r="E169" i="6"/>
  <c r="L172" i="6"/>
  <c r="E284" i="6"/>
  <c r="O184" i="6"/>
  <c r="E183" i="6"/>
  <c r="K441" i="6"/>
  <c r="K218" i="6"/>
  <c r="F448" i="6"/>
  <c r="I157" i="6"/>
  <c r="L162" i="6"/>
  <c r="M284" i="6"/>
  <c r="J461" i="6"/>
  <c r="O434" i="6"/>
  <c r="O436" i="6" s="1"/>
  <c r="K168" i="6"/>
  <c r="G168" i="6"/>
  <c r="M183" i="6"/>
  <c r="E184" i="6"/>
  <c r="I183" i="6"/>
  <c r="H268" i="6"/>
  <c r="F464" i="6"/>
  <c r="J435" i="6"/>
  <c r="G234" i="6"/>
  <c r="J157" i="6"/>
  <c r="F145" i="6"/>
  <c r="P27" i="6"/>
  <c r="F466" i="6"/>
  <c r="F481" i="6"/>
  <c r="T63" i="4"/>
  <c r="T64" i="4" s="1"/>
  <c r="U63" i="4"/>
  <c r="U64" i="4" s="1"/>
  <c r="R63" i="4"/>
  <c r="R64" i="4" s="1"/>
  <c r="N184" i="6"/>
  <c r="K230" i="6"/>
  <c r="O169" i="6"/>
  <c r="E440" i="6"/>
  <c r="G440" i="6"/>
  <c r="H434" i="6"/>
  <c r="H440" i="6"/>
  <c r="H442" i="6" s="1"/>
  <c r="F479" i="6"/>
  <c r="O435" i="6"/>
  <c r="O437" i="6" s="1"/>
  <c r="F472" i="6"/>
  <c r="J478" i="6"/>
  <c r="H441" i="6"/>
  <c r="H443" i="6" s="1"/>
  <c r="J481" i="6"/>
  <c r="J482" i="6"/>
  <c r="H209" i="6"/>
  <c r="H193" i="6"/>
  <c r="L209" i="6"/>
  <c r="M440" i="6"/>
  <c r="F478" i="6"/>
  <c r="F469" i="6"/>
  <c r="J462" i="6"/>
  <c r="G183" i="6"/>
  <c r="F150" i="6"/>
  <c r="H174" i="6"/>
  <c r="G157" i="6"/>
  <c r="N160" i="6"/>
  <c r="N167" i="6"/>
  <c r="O168" i="6"/>
  <c r="O243" i="6"/>
  <c r="F461" i="6"/>
  <c r="F468" i="6"/>
  <c r="G209" i="6"/>
  <c r="G145" i="6"/>
  <c r="K284" i="6"/>
  <c r="F467" i="6"/>
  <c r="F453" i="6"/>
  <c r="G311" i="6"/>
  <c r="F451" i="6"/>
  <c r="M435" i="6"/>
  <c r="M437" i="6" s="1"/>
  <c r="J209" i="6"/>
  <c r="N127" i="6"/>
  <c r="I147" i="6"/>
  <c r="P23" i="6"/>
  <c r="L169" i="6"/>
  <c r="G162" i="6"/>
  <c r="G284" i="6"/>
  <c r="F476" i="6"/>
  <c r="H435" i="6"/>
  <c r="N435" i="6"/>
  <c r="N437" i="6" s="1"/>
  <c r="N441" i="6"/>
  <c r="N443" i="6" s="1"/>
  <c r="E442" i="6"/>
  <c r="J145" i="6"/>
  <c r="O145" i="6"/>
  <c r="L150" i="6"/>
  <c r="N193" i="6"/>
  <c r="I209" i="6"/>
  <c r="D193" i="6"/>
  <c r="L193" i="6"/>
  <c r="I222" i="6"/>
  <c r="P30" i="6"/>
  <c r="I223" i="6"/>
  <c r="J259" i="6"/>
  <c r="J180" i="6"/>
  <c r="M256" i="6"/>
  <c r="P48" i="6"/>
  <c r="P53" i="6"/>
  <c r="J167" i="6"/>
  <c r="F259" i="6"/>
  <c r="N180" i="6"/>
  <c r="I181" i="6"/>
  <c r="J181" i="6"/>
  <c r="F183" i="6"/>
  <c r="F458" i="6"/>
  <c r="L399" i="6"/>
  <c r="J450" i="6"/>
  <c r="F449" i="6"/>
  <c r="J475" i="6"/>
  <c r="J470" i="6"/>
  <c r="J452" i="6"/>
  <c r="B413" i="6"/>
  <c r="D160" i="6"/>
  <c r="K436" i="6"/>
  <c r="D442" i="6"/>
  <c r="E127" i="6"/>
  <c r="E148" i="6" s="1"/>
  <c r="G193" i="6"/>
  <c r="K147" i="6"/>
  <c r="M193" i="6"/>
  <c r="F159" i="6"/>
  <c r="K169" i="6"/>
  <c r="P83" i="6"/>
  <c r="H301" i="6"/>
  <c r="N157" i="6"/>
  <c r="L398" i="6"/>
  <c r="F456" i="6"/>
  <c r="L401" i="6"/>
  <c r="J473" i="6"/>
  <c r="L357" i="6"/>
  <c r="L406" i="6"/>
  <c r="J459" i="6"/>
  <c r="B377" i="6"/>
  <c r="F311" i="6"/>
  <c r="G312" i="6"/>
  <c r="P34" i="6"/>
  <c r="L400" i="6"/>
  <c r="L397" i="6"/>
  <c r="J471" i="6"/>
  <c r="L350" i="6"/>
  <c r="J457" i="6"/>
  <c r="F460" i="6"/>
  <c r="J480" i="6"/>
  <c r="J458" i="6"/>
  <c r="L407" i="6"/>
  <c r="L371" i="6"/>
  <c r="V63" i="3"/>
  <c r="V64" i="3" s="1"/>
  <c r="P32" i="6"/>
  <c r="E168" i="6"/>
  <c r="E255" i="6" s="1"/>
  <c r="M186" i="6"/>
  <c r="L157" i="6"/>
  <c r="O186" i="6"/>
  <c r="N283" i="6"/>
  <c r="F475" i="6"/>
  <c r="L382" i="6"/>
  <c r="F447" i="6"/>
  <c r="L360" i="6"/>
  <c r="L369" i="6"/>
  <c r="F209" i="6"/>
  <c r="O193" i="6"/>
  <c r="F162" i="6"/>
  <c r="L386" i="6"/>
  <c r="O443" i="6"/>
  <c r="L394" i="6"/>
  <c r="L384" i="6"/>
  <c r="F470" i="6"/>
  <c r="F482" i="6"/>
  <c r="V66" i="3" s="1"/>
  <c r="K443" i="6"/>
  <c r="L408" i="6"/>
  <c r="J464" i="6"/>
  <c r="J468" i="6"/>
  <c r="J477" i="6"/>
  <c r="L404" i="6"/>
  <c r="L442" i="6"/>
  <c r="P80" i="6"/>
  <c r="P31" i="6"/>
  <c r="P36" i="6"/>
  <c r="F462" i="6"/>
  <c r="F454" i="6"/>
  <c r="L361" i="6"/>
  <c r="L390" i="6"/>
  <c r="L364" i="6"/>
  <c r="L362" i="6"/>
  <c r="J479" i="6"/>
  <c r="L354" i="6"/>
  <c r="L372" i="6"/>
  <c r="J449" i="6"/>
  <c r="L351" i="6"/>
  <c r="S63" i="3"/>
  <c r="S64" i="3" s="1"/>
  <c r="K150" i="6"/>
  <c r="O442" i="6"/>
  <c r="N281" i="6"/>
  <c r="H147" i="6"/>
  <c r="I193" i="6"/>
  <c r="H145" i="6"/>
  <c r="K148" i="6"/>
  <c r="F314" i="6"/>
  <c r="P28" i="6"/>
  <c r="M174" i="6"/>
  <c r="M257" i="6" s="1"/>
  <c r="G243" i="6"/>
  <c r="H312" i="6"/>
  <c r="K181" i="6"/>
  <c r="F463" i="6"/>
  <c r="L356" i="6"/>
  <c r="L349" i="6"/>
  <c r="B512" i="6" s="1"/>
  <c r="F474" i="6"/>
  <c r="J474" i="6"/>
  <c r="J465" i="6"/>
  <c r="L389" i="6"/>
  <c r="L405" i="6"/>
  <c r="J463" i="6"/>
  <c r="R63" i="3"/>
  <c r="R64" i="3" s="1"/>
  <c r="H436" i="6"/>
  <c r="I442" i="6"/>
  <c r="O162" i="6"/>
  <c r="O232" i="6" s="1"/>
  <c r="O179" i="6"/>
  <c r="M255" i="6"/>
  <c r="L396" i="6"/>
  <c r="G435" i="6"/>
  <c r="G437" i="6" s="1"/>
  <c r="J451" i="6"/>
  <c r="L385" i="6"/>
  <c r="J466" i="6"/>
  <c r="J456" i="6"/>
  <c r="L368" i="6"/>
  <c r="J454" i="6"/>
  <c r="J469" i="6"/>
  <c r="F477" i="6"/>
  <c r="L403" i="6"/>
  <c r="L59" i="4"/>
  <c r="B522" i="6"/>
  <c r="M155" i="6"/>
  <c r="G16" i="2"/>
  <c r="E16" i="2"/>
  <c r="F16" i="2" s="1"/>
  <c r="H16" i="2"/>
  <c r="K155" i="6"/>
  <c r="N318" i="6"/>
  <c r="O133" i="1" s="1"/>
  <c r="J318" i="6"/>
  <c r="I133" i="1" s="1"/>
  <c r="M318" i="6"/>
  <c r="N133" i="1" s="1"/>
  <c r="I318" i="6"/>
  <c r="H133" i="1" s="1"/>
  <c r="F133" i="1"/>
  <c r="H235" i="6"/>
  <c r="H158" i="6"/>
  <c r="H233" i="6"/>
  <c r="O512" i="6"/>
  <c r="E512" i="6"/>
  <c r="E312" i="6"/>
  <c r="O170" i="6"/>
  <c r="O260" i="6"/>
  <c r="G319" i="6"/>
  <c r="E144" i="6"/>
  <c r="E206" i="6" s="1"/>
  <c r="F315" i="6"/>
  <c r="N323" i="6"/>
  <c r="O138" i="1" s="1"/>
  <c r="K323" i="6"/>
  <c r="K138" i="1" s="1"/>
  <c r="M323" i="6"/>
  <c r="N138" i="1" s="1"/>
  <c r="L323" i="6"/>
  <c r="L138" i="1" s="1"/>
  <c r="I323" i="6"/>
  <c r="H138" i="1" s="1"/>
  <c r="J323" i="6"/>
  <c r="I138" i="1" s="1"/>
  <c r="F138" i="1"/>
  <c r="K260" i="6"/>
  <c r="K170" i="6"/>
  <c r="I285" i="6"/>
  <c r="I182" i="6"/>
  <c r="J156" i="6"/>
  <c r="J230" i="6" s="1"/>
  <c r="D159" i="6"/>
  <c r="P50" i="6"/>
  <c r="R15" i="2"/>
  <c r="K15" i="2"/>
  <c r="P73" i="6"/>
  <c r="F179" i="6"/>
  <c r="G180" i="6"/>
  <c r="I280" i="6"/>
  <c r="L183" i="6"/>
  <c r="E268" i="6"/>
  <c r="N268" i="6"/>
  <c r="D184" i="6"/>
  <c r="P102" i="6"/>
  <c r="I191" i="6"/>
  <c r="K162" i="6"/>
  <c r="K232" i="6" s="1"/>
  <c r="P49" i="6"/>
  <c r="N397" i="6"/>
  <c r="N349" i="6"/>
  <c r="N385" i="6"/>
  <c r="N386" i="6"/>
  <c r="N401" i="6"/>
  <c r="I385" i="6"/>
  <c r="F20" i="3"/>
  <c r="L58" i="3"/>
  <c r="I360" i="6"/>
  <c r="I394" i="6"/>
  <c r="I350" i="6"/>
  <c r="I397" i="6"/>
  <c r="L387" i="6"/>
  <c r="B378" i="6"/>
  <c r="I405" i="6"/>
  <c r="L56" i="4"/>
  <c r="L391" i="6"/>
  <c r="I399" i="6"/>
  <c r="L452" i="6"/>
  <c r="N464" i="6"/>
  <c r="K464" i="6"/>
  <c r="M464" i="6"/>
  <c r="I408" i="6"/>
  <c r="N455" i="6"/>
  <c r="M455" i="6"/>
  <c r="K455" i="6"/>
  <c r="N465" i="6"/>
  <c r="K465" i="6"/>
  <c r="M465" i="6"/>
  <c r="L477" i="6"/>
  <c r="L473" i="6"/>
  <c r="L466" i="6"/>
  <c r="L474" i="6"/>
  <c r="M474" i="6"/>
  <c r="K474" i="6"/>
  <c r="N474" i="6"/>
  <c r="M482" i="6"/>
  <c r="K482" i="6"/>
  <c r="N482" i="6"/>
  <c r="M481" i="6"/>
  <c r="N481" i="6"/>
  <c r="K481" i="6"/>
  <c r="L510" i="6"/>
  <c r="H510" i="6"/>
  <c r="O510" i="6"/>
  <c r="I283" i="6"/>
  <c r="E170" i="6"/>
  <c r="E260" i="6"/>
  <c r="G23" i="2"/>
  <c r="H23" i="2"/>
  <c r="E23" i="2"/>
  <c r="F23" i="2" s="1"/>
  <c r="N144" i="6"/>
  <c r="G27" i="2"/>
  <c r="E27" i="2"/>
  <c r="F27" i="2" s="1"/>
  <c r="H27" i="2"/>
  <c r="G155" i="6"/>
  <c r="L145" i="6"/>
  <c r="P22" i="6"/>
  <c r="N232" i="6"/>
  <c r="D284" i="6"/>
  <c r="P95" i="6"/>
  <c r="K191" i="6"/>
  <c r="H230" i="6"/>
  <c r="D168" i="6"/>
  <c r="P69" i="6"/>
  <c r="J174" i="6"/>
  <c r="J257" i="6" s="1"/>
  <c r="P85" i="6"/>
  <c r="O181" i="6"/>
  <c r="O273" i="6" s="1"/>
  <c r="P29" i="6"/>
  <c r="L167" i="6"/>
  <c r="M260" i="6"/>
  <c r="G171" i="6"/>
  <c r="G255" i="6" s="1"/>
  <c r="F186" i="6"/>
  <c r="O284" i="6"/>
  <c r="E234" i="6"/>
  <c r="L159" i="6"/>
  <c r="E218" i="6"/>
  <c r="F174" i="6"/>
  <c r="H181" i="6"/>
  <c r="P25" i="6"/>
  <c r="I172" i="6"/>
  <c r="N179" i="6"/>
  <c r="O180" i="6"/>
  <c r="E191" i="6"/>
  <c r="K183" i="6"/>
  <c r="P111" i="6"/>
  <c r="M268" i="6"/>
  <c r="H191" i="6"/>
  <c r="E181" i="6"/>
  <c r="L184" i="6"/>
  <c r="H437" i="6"/>
  <c r="J437" i="6"/>
  <c r="J183" i="6"/>
  <c r="J280" i="6" s="1"/>
  <c r="E156" i="6"/>
  <c r="E233" i="6" s="1"/>
  <c r="N371" i="6"/>
  <c r="N354" i="6"/>
  <c r="N350" i="6"/>
  <c r="N403" i="6"/>
  <c r="N361" i="6"/>
  <c r="N404" i="6"/>
  <c r="N398" i="6"/>
  <c r="B410" i="6"/>
  <c r="E20" i="4"/>
  <c r="I356" i="6"/>
  <c r="I353" i="6"/>
  <c r="L58" i="4"/>
  <c r="F20" i="4"/>
  <c r="L61" i="4"/>
  <c r="L383" i="6"/>
  <c r="I391" i="6"/>
  <c r="L457" i="6"/>
  <c r="Q63" i="3"/>
  <c r="N457" i="6"/>
  <c r="M457" i="6"/>
  <c r="K457" i="6"/>
  <c r="L465" i="6"/>
  <c r="L447" i="6"/>
  <c r="L456" i="6"/>
  <c r="J472" i="6"/>
  <c r="N473" i="6"/>
  <c r="K473" i="6"/>
  <c r="M473" i="6"/>
  <c r="O511" i="6"/>
  <c r="H511" i="6"/>
  <c r="L511" i="6"/>
  <c r="I155" i="6"/>
  <c r="J155" i="6"/>
  <c r="O517" i="6"/>
  <c r="L517" i="6"/>
  <c r="H517" i="6"/>
  <c r="E145" i="6"/>
  <c r="G197" i="6" s="1"/>
  <c r="P134" i="6"/>
  <c r="Q27" i="2"/>
  <c r="J27" i="2"/>
  <c r="H144" i="6"/>
  <c r="F155" i="6"/>
  <c r="M442" i="6"/>
  <c r="D156" i="6"/>
  <c r="P44" i="6"/>
  <c r="R7" i="2"/>
  <c r="K7" i="2"/>
  <c r="J260" i="6"/>
  <c r="E174" i="6"/>
  <c r="E257" i="6" s="1"/>
  <c r="L284" i="6"/>
  <c r="P46" i="6"/>
  <c r="R9" i="2"/>
  <c r="K9" i="2"/>
  <c r="K167" i="6"/>
  <c r="L168" i="6"/>
  <c r="O160" i="6"/>
  <c r="O231" i="6" s="1"/>
  <c r="H259" i="6"/>
  <c r="O255" i="6"/>
  <c r="K180" i="6"/>
  <c r="K271" i="6" s="1"/>
  <c r="K186" i="6"/>
  <c r="M234" i="6"/>
  <c r="D8" i="2"/>
  <c r="M218" i="6"/>
  <c r="N174" i="6"/>
  <c r="I162" i="6"/>
  <c r="J169" i="6"/>
  <c r="J170" i="6" s="1"/>
  <c r="P78" i="6"/>
  <c r="J284" i="6"/>
  <c r="H184" i="6"/>
  <c r="L268" i="6"/>
  <c r="G191" i="6"/>
  <c r="K184" i="6"/>
  <c r="M181" i="6"/>
  <c r="M273" i="6" s="1"/>
  <c r="H322" i="6" s="1"/>
  <c r="M129" i="1" s="1"/>
  <c r="E435" i="6"/>
  <c r="E437" i="6" s="1"/>
  <c r="H180" i="6"/>
  <c r="J271" i="6" s="1"/>
  <c r="E160" i="6"/>
  <c r="R17" i="2"/>
  <c r="K17" i="2"/>
  <c r="P75" i="6"/>
  <c r="K234" i="6"/>
  <c r="P72" i="6"/>
  <c r="N391" i="6"/>
  <c r="N393" i="6"/>
  <c r="N382" i="6"/>
  <c r="N347" i="6"/>
  <c r="N357" i="6"/>
  <c r="N405" i="6"/>
  <c r="L365" i="6"/>
  <c r="F301" i="6"/>
  <c r="F325" i="6" s="1"/>
  <c r="G112" i="1" s="1"/>
  <c r="L346" i="6"/>
  <c r="B415" i="6"/>
  <c r="L355" i="6"/>
  <c r="I363" i="6"/>
  <c r="B379" i="6"/>
  <c r="B374" i="6"/>
  <c r="E20" i="3"/>
  <c r="I404" i="6"/>
  <c r="I370" i="6"/>
  <c r="I392" i="6"/>
  <c r="I351" i="6"/>
  <c r="L56" i="3"/>
  <c r="N448" i="6"/>
  <c r="M448" i="6"/>
  <c r="K448" i="6"/>
  <c r="B412" i="6"/>
  <c r="K447" i="6"/>
  <c r="N447" i="6"/>
  <c r="M447" i="6"/>
  <c r="F459" i="6"/>
  <c r="L453" i="6"/>
  <c r="F450" i="6"/>
  <c r="L458" i="6"/>
  <c r="K466" i="6"/>
  <c r="N466" i="6"/>
  <c r="M466" i="6"/>
  <c r="K470" i="6"/>
  <c r="N470" i="6"/>
  <c r="M470" i="6"/>
  <c r="N461" i="6"/>
  <c r="M461" i="6"/>
  <c r="K461" i="6"/>
  <c r="S63" i="4"/>
  <c r="S64" i="4" s="1"/>
  <c r="M467" i="6"/>
  <c r="N467" i="6"/>
  <c r="K467" i="6"/>
  <c r="J455" i="6"/>
  <c r="M480" i="6"/>
  <c r="K480" i="6"/>
  <c r="N480" i="6"/>
  <c r="N468" i="6"/>
  <c r="M468" i="6"/>
  <c r="K468" i="6"/>
  <c r="L476" i="6"/>
  <c r="L475" i="6"/>
  <c r="G9" i="2"/>
  <c r="H9" i="2"/>
  <c r="E9" i="2"/>
  <c r="F9" i="2" s="1"/>
  <c r="D209" i="6"/>
  <c r="J8" i="2"/>
  <c r="P136" i="6"/>
  <c r="M209" i="6"/>
  <c r="C8" i="2"/>
  <c r="P122" i="6"/>
  <c r="Q11" i="2"/>
  <c r="J11" i="2"/>
  <c r="G260" i="6"/>
  <c r="G170" i="6"/>
  <c r="D221" i="6"/>
  <c r="D167" i="6"/>
  <c r="M191" i="6"/>
  <c r="H520" i="6"/>
  <c r="O520" i="6"/>
  <c r="L520" i="6"/>
  <c r="D132" i="6"/>
  <c r="O148" i="6"/>
  <c r="N150" i="6"/>
  <c r="N207" i="6" s="1"/>
  <c r="H508" i="6"/>
  <c r="O508" i="6"/>
  <c r="L508" i="6"/>
  <c r="P135" i="6"/>
  <c r="Q29" i="2"/>
  <c r="J29" i="2"/>
  <c r="P118" i="6"/>
  <c r="G22" i="2"/>
  <c r="E22" i="2"/>
  <c r="F22" i="2" s="1"/>
  <c r="H22" i="2"/>
  <c r="K145" i="6"/>
  <c r="J148" i="6"/>
  <c r="P133" i="6"/>
  <c r="Q25" i="2"/>
  <c r="J25" i="2"/>
  <c r="O155" i="6"/>
  <c r="G25" i="2"/>
  <c r="E25" i="2"/>
  <c r="F25" i="2" s="1"/>
  <c r="H25" i="2"/>
  <c r="J442" i="6"/>
  <c r="M272" i="6"/>
  <c r="H321" i="6" s="1"/>
  <c r="M128" i="1" s="1"/>
  <c r="L518" i="6"/>
  <c r="O518" i="6"/>
  <c r="H518" i="6"/>
  <c r="N148" i="6"/>
  <c r="L144" i="6"/>
  <c r="L208" i="6" s="1"/>
  <c r="N145" i="6"/>
  <c r="M148" i="6"/>
  <c r="C17" i="2"/>
  <c r="E150" i="6"/>
  <c r="E207" i="6" s="1"/>
  <c r="K209" i="6"/>
  <c r="J147" i="6"/>
  <c r="P131" i="6"/>
  <c r="Q22" i="2"/>
  <c r="J22" i="2"/>
  <c r="I148" i="6"/>
  <c r="N155" i="6"/>
  <c r="I150" i="6"/>
  <c r="F442" i="6"/>
  <c r="I174" i="6"/>
  <c r="P20" i="6"/>
  <c r="J191" i="6"/>
  <c r="D234" i="6"/>
  <c r="P45" i="6"/>
  <c r="K8" i="2"/>
  <c r="R8" i="2"/>
  <c r="J256" i="6"/>
  <c r="H231" i="6"/>
  <c r="D186" i="6"/>
  <c r="P104" i="6"/>
  <c r="F160" i="6"/>
  <c r="G259" i="6"/>
  <c r="N171" i="6"/>
  <c r="N125" i="6"/>
  <c r="N147" i="6" s="1"/>
  <c r="N205" i="6" s="1"/>
  <c r="G258" i="6"/>
  <c r="P109" i="6"/>
  <c r="P59" i="6"/>
  <c r="R27" i="2"/>
  <c r="K27" i="2"/>
  <c r="P82" i="6"/>
  <c r="J179" i="6"/>
  <c r="F284" i="6"/>
  <c r="D174" i="6"/>
  <c r="P79" i="6"/>
  <c r="F181" i="6"/>
  <c r="E180" i="6"/>
  <c r="G167" i="6"/>
  <c r="H168" i="6"/>
  <c r="H255" i="6" s="1"/>
  <c r="K243" i="6"/>
  <c r="K235" i="6"/>
  <c r="P55" i="6"/>
  <c r="R21" i="2"/>
  <c r="K21" i="2"/>
  <c r="F218" i="6"/>
  <c r="K273" i="6"/>
  <c r="F191" i="6"/>
  <c r="J184" i="6"/>
  <c r="J281" i="6" s="1"/>
  <c r="P108" i="6"/>
  <c r="O191" i="6"/>
  <c r="C137" i="6"/>
  <c r="C87" i="6"/>
  <c r="C62" i="6"/>
  <c r="K272" i="6"/>
  <c r="M443" i="6"/>
  <c r="J443" i="6"/>
  <c r="G172" i="6"/>
  <c r="G256" i="6" s="1"/>
  <c r="O159" i="6"/>
  <c r="O230" i="6" s="1"/>
  <c r="J258" i="6"/>
  <c r="M160" i="6"/>
  <c r="D169" i="6"/>
  <c r="E247" i="6" s="1"/>
  <c r="L156" i="6"/>
  <c r="N406" i="6"/>
  <c r="N364" i="6"/>
  <c r="N355" i="6"/>
  <c r="N353" i="6"/>
  <c r="N363" i="6"/>
  <c r="N358" i="6"/>
  <c r="N408" i="6"/>
  <c r="N370" i="6"/>
  <c r="I372" i="6"/>
  <c r="L358" i="6"/>
  <c r="L393" i="6"/>
  <c r="I347" i="6"/>
  <c r="I367" i="6"/>
  <c r="L61" i="3"/>
  <c r="L370" i="6"/>
  <c r="E313" i="6"/>
  <c r="L62" i="3"/>
  <c r="I361" i="6"/>
  <c r="L55" i="3"/>
  <c r="I396" i="6"/>
  <c r="L455" i="6"/>
  <c r="L392" i="6"/>
  <c r="I400" i="6"/>
  <c r="L450" i="6"/>
  <c r="I362" i="6"/>
  <c r="I384" i="6"/>
  <c r="L468" i="6"/>
  <c r="N454" i="6"/>
  <c r="M454" i="6"/>
  <c r="K454" i="6"/>
  <c r="M476" i="6"/>
  <c r="K476" i="6"/>
  <c r="N476" i="6"/>
  <c r="J447" i="6"/>
  <c r="N449" i="6"/>
  <c r="M449" i="6"/>
  <c r="K449" i="6"/>
  <c r="N458" i="6"/>
  <c r="M458" i="6"/>
  <c r="K458" i="6"/>
  <c r="L462" i="6"/>
  <c r="L481" i="6"/>
  <c r="K475" i="6"/>
  <c r="M475" i="6"/>
  <c r="N475" i="6"/>
  <c r="V63" i="4"/>
  <c r="V64" i="4" s="1"/>
  <c r="H507" i="6"/>
  <c r="O507" i="6"/>
  <c r="L507" i="6"/>
  <c r="H205" i="6"/>
  <c r="F144" i="6"/>
  <c r="F207" i="6" s="1"/>
  <c r="H198" i="6"/>
  <c r="G144" i="6"/>
  <c r="M150" i="6"/>
  <c r="C20" i="2"/>
  <c r="E155" i="6"/>
  <c r="P128" i="6"/>
  <c r="Q18" i="2"/>
  <c r="J18" i="2"/>
  <c r="G18" i="2"/>
  <c r="E18" i="2"/>
  <c r="F18" i="2" s="1"/>
  <c r="H18" i="2"/>
  <c r="K144" i="6"/>
  <c r="K206" i="6" s="1"/>
  <c r="P130" i="6"/>
  <c r="Q21" i="2"/>
  <c r="S21" i="2" s="1"/>
  <c r="T21" i="2" s="1"/>
  <c r="J21" i="2"/>
  <c r="F193" i="6"/>
  <c r="J436" i="6"/>
  <c r="D436" i="6"/>
  <c r="N442" i="6"/>
  <c r="G442" i="6"/>
  <c r="O172" i="6"/>
  <c r="O256" i="6" s="1"/>
  <c r="I167" i="6"/>
  <c r="L160" i="6"/>
  <c r="B631" i="6"/>
  <c r="D631" i="6" s="1"/>
  <c r="E631" i="6" s="1"/>
  <c r="P19" i="6"/>
  <c r="E221" i="6"/>
  <c r="E167" i="6"/>
  <c r="P24" i="6"/>
  <c r="N231" i="6"/>
  <c r="O259" i="6"/>
  <c r="O120" i="6"/>
  <c r="O209" i="6" s="1"/>
  <c r="O258" i="6"/>
  <c r="E162" i="6"/>
  <c r="E232" i="6" s="1"/>
  <c r="J223" i="6"/>
  <c r="F169" i="6"/>
  <c r="G247" i="6" s="1"/>
  <c r="E256" i="6"/>
  <c r="N284" i="6"/>
  <c r="F168" i="6"/>
  <c r="F256" i="6" s="1"/>
  <c r="L174" i="6"/>
  <c r="P98" i="6"/>
  <c r="P107" i="6"/>
  <c r="M180" i="6"/>
  <c r="O271" i="6" s="1"/>
  <c r="C191" i="6"/>
  <c r="K157" i="6"/>
  <c r="J160" i="6"/>
  <c r="J231" i="6" s="1"/>
  <c r="P58" i="6"/>
  <c r="R25" i="2"/>
  <c r="K25" i="2"/>
  <c r="O167" i="6"/>
  <c r="K259" i="6"/>
  <c r="J171" i="6"/>
  <c r="J255" i="6" s="1"/>
  <c r="P81" i="6"/>
  <c r="K258" i="6"/>
  <c r="F180" i="6"/>
  <c r="F281" i="6" s="1"/>
  <c r="H183" i="6"/>
  <c r="H280" i="6" s="1"/>
  <c r="F234" i="6"/>
  <c r="E159" i="6"/>
  <c r="E230" i="6" s="1"/>
  <c r="N218" i="6"/>
  <c r="G174" i="6"/>
  <c r="G257" i="6" s="1"/>
  <c r="L248" i="6"/>
  <c r="N186" i="6"/>
  <c r="N282" i="6" s="1"/>
  <c r="I184" i="6"/>
  <c r="I281" i="6" s="1"/>
  <c r="N191" i="6"/>
  <c r="J272" i="6"/>
  <c r="J186" i="6"/>
  <c r="J282" i="6" s="1"/>
  <c r="P110" i="6"/>
  <c r="C139" i="6"/>
  <c r="C89" i="6"/>
  <c r="C64" i="6"/>
  <c r="L437" i="6"/>
  <c r="L255" i="6"/>
  <c r="E319" i="6"/>
  <c r="G318" i="6"/>
  <c r="J133" i="1" s="1"/>
  <c r="N387" i="6"/>
  <c r="N400" i="6"/>
  <c r="N396" i="6"/>
  <c r="N356" i="6"/>
  <c r="N383" i="6"/>
  <c r="N367" i="6"/>
  <c r="N407" i="6"/>
  <c r="E311" i="6"/>
  <c r="G301" i="6"/>
  <c r="L348" i="6"/>
  <c r="I383" i="6"/>
  <c r="M20" i="3"/>
  <c r="I364" i="6"/>
  <c r="L353" i="6"/>
  <c r="I401" i="6"/>
  <c r="L467" i="6"/>
  <c r="U63" i="3"/>
  <c r="U64" i="3" s="1"/>
  <c r="N456" i="6"/>
  <c r="M456" i="6"/>
  <c r="K456" i="6"/>
  <c r="L448" i="6"/>
  <c r="L459" i="6"/>
  <c r="L454" i="6"/>
  <c r="L469" i="6"/>
  <c r="F457" i="6"/>
  <c r="F465" i="6"/>
  <c r="F473" i="6"/>
  <c r="L470" i="6"/>
  <c r="N478" i="6"/>
  <c r="K478" i="6"/>
  <c r="M478" i="6"/>
  <c r="M477" i="6"/>
  <c r="K477" i="6"/>
  <c r="N477" i="6"/>
  <c r="Q63" i="4"/>
  <c r="P127" i="6"/>
  <c r="D148" i="6"/>
  <c r="Q17" i="2"/>
  <c r="J17" i="2"/>
  <c r="P121" i="6"/>
  <c r="Q9" i="2"/>
  <c r="S9" i="2" s="1"/>
  <c r="T9" i="2" s="1"/>
  <c r="J9" i="2"/>
  <c r="P56" i="6"/>
  <c r="K22" i="2"/>
  <c r="R22" i="2"/>
  <c r="N158" i="6"/>
  <c r="N235" i="6"/>
  <c r="P35" i="6"/>
  <c r="O157" i="6"/>
  <c r="D172" i="6"/>
  <c r="P77" i="6"/>
  <c r="I179" i="6"/>
  <c r="J285" i="6"/>
  <c r="J182" i="6"/>
  <c r="J283" i="6"/>
  <c r="P21" i="6"/>
  <c r="G156" i="6"/>
  <c r="G232" i="6" s="1"/>
  <c r="M162" i="6"/>
  <c r="D20" i="2"/>
  <c r="N168" i="6"/>
  <c r="H284" i="6"/>
  <c r="K12" i="2"/>
  <c r="R12" i="2"/>
  <c r="K18" i="2"/>
  <c r="R18" i="2"/>
  <c r="J222" i="6"/>
  <c r="E179" i="6"/>
  <c r="E246" i="6"/>
  <c r="N285" i="6"/>
  <c r="N182" i="6"/>
  <c r="D191" i="6"/>
  <c r="P33" i="6"/>
  <c r="N234" i="6"/>
  <c r="M159" i="6"/>
  <c r="D15" i="2"/>
  <c r="N233" i="6"/>
  <c r="I168" i="6"/>
  <c r="I246" i="6" s="1"/>
  <c r="O174" i="6"/>
  <c r="O257" i="6" s="1"/>
  <c r="P106" i="6"/>
  <c r="P103" i="6"/>
  <c r="I186" i="6"/>
  <c r="I282" i="6" s="1"/>
  <c r="N273" i="6"/>
  <c r="F280" i="6"/>
  <c r="L443" i="6"/>
  <c r="D246" i="6"/>
  <c r="D179" i="6"/>
  <c r="K233" i="6"/>
  <c r="N230" i="6"/>
  <c r="N365" i="6"/>
  <c r="N394" i="6"/>
  <c r="N368" i="6"/>
  <c r="N360" i="6"/>
  <c r="N390" i="6"/>
  <c r="I369" i="6"/>
  <c r="H314" i="6"/>
  <c r="H325" i="6" s="1"/>
  <c r="M112" i="1" s="1"/>
  <c r="L59" i="3"/>
  <c r="L347" i="6"/>
  <c r="I355" i="6"/>
  <c r="I348" i="6"/>
  <c r="I365" i="6"/>
  <c r="L363" i="6"/>
  <c r="I371" i="6"/>
  <c r="I393" i="6"/>
  <c r="L449" i="6"/>
  <c r="I358" i="6"/>
  <c r="L57" i="4"/>
  <c r="N459" i="6"/>
  <c r="M459" i="6"/>
  <c r="K459" i="6"/>
  <c r="L460" i="6"/>
  <c r="J476" i="6"/>
  <c r="K460" i="6"/>
  <c r="N460" i="6"/>
  <c r="M460" i="6"/>
  <c r="L451" i="6"/>
  <c r="J460" i="6"/>
  <c r="N469" i="6"/>
  <c r="K469" i="6"/>
  <c r="M469" i="6"/>
  <c r="O516" i="6"/>
  <c r="E516" i="6"/>
  <c r="P129" i="6"/>
  <c r="D150" i="6"/>
  <c r="Q20" i="2"/>
  <c r="J20" i="2"/>
  <c r="H208" i="6"/>
  <c r="L155" i="6"/>
  <c r="D144" i="6"/>
  <c r="E196" i="6" s="1"/>
  <c r="P119" i="6"/>
  <c r="Q7" i="2"/>
  <c r="J7" i="2"/>
  <c r="H179" i="6"/>
  <c r="G248" i="6"/>
  <c r="G179" i="6"/>
  <c r="O509" i="6"/>
  <c r="L509" i="6"/>
  <c r="H509" i="6"/>
  <c r="F147" i="6"/>
  <c r="G12" i="2"/>
  <c r="E12" i="2"/>
  <c r="F12" i="2" s="1"/>
  <c r="H12" i="2"/>
  <c r="L198" i="6"/>
  <c r="D147" i="6"/>
  <c r="Q15" i="2"/>
  <c r="S15" i="2" s="1"/>
  <c r="T15" i="2" s="1"/>
  <c r="J15" i="2"/>
  <c r="I436" i="6"/>
  <c r="M436" i="6"/>
  <c r="P60" i="6"/>
  <c r="R29" i="2"/>
  <c r="K29" i="2"/>
  <c r="P76" i="6"/>
  <c r="F167" i="6"/>
  <c r="I160" i="6"/>
  <c r="D162" i="6"/>
  <c r="P54" i="6"/>
  <c r="K20" i="2"/>
  <c r="R20" i="2"/>
  <c r="L256" i="6"/>
  <c r="D247" i="6"/>
  <c r="O281" i="6"/>
  <c r="L191" i="6"/>
  <c r="O235" i="6"/>
  <c r="O158" i="6"/>
  <c r="I159" i="6"/>
  <c r="D181" i="6"/>
  <c r="F273" i="6" s="1"/>
  <c r="P97" i="6"/>
  <c r="D180" i="6"/>
  <c r="D283" i="6" s="1"/>
  <c r="P94" i="6"/>
  <c r="E280" i="6"/>
  <c r="L186" i="6"/>
  <c r="M179" i="6"/>
  <c r="M246" i="6"/>
  <c r="I284" i="6"/>
  <c r="G281" i="6"/>
  <c r="H167" i="6"/>
  <c r="D259" i="6"/>
  <c r="P70" i="6"/>
  <c r="K171" i="6"/>
  <c r="K255" i="6" s="1"/>
  <c r="D258" i="6"/>
  <c r="P86" i="6"/>
  <c r="D243" i="6"/>
  <c r="H186" i="6"/>
  <c r="H282" i="6" s="1"/>
  <c r="P105" i="6"/>
  <c r="N183" i="6"/>
  <c r="N280" i="6" s="1"/>
  <c r="G283" i="6"/>
  <c r="G268" i="6"/>
  <c r="G443" i="6"/>
  <c r="H169" i="6"/>
  <c r="P57" i="6"/>
  <c r="R23" i="2"/>
  <c r="K23" i="2"/>
  <c r="F157" i="6"/>
  <c r="H223" i="6" s="1"/>
  <c r="O234" i="6"/>
  <c r="H234" i="6"/>
  <c r="O233" i="6"/>
  <c r="N362" i="6"/>
  <c r="N348" i="6"/>
  <c r="N392" i="6"/>
  <c r="E314" i="6"/>
  <c r="F312" i="6"/>
  <c r="I346" i="6"/>
  <c r="H311" i="6"/>
  <c r="G314" i="6"/>
  <c r="G325" i="6" s="1"/>
  <c r="J112" i="1" s="1"/>
  <c r="L57" i="3"/>
  <c r="I398" i="6"/>
  <c r="L55" i="4"/>
  <c r="L367" i="6"/>
  <c r="B376" i="6"/>
  <c r="I387" i="6"/>
  <c r="N452" i="6"/>
  <c r="M452" i="6"/>
  <c r="K452" i="6"/>
  <c r="N462" i="6"/>
  <c r="M462" i="6"/>
  <c r="K462" i="6"/>
  <c r="B414" i="6"/>
  <c r="T63" i="3"/>
  <c r="T64" i="3" s="1"/>
  <c r="I390" i="6"/>
  <c r="N450" i="6"/>
  <c r="K450" i="6"/>
  <c r="M450" i="6"/>
  <c r="L478" i="6"/>
  <c r="L461" i="6"/>
  <c r="L472" i="6"/>
  <c r="M471" i="6"/>
  <c r="K471" i="6"/>
  <c r="N471" i="6"/>
  <c r="K479" i="6"/>
  <c r="N479" i="6"/>
  <c r="M479" i="6"/>
  <c r="J467" i="6"/>
  <c r="N472" i="6"/>
  <c r="M472" i="6"/>
  <c r="K472" i="6"/>
  <c r="L480" i="6"/>
  <c r="L479" i="6"/>
  <c r="O506" i="6"/>
  <c r="E506" i="6"/>
  <c r="O521" i="6"/>
  <c r="L521" i="6"/>
  <c r="H521" i="6"/>
  <c r="L206" i="6"/>
  <c r="L207" i="6"/>
  <c r="P124" i="6"/>
  <c r="Q13" i="2"/>
  <c r="J13" i="2"/>
  <c r="K207" i="6"/>
  <c r="O144" i="6"/>
  <c r="O205" i="6" s="1"/>
  <c r="I205" i="6"/>
  <c r="H150" i="6"/>
  <c r="H207" i="6" s="1"/>
  <c r="E205" i="6"/>
  <c r="K256" i="6"/>
  <c r="F148" i="6"/>
  <c r="P126" i="6"/>
  <c r="Q16" i="2"/>
  <c r="J16" i="2"/>
  <c r="J193" i="6"/>
  <c r="I145" i="6"/>
  <c r="J198" i="6" s="1"/>
  <c r="H148" i="6"/>
  <c r="H197" i="6"/>
  <c r="G150" i="6"/>
  <c r="J144" i="6"/>
  <c r="L196" i="6" s="1"/>
  <c r="N209" i="6"/>
  <c r="M147" i="6"/>
  <c r="C15" i="2"/>
  <c r="N208" i="6"/>
  <c r="L246" i="6"/>
  <c r="L179" i="6"/>
  <c r="O519" i="6"/>
  <c r="H519" i="6"/>
  <c r="L519" i="6"/>
  <c r="M145" i="6"/>
  <c r="O198" i="6" s="1"/>
  <c r="C11" i="2"/>
  <c r="G13" i="2"/>
  <c r="H13" i="2"/>
  <c r="E13" i="2"/>
  <c r="F13" i="2" s="1"/>
  <c r="J150" i="6"/>
  <c r="M144" i="6"/>
  <c r="M208" i="6" s="1"/>
  <c r="C7" i="2"/>
  <c r="G147" i="6"/>
  <c r="G205" i="6" s="1"/>
  <c r="G29" i="2"/>
  <c r="H29" i="2"/>
  <c r="E29" i="2"/>
  <c r="F29" i="2" s="1"/>
  <c r="D155" i="6"/>
  <c r="D123" i="6"/>
  <c r="K198" i="6"/>
  <c r="I144" i="6"/>
  <c r="I208" i="6" s="1"/>
  <c r="O150" i="6"/>
  <c r="E209" i="6"/>
  <c r="L147" i="6"/>
  <c r="L205" i="6" s="1"/>
  <c r="E208" i="6"/>
  <c r="E193" i="6"/>
  <c r="H155" i="6"/>
  <c r="H196" i="6"/>
  <c r="K442" i="6"/>
  <c r="F436" i="6"/>
  <c r="E258" i="6"/>
  <c r="M157" i="6"/>
  <c r="N223" i="6" s="1"/>
  <c r="D11" i="2"/>
  <c r="P26" i="6"/>
  <c r="E248" i="6"/>
  <c r="D233" i="6"/>
  <c r="P61" i="6"/>
  <c r="G21" i="2"/>
  <c r="E21" i="2"/>
  <c r="F21" i="2" s="1"/>
  <c r="H21" i="2"/>
  <c r="P84" i="6"/>
  <c r="F156" i="6"/>
  <c r="G221" i="6" s="1"/>
  <c r="R13" i="2"/>
  <c r="K13" i="2"/>
  <c r="L232" i="6"/>
  <c r="M169" i="6"/>
  <c r="M247" i="6" s="1"/>
  <c r="G321" i="6" s="1"/>
  <c r="J128" i="1" s="1"/>
  <c r="L247" i="6"/>
  <c r="E186" i="6"/>
  <c r="E282" i="6" s="1"/>
  <c r="O272" i="6"/>
  <c r="C138" i="6"/>
  <c r="C63" i="6"/>
  <c r="C88" i="6"/>
  <c r="J234" i="6"/>
  <c r="P51" i="6"/>
  <c r="K16" i="2"/>
  <c r="R16" i="2"/>
  <c r="J233" i="6"/>
  <c r="P74" i="6"/>
  <c r="K174" i="6"/>
  <c r="K257" i="6" s="1"/>
  <c r="P99" i="6"/>
  <c r="K283" i="6"/>
  <c r="P71" i="6"/>
  <c r="K179" i="6"/>
  <c r="L180" i="6"/>
  <c r="P101" i="6"/>
  <c r="G181" i="6"/>
  <c r="I272" i="6" s="1"/>
  <c r="H162" i="6"/>
  <c r="H232" i="6" s="1"/>
  <c r="I169" i="6"/>
  <c r="K248" i="6" s="1"/>
  <c r="H172" i="6"/>
  <c r="H256" i="6" s="1"/>
  <c r="P96" i="6"/>
  <c r="J273" i="6"/>
  <c r="D157" i="6"/>
  <c r="E223" i="6" s="1"/>
  <c r="P47" i="6"/>
  <c r="R11" i="2"/>
  <c r="K11" i="2"/>
  <c r="K160" i="6"/>
  <c r="K231" i="6" s="1"/>
  <c r="L259" i="6"/>
  <c r="L258" i="6"/>
  <c r="L243" i="6"/>
  <c r="G186" i="6"/>
  <c r="G282" i="6" s="1"/>
  <c r="L273" i="6"/>
  <c r="D183" i="6"/>
  <c r="P100" i="6"/>
  <c r="F283" i="6"/>
  <c r="F268" i="6"/>
  <c r="O283" i="6"/>
  <c r="O268" i="6"/>
  <c r="D443" i="6"/>
  <c r="D435" i="6"/>
  <c r="D437" i="6" s="1"/>
  <c r="E443" i="6"/>
  <c r="I443" i="6"/>
  <c r="M259" i="6"/>
  <c r="M156" i="6"/>
  <c r="O221" i="6" s="1"/>
  <c r="D7" i="2"/>
  <c r="P52" i="6"/>
  <c r="I156" i="6"/>
  <c r="K221" i="6" s="1"/>
  <c r="N372" i="6"/>
  <c r="N346" i="6"/>
  <c r="N351" i="6"/>
  <c r="N384" i="6"/>
  <c r="N369" i="6"/>
  <c r="N399" i="6"/>
  <c r="N389" i="6"/>
  <c r="I349" i="6"/>
  <c r="E301" i="6"/>
  <c r="B375" i="6"/>
  <c r="I354" i="6"/>
  <c r="I386" i="6"/>
  <c r="I389" i="6"/>
  <c r="I357" i="6"/>
  <c r="I407" i="6"/>
  <c r="I382" i="6"/>
  <c r="L62" i="4"/>
  <c r="I403" i="6"/>
  <c r="K451" i="6"/>
  <c r="N451" i="6"/>
  <c r="M451" i="6"/>
  <c r="I368" i="6"/>
  <c r="B411" i="6"/>
  <c r="L463" i="6"/>
  <c r="L464" i="6"/>
  <c r="I406" i="6"/>
  <c r="N463" i="6"/>
  <c r="M463" i="6"/>
  <c r="K463" i="6"/>
  <c r="N453" i="6"/>
  <c r="M453" i="6"/>
  <c r="K453" i="6"/>
  <c r="L471" i="6"/>
  <c r="L482" i="6"/>
  <c r="R66" i="3" l="1"/>
  <c r="S66" i="3"/>
  <c r="R66" i="4"/>
  <c r="V66" i="4"/>
  <c r="V65" i="3"/>
  <c r="R65" i="3"/>
  <c r="F282" i="6"/>
  <c r="D273" i="6"/>
  <c r="P125" i="6"/>
  <c r="F208" i="6"/>
  <c r="M280" i="6"/>
  <c r="K281" i="6"/>
  <c r="K246" i="6"/>
  <c r="G246" i="6"/>
  <c r="G249" i="6" s="1"/>
  <c r="N272" i="6"/>
  <c r="D271" i="6"/>
  <c r="M281" i="6"/>
  <c r="H199" i="6"/>
  <c r="F206" i="6"/>
  <c r="F205" i="6"/>
  <c r="L257" i="6"/>
  <c r="I271" i="6"/>
  <c r="L272" i="6"/>
  <c r="I248" i="6"/>
  <c r="L231" i="6"/>
  <c r="J196" i="6"/>
  <c r="U20" i="3"/>
  <c r="U20" i="4"/>
  <c r="N246" i="6"/>
  <c r="F246" i="6"/>
  <c r="L63" i="4"/>
  <c r="L65" i="4" s="1"/>
  <c r="D255" i="6"/>
  <c r="O323" i="6"/>
  <c r="P138" i="1" s="1"/>
  <c r="V65" i="4"/>
  <c r="L249" i="6"/>
  <c r="H206" i="6"/>
  <c r="S20" i="2"/>
  <c r="T20" i="2" s="1"/>
  <c r="S17" i="2"/>
  <c r="T17" i="2" s="1"/>
  <c r="O274" i="6"/>
  <c r="S25" i="2"/>
  <c r="T25" i="2" s="1"/>
  <c r="G280" i="6"/>
  <c r="G233" i="6"/>
  <c r="K247" i="6"/>
  <c r="K282" i="6"/>
  <c r="O20" i="4"/>
  <c r="B635" i="6" s="1"/>
  <c r="O247" i="6"/>
  <c r="F247" i="6"/>
  <c r="D248" i="6"/>
  <c r="K274" i="6"/>
  <c r="L60" i="4"/>
  <c r="L64" i="4" s="1"/>
  <c r="J208" i="6"/>
  <c r="G271" i="6"/>
  <c r="M197" i="6"/>
  <c r="E321" i="6" s="1"/>
  <c r="N321" i="6" s="1"/>
  <c r="O128" i="1" s="1"/>
  <c r="H272" i="6"/>
  <c r="Q65" i="4"/>
  <c r="N206" i="6"/>
  <c r="G222" i="6"/>
  <c r="M321" i="6"/>
  <c r="N128" i="1" s="1"/>
  <c r="J250" i="6"/>
  <c r="J173" i="6"/>
  <c r="P148" i="6"/>
  <c r="D206" i="6"/>
  <c r="E304" i="6"/>
  <c r="M222" i="6"/>
  <c r="F321" i="6" s="1"/>
  <c r="G128" i="1" s="1"/>
  <c r="M207" i="6"/>
  <c r="C155" i="6"/>
  <c r="H260" i="6"/>
  <c r="H170" i="6"/>
  <c r="I207" i="6"/>
  <c r="O25" i="2"/>
  <c r="L25" i="2"/>
  <c r="N25" i="2"/>
  <c r="O197" i="6"/>
  <c r="P120" i="6"/>
  <c r="I247" i="6"/>
  <c r="I249" i="6" s="1"/>
  <c r="F196" i="6"/>
  <c r="H319" i="6"/>
  <c r="M319" i="6" s="1"/>
  <c r="N134" i="1" s="1"/>
  <c r="O285" i="6"/>
  <c r="O182" i="6"/>
  <c r="I233" i="6"/>
  <c r="L280" i="6"/>
  <c r="E281" i="6"/>
  <c r="U65" i="4"/>
  <c r="G223" i="6"/>
  <c r="J134" i="1"/>
  <c r="K318" i="6"/>
  <c r="K133" i="1" s="1"/>
  <c r="M196" i="6"/>
  <c r="I273" i="6"/>
  <c r="P181" i="6"/>
  <c r="F221" i="6"/>
  <c r="O15" i="2"/>
  <c r="L15" i="2"/>
  <c r="N15" i="2"/>
  <c r="I260" i="6"/>
  <c r="I170" i="6"/>
  <c r="M232" i="6"/>
  <c r="F233" i="6"/>
  <c r="I221" i="6"/>
  <c r="I224" i="6" s="1"/>
  <c r="O21" i="2"/>
  <c r="N21" i="2"/>
  <c r="L21" i="2"/>
  <c r="I197" i="6"/>
  <c r="G146" i="6"/>
  <c r="G210" i="6"/>
  <c r="G292" i="6"/>
  <c r="D282" i="6"/>
  <c r="P186" i="6"/>
  <c r="H306" i="6"/>
  <c r="J197" i="6"/>
  <c r="J199" i="6" s="1"/>
  <c r="J205" i="6"/>
  <c r="L210" i="6"/>
  <c r="L146" i="6"/>
  <c r="L292" i="6"/>
  <c r="K197" i="6"/>
  <c r="G8" i="2"/>
  <c r="H8" i="2"/>
  <c r="E8" i="2"/>
  <c r="F8" i="2" s="1"/>
  <c r="S66" i="4"/>
  <c r="S65" i="4"/>
  <c r="I198" i="6"/>
  <c r="M283" i="6"/>
  <c r="E173" i="6"/>
  <c r="E250" i="6"/>
  <c r="O282" i="6"/>
  <c r="U66" i="4"/>
  <c r="G230" i="6"/>
  <c r="J221" i="6"/>
  <c r="J224" i="6" s="1"/>
  <c r="N248" i="6"/>
  <c r="G7" i="2"/>
  <c r="E7" i="2"/>
  <c r="F7" i="2" s="1"/>
  <c r="H7" i="2"/>
  <c r="N275" i="6"/>
  <c r="N185" i="6"/>
  <c r="G235" i="6"/>
  <c r="G158" i="6"/>
  <c r="D256" i="6"/>
  <c r="P172" i="6"/>
  <c r="G304" i="6"/>
  <c r="Q64" i="4"/>
  <c r="W63" i="4"/>
  <c r="L223" i="6"/>
  <c r="O18" i="2"/>
  <c r="L18" i="2"/>
  <c r="N18" i="2"/>
  <c r="J246" i="6"/>
  <c r="J274" i="6"/>
  <c r="N198" i="6"/>
  <c r="O29" i="2"/>
  <c r="L29" i="2"/>
  <c r="N29" i="2"/>
  <c r="H315" i="6"/>
  <c r="B489" i="6"/>
  <c r="E231" i="6"/>
  <c r="F304" i="6"/>
  <c r="P160" i="6"/>
  <c r="F255" i="6"/>
  <c r="I239" i="6"/>
  <c r="M220" i="6"/>
  <c r="E220" i="6"/>
  <c r="E238" i="6" s="1"/>
  <c r="H239" i="6"/>
  <c r="L220" i="6"/>
  <c r="L238" i="6" s="1"/>
  <c r="D220" i="6"/>
  <c r="D238" i="6" s="1"/>
  <c r="O239" i="6"/>
  <c r="G239" i="6"/>
  <c r="M239" i="6"/>
  <c r="E239" i="6"/>
  <c r="I220" i="6"/>
  <c r="I238" i="6" s="1"/>
  <c r="F239" i="6"/>
  <c r="J220" i="6"/>
  <c r="D239" i="6"/>
  <c r="D235" i="6"/>
  <c r="H220" i="6"/>
  <c r="H238" i="6" s="1"/>
  <c r="P156" i="6"/>
  <c r="G220" i="6"/>
  <c r="G238" i="6" s="1"/>
  <c r="N239" i="6"/>
  <c r="D158" i="6"/>
  <c r="L239" i="6"/>
  <c r="O220" i="6"/>
  <c r="O238" i="6" s="1"/>
  <c r="J239" i="6"/>
  <c r="K220" i="6"/>
  <c r="K238" i="6" s="1"/>
  <c r="K239" i="6"/>
  <c r="N220" i="6"/>
  <c r="F220" i="6"/>
  <c r="F238" i="6" s="1"/>
  <c r="K10" i="2"/>
  <c r="R10" i="2"/>
  <c r="F300" i="6"/>
  <c r="D231" i="6"/>
  <c r="H146" i="6"/>
  <c r="H210" i="6"/>
  <c r="H292" i="6"/>
  <c r="L60" i="3"/>
  <c r="L64" i="3" s="1"/>
  <c r="L230" i="6"/>
  <c r="L197" i="6"/>
  <c r="L199" i="6" s="1"/>
  <c r="S65" i="3"/>
  <c r="I255" i="6"/>
  <c r="K196" i="6"/>
  <c r="Q66" i="4"/>
  <c r="D207" i="6"/>
  <c r="P150" i="6"/>
  <c r="E306" i="6"/>
  <c r="M235" i="6"/>
  <c r="M158" i="6"/>
  <c r="D10" i="2"/>
  <c r="L285" i="6"/>
  <c r="L182" i="6"/>
  <c r="F235" i="6"/>
  <c r="F158" i="6"/>
  <c r="M210" i="6"/>
  <c r="M146" i="6"/>
  <c r="C10" i="2"/>
  <c r="M292" i="6"/>
  <c r="M205" i="6"/>
  <c r="L282" i="6"/>
  <c r="H248" i="6"/>
  <c r="G516" i="6"/>
  <c r="K516" i="6"/>
  <c r="J516" i="6"/>
  <c r="D517" i="6"/>
  <c r="F516" i="6"/>
  <c r="N516" i="6"/>
  <c r="K222" i="6"/>
  <c r="H247" i="6"/>
  <c r="D196" i="6"/>
  <c r="J207" i="6"/>
  <c r="O16" i="2"/>
  <c r="N16" i="2"/>
  <c r="L16" i="2"/>
  <c r="O13" i="2"/>
  <c r="N13" i="2"/>
  <c r="L13" i="2"/>
  <c r="G272" i="6"/>
  <c r="I230" i="6"/>
  <c r="F230" i="6"/>
  <c r="H246" i="6"/>
  <c r="G206" i="6"/>
  <c r="F272" i="6"/>
  <c r="O9" i="2"/>
  <c r="L9" i="2"/>
  <c r="N9" i="2"/>
  <c r="T65" i="4"/>
  <c r="T66" i="4"/>
  <c r="N271" i="6"/>
  <c r="N274" i="6" s="1"/>
  <c r="M285" i="6"/>
  <c r="M182" i="6"/>
  <c r="N222" i="6"/>
  <c r="H257" i="6"/>
  <c r="S18" i="2"/>
  <c r="T18" i="2" s="1"/>
  <c r="F210" i="6"/>
  <c r="F146" i="6"/>
  <c r="F292" i="6"/>
  <c r="M313" i="6"/>
  <c r="N110" i="1" s="1"/>
  <c r="L313" i="6"/>
  <c r="L110" i="1" s="1"/>
  <c r="K313" i="6"/>
  <c r="K110" i="1" s="1"/>
  <c r="J313" i="6"/>
  <c r="I110" i="1" s="1"/>
  <c r="I313" i="6"/>
  <c r="H110" i="1" s="1"/>
  <c r="N313" i="6"/>
  <c r="O110" i="1" s="1"/>
  <c r="F110" i="1"/>
  <c r="L235" i="6"/>
  <c r="L158" i="6"/>
  <c r="L233" i="6"/>
  <c r="N221" i="6"/>
  <c r="E285" i="6"/>
  <c r="E182" i="6"/>
  <c r="H222" i="6"/>
  <c r="N196" i="6"/>
  <c r="J206" i="6"/>
  <c r="S29" i="2"/>
  <c r="T29" i="2" s="1"/>
  <c r="O206" i="6"/>
  <c r="M271" i="6"/>
  <c r="O11" i="2"/>
  <c r="N11" i="2"/>
  <c r="L11" i="2"/>
  <c r="D208" i="6"/>
  <c r="B490" i="6"/>
  <c r="E222" i="6"/>
  <c r="E224" i="6" s="1"/>
  <c r="I232" i="6"/>
  <c r="L260" i="6"/>
  <c r="L170" i="6"/>
  <c r="K223" i="6"/>
  <c r="O223" i="6"/>
  <c r="O27" i="2"/>
  <c r="L27" i="2"/>
  <c r="N27" i="2"/>
  <c r="I196" i="6"/>
  <c r="W63" i="3"/>
  <c r="Q64" i="3"/>
  <c r="D272" i="6"/>
  <c r="D274" i="6" s="1"/>
  <c r="I256" i="6"/>
  <c r="O248" i="6"/>
  <c r="G285" i="6"/>
  <c r="G182" i="6"/>
  <c r="I275" i="6"/>
  <c r="I185" i="6"/>
  <c r="H225" i="6"/>
  <c r="H161" i="6"/>
  <c r="O318" i="6"/>
  <c r="P133" i="1" s="1"/>
  <c r="Q65" i="3"/>
  <c r="J248" i="6"/>
  <c r="J247" i="6"/>
  <c r="H221" i="6"/>
  <c r="M221" i="6"/>
  <c r="K146" i="6"/>
  <c r="K210" i="6"/>
  <c r="K292" i="6"/>
  <c r="P169" i="6"/>
  <c r="G273" i="6"/>
  <c r="G274" i="6" s="1"/>
  <c r="O222" i="6"/>
  <c r="N255" i="6"/>
  <c r="I206" i="6"/>
  <c r="P132" i="6"/>
  <c r="Q23" i="2"/>
  <c r="S23" i="2" s="1"/>
  <c r="T23" i="2" s="1"/>
  <c r="J23" i="2"/>
  <c r="S11" i="2"/>
  <c r="T11" i="2" s="1"/>
  <c r="B487" i="6"/>
  <c r="O20" i="3"/>
  <c r="H285" i="6"/>
  <c r="H182" i="6"/>
  <c r="L283" i="6"/>
  <c r="N257" i="6"/>
  <c r="K285" i="6"/>
  <c r="K182" i="6"/>
  <c r="S27" i="2"/>
  <c r="T27" i="2" s="1"/>
  <c r="B633" i="6"/>
  <c r="K20" i="4"/>
  <c r="J20" i="4"/>
  <c r="G20" i="4"/>
  <c r="H20" i="4" s="1"/>
  <c r="W64" i="4" s="1"/>
  <c r="I20" i="4"/>
  <c r="L20" i="4"/>
  <c r="N20" i="4"/>
  <c r="M20" i="4"/>
  <c r="L281" i="6"/>
  <c r="H273" i="6"/>
  <c r="M170" i="6"/>
  <c r="N210" i="6"/>
  <c r="N146" i="6"/>
  <c r="N293" i="6"/>
  <c r="P184" i="6"/>
  <c r="D281" i="6"/>
  <c r="H304" i="6"/>
  <c r="F232" i="6"/>
  <c r="O250" i="6"/>
  <c r="O173" i="6"/>
  <c r="Q66" i="3"/>
  <c r="O161" i="6"/>
  <c r="O225" i="6"/>
  <c r="D205" i="6"/>
  <c r="P147" i="6"/>
  <c r="E303" i="6"/>
  <c r="O7" i="2"/>
  <c r="N7" i="2"/>
  <c r="L7" i="2"/>
  <c r="E273" i="6"/>
  <c r="M230" i="6"/>
  <c r="E249" i="6"/>
  <c r="D280" i="6"/>
  <c r="P183" i="6"/>
  <c r="H303" i="6"/>
  <c r="G207" i="6"/>
  <c r="O289" i="6"/>
  <c r="G289" i="6"/>
  <c r="N289" i="6"/>
  <c r="F289" i="6"/>
  <c r="L289" i="6"/>
  <c r="K270" i="6"/>
  <c r="K288" i="6" s="1"/>
  <c r="K289" i="6"/>
  <c r="J270" i="6"/>
  <c r="J288" i="6" s="1"/>
  <c r="J289" i="6"/>
  <c r="D285" i="6"/>
  <c r="I270" i="6"/>
  <c r="I288" i="6" s="1"/>
  <c r="H289" i="6"/>
  <c r="O270" i="6"/>
  <c r="O288" i="6" s="1"/>
  <c r="G270" i="6"/>
  <c r="G288" i="6" s="1"/>
  <c r="I289" i="6"/>
  <c r="E289" i="6"/>
  <c r="N270" i="6"/>
  <c r="N288" i="6" s="1"/>
  <c r="P180" i="6"/>
  <c r="D289" i="6"/>
  <c r="M270" i="6"/>
  <c r="H270" i="6"/>
  <c r="H288" i="6" s="1"/>
  <c r="F270" i="6"/>
  <c r="F288" i="6" s="1"/>
  <c r="E270" i="6"/>
  <c r="E288" i="6" s="1"/>
  <c r="M289" i="6"/>
  <c r="D270" i="6"/>
  <c r="D288" i="6" s="1"/>
  <c r="L270" i="6"/>
  <c r="L288" i="6" s="1"/>
  <c r="D182" i="6"/>
  <c r="H300" i="6"/>
  <c r="H337" i="6" s="1"/>
  <c r="M131" i="1" s="1"/>
  <c r="S7" i="2"/>
  <c r="T7" i="2" s="1"/>
  <c r="J275" i="6"/>
  <c r="J185" i="6"/>
  <c r="F248" i="6"/>
  <c r="K311" i="6"/>
  <c r="N311" i="6"/>
  <c r="M311" i="6"/>
  <c r="L311" i="6"/>
  <c r="J311" i="6"/>
  <c r="O311" i="6" s="1"/>
  <c r="I311" i="6"/>
  <c r="F285" i="6"/>
  <c r="F182" i="6"/>
  <c r="G198" i="6"/>
  <c r="M231" i="6"/>
  <c r="K158" i="6"/>
  <c r="L222" i="6"/>
  <c r="K208" i="6"/>
  <c r="K205" i="6"/>
  <c r="F319" i="6"/>
  <c r="H258" i="6"/>
  <c r="G208" i="6"/>
  <c r="C414" i="6"/>
  <c r="C410" i="6"/>
  <c r="C413" i="6"/>
  <c r="C411" i="6"/>
  <c r="C412" i="6"/>
  <c r="C415" i="6"/>
  <c r="E235" i="6"/>
  <c r="E158" i="6"/>
  <c r="K280" i="6"/>
  <c r="G196" i="6"/>
  <c r="U66" i="3"/>
  <c r="D230" i="6"/>
  <c r="P159" i="6"/>
  <c r="F303" i="6"/>
  <c r="K250" i="6"/>
  <c r="K173" i="6"/>
  <c r="M248" i="6"/>
  <c r="G322" i="6" s="1"/>
  <c r="J129" i="1" s="1"/>
  <c r="E210" i="6"/>
  <c r="E146" i="6"/>
  <c r="E292" i="6"/>
  <c r="P20" i="4"/>
  <c r="S20" i="4" s="1"/>
  <c r="P157" i="6"/>
  <c r="D222" i="6"/>
  <c r="D223" i="6"/>
  <c r="P123" i="6"/>
  <c r="Q12" i="2"/>
  <c r="S12" i="2" s="1"/>
  <c r="T12" i="2" s="1"/>
  <c r="J12" i="2"/>
  <c r="G15" i="2"/>
  <c r="H15" i="2"/>
  <c r="E15" i="2"/>
  <c r="F15" i="2" s="1"/>
  <c r="O210" i="6"/>
  <c r="O146" i="6"/>
  <c r="O293" i="6"/>
  <c r="K249" i="6"/>
  <c r="J210" i="6"/>
  <c r="J146" i="6"/>
  <c r="J292" i="6"/>
  <c r="S16" i="2"/>
  <c r="T16" i="2" s="1"/>
  <c r="S13" i="2"/>
  <c r="T13" i="2" s="1"/>
  <c r="I301" i="6"/>
  <c r="O301" i="6"/>
  <c r="N301" i="6"/>
  <c r="M301" i="6"/>
  <c r="L301" i="6"/>
  <c r="K301" i="6"/>
  <c r="J301" i="6"/>
  <c r="M223" i="6"/>
  <c r="F322" i="6" s="1"/>
  <c r="G129" i="1" s="1"/>
  <c r="O207" i="6"/>
  <c r="M198" i="6"/>
  <c r="E322" i="6" s="1"/>
  <c r="N197" i="6"/>
  <c r="J314" i="6"/>
  <c r="O314" i="6" s="1"/>
  <c r="K314" i="6"/>
  <c r="I314" i="6"/>
  <c r="E325" i="6"/>
  <c r="N314" i="6"/>
  <c r="L314" i="6"/>
  <c r="M314" i="6"/>
  <c r="G320" i="6"/>
  <c r="I258" i="6"/>
  <c r="L271" i="6"/>
  <c r="L274" i="6" s="1"/>
  <c r="D232" i="6"/>
  <c r="P162" i="6"/>
  <c r="F306" i="6"/>
  <c r="O20" i="2"/>
  <c r="L20" i="2"/>
  <c r="N20" i="2"/>
  <c r="N170" i="6"/>
  <c r="N260" i="6"/>
  <c r="N258" i="6"/>
  <c r="O17" i="2"/>
  <c r="N17" i="2"/>
  <c r="L17" i="2"/>
  <c r="K319" i="6"/>
  <c r="K134" i="1" s="1"/>
  <c r="N319" i="6"/>
  <c r="L319" i="6"/>
  <c r="F134" i="1"/>
  <c r="R13" i="1"/>
  <c r="O280" i="6"/>
  <c r="D47" i="7"/>
  <c r="C167" i="6"/>
  <c r="F271" i="6"/>
  <c r="F274" i="6" s="1"/>
  <c r="D257" i="6"/>
  <c r="P174" i="6"/>
  <c r="G306" i="6"/>
  <c r="F222" i="6"/>
  <c r="I257" i="6"/>
  <c r="O22" i="2"/>
  <c r="L22" i="2"/>
  <c r="N22" i="2"/>
  <c r="G17" i="2"/>
  <c r="H17" i="2"/>
  <c r="E17" i="2"/>
  <c r="F17" i="2" s="1"/>
  <c r="D145" i="6"/>
  <c r="O8" i="2"/>
  <c r="L8" i="2"/>
  <c r="N8" i="2"/>
  <c r="B632" i="6"/>
  <c r="I20" i="3"/>
  <c r="L20" i="3"/>
  <c r="G20" i="3"/>
  <c r="H20" i="3" s="1"/>
  <c r="W64" i="3" s="1"/>
  <c r="N20" i="3"/>
  <c r="K20" i="3"/>
  <c r="J20" i="3"/>
  <c r="H281" i="6"/>
  <c r="M233" i="6"/>
  <c r="B488" i="6"/>
  <c r="N247" i="6"/>
  <c r="L221" i="6"/>
  <c r="U65" i="3"/>
  <c r="F223" i="6"/>
  <c r="J235" i="6"/>
  <c r="J158" i="6"/>
  <c r="G303" i="6"/>
  <c r="R65" i="4"/>
  <c r="J232" i="6"/>
  <c r="O522" i="6"/>
  <c r="E522" i="6"/>
  <c r="I235" i="6"/>
  <c r="I158" i="6"/>
  <c r="I146" i="6"/>
  <c r="I210" i="6"/>
  <c r="I292" i="6"/>
  <c r="G11" i="2"/>
  <c r="H11" i="2"/>
  <c r="E11" i="2"/>
  <c r="F11" i="2" s="1"/>
  <c r="O208" i="6"/>
  <c r="K506" i="6"/>
  <c r="F506" i="6"/>
  <c r="N506" i="6"/>
  <c r="J506" i="6"/>
  <c r="D507" i="6"/>
  <c r="G506" i="6"/>
  <c r="G315" i="6"/>
  <c r="L286" i="6"/>
  <c r="I231" i="6"/>
  <c r="N214" i="6"/>
  <c r="F214" i="6"/>
  <c r="M214" i="6"/>
  <c r="E214" i="6"/>
  <c r="I195" i="6"/>
  <c r="I213" i="6" s="1"/>
  <c r="J214" i="6"/>
  <c r="N195" i="6"/>
  <c r="N213" i="6" s="1"/>
  <c r="F195" i="6"/>
  <c r="F213" i="6" s="1"/>
  <c r="G214" i="6"/>
  <c r="G195" i="6"/>
  <c r="G213" i="6" s="1"/>
  <c r="D214" i="6"/>
  <c r="E195" i="6"/>
  <c r="E213" i="6" s="1"/>
  <c r="O195" i="6"/>
  <c r="O213" i="6" s="1"/>
  <c r="D195" i="6"/>
  <c r="D213" i="6" s="1"/>
  <c r="L214" i="6"/>
  <c r="O214" i="6"/>
  <c r="M195" i="6"/>
  <c r="M211" i="6" s="1"/>
  <c r="K214" i="6"/>
  <c r="L195" i="6"/>
  <c r="L213" i="6" s="1"/>
  <c r="H214" i="6"/>
  <c r="D210" i="6"/>
  <c r="J195" i="6"/>
  <c r="J213" i="6" s="1"/>
  <c r="K195" i="6"/>
  <c r="K213" i="6" s="1"/>
  <c r="H195" i="6"/>
  <c r="H213" i="6" s="1"/>
  <c r="D146" i="6"/>
  <c r="I214" i="6"/>
  <c r="P144" i="6"/>
  <c r="Q10" i="2"/>
  <c r="S10" i="2" s="1"/>
  <c r="T10" i="2" s="1"/>
  <c r="J10" i="2"/>
  <c r="E300" i="6"/>
  <c r="E337" i="6" s="1"/>
  <c r="D292" i="6"/>
  <c r="D249" i="6"/>
  <c r="N225" i="6"/>
  <c r="N161" i="6"/>
  <c r="P20" i="3"/>
  <c r="S20" i="3" s="1"/>
  <c r="L63" i="3"/>
  <c r="F260" i="6"/>
  <c r="F170" i="6"/>
  <c r="F258" i="6"/>
  <c r="G20" i="2"/>
  <c r="H20" i="2"/>
  <c r="E20" i="2"/>
  <c r="F20" i="2" s="1"/>
  <c r="O246" i="6"/>
  <c r="C179" i="6"/>
  <c r="F231" i="6"/>
  <c r="S22" i="2"/>
  <c r="T22" i="2" s="1"/>
  <c r="M206" i="6"/>
  <c r="O196" i="6"/>
  <c r="G250" i="6"/>
  <c r="G173" i="6"/>
  <c r="Q8" i="2"/>
  <c r="S8" i="2" s="1"/>
  <c r="T8" i="2" s="1"/>
  <c r="T66" i="3"/>
  <c r="T65" i="3"/>
  <c r="C376" i="6"/>
  <c r="C379" i="6"/>
  <c r="C375" i="6"/>
  <c r="C374" i="6"/>
  <c r="C378" i="6"/>
  <c r="C377" i="6"/>
  <c r="H271" i="6"/>
  <c r="E271" i="6"/>
  <c r="E274" i="6" s="1"/>
  <c r="F257" i="6"/>
  <c r="N256" i="6"/>
  <c r="G231" i="6"/>
  <c r="L264" i="6"/>
  <c r="D264" i="6"/>
  <c r="D260" i="6"/>
  <c r="H245" i="6"/>
  <c r="H263" i="6" s="1"/>
  <c r="K264" i="6"/>
  <c r="O245" i="6"/>
  <c r="G245" i="6"/>
  <c r="G263" i="6" s="1"/>
  <c r="J264" i="6"/>
  <c r="N245" i="6"/>
  <c r="N263" i="6" s="1"/>
  <c r="F245" i="6"/>
  <c r="F263" i="6" s="1"/>
  <c r="H264" i="6"/>
  <c r="L245" i="6"/>
  <c r="L263" i="6" s="1"/>
  <c r="D245" i="6"/>
  <c r="D263" i="6" s="1"/>
  <c r="I264" i="6"/>
  <c r="M245" i="6"/>
  <c r="G264" i="6"/>
  <c r="K245" i="6"/>
  <c r="K263" i="6" s="1"/>
  <c r="F264" i="6"/>
  <c r="J245" i="6"/>
  <c r="J263" i="6" s="1"/>
  <c r="E245" i="6"/>
  <c r="E263" i="6" s="1"/>
  <c r="O264" i="6"/>
  <c r="N264" i="6"/>
  <c r="M264" i="6"/>
  <c r="D170" i="6"/>
  <c r="P168" i="6"/>
  <c r="E264" i="6"/>
  <c r="I245" i="6"/>
  <c r="I263" i="6" s="1"/>
  <c r="G300" i="6"/>
  <c r="H283" i="6"/>
  <c r="E283" i="6"/>
  <c r="M282" i="6"/>
  <c r="E272" i="6"/>
  <c r="P171" i="6"/>
  <c r="N312" i="6"/>
  <c r="M312" i="6"/>
  <c r="L312" i="6"/>
  <c r="K312" i="6"/>
  <c r="J312" i="6"/>
  <c r="O312" i="6"/>
  <c r="I312" i="6"/>
  <c r="J512" i="6"/>
  <c r="F512" i="6"/>
  <c r="N512" i="6"/>
  <c r="K512" i="6"/>
  <c r="G512" i="6"/>
  <c r="L318" i="6"/>
  <c r="L133" i="1" s="1"/>
  <c r="E315" i="6"/>
  <c r="R20" i="4" l="1"/>
  <c r="W66" i="4" s="1"/>
  <c r="V7" i="4"/>
  <c r="D224" i="6"/>
  <c r="E261" i="6"/>
  <c r="E286" i="6"/>
  <c r="K199" i="6"/>
  <c r="I274" i="6"/>
  <c r="O199" i="6"/>
  <c r="E236" i="6"/>
  <c r="F236" i="6"/>
  <c r="K321" i="6"/>
  <c r="K128" i="1" s="1"/>
  <c r="H249" i="6"/>
  <c r="F249" i="6"/>
  <c r="N211" i="6"/>
  <c r="G224" i="6"/>
  <c r="O313" i="6"/>
  <c r="P110" i="1" s="1"/>
  <c r="N249" i="6"/>
  <c r="O211" i="6"/>
  <c r="F211" i="6"/>
  <c r="L224" i="6"/>
  <c r="K236" i="6"/>
  <c r="O224" i="6"/>
  <c r="F128" i="1"/>
  <c r="I199" i="6"/>
  <c r="G236" i="6"/>
  <c r="W65" i="4"/>
  <c r="L321" i="6"/>
  <c r="L128" i="1" s="1"/>
  <c r="D236" i="6"/>
  <c r="K224" i="6"/>
  <c r="H274" i="6"/>
  <c r="F327" i="6"/>
  <c r="G115" i="1" s="1"/>
  <c r="K211" i="6"/>
  <c r="O236" i="6"/>
  <c r="M263" i="6"/>
  <c r="G316" i="6"/>
  <c r="G340" i="6" s="1"/>
  <c r="J139" i="1" s="1"/>
  <c r="N163" i="6"/>
  <c r="N226" i="6"/>
  <c r="S16" i="1"/>
  <c r="L134" i="1"/>
  <c r="N337" i="6"/>
  <c r="O131" i="1" s="1"/>
  <c r="M337" i="6"/>
  <c r="N131" i="1" s="1"/>
  <c r="F131" i="1"/>
  <c r="K149" i="6"/>
  <c r="K200" i="6"/>
  <c r="L149" i="6"/>
  <c r="L200" i="6"/>
  <c r="B612" i="6"/>
  <c r="M8" i="2"/>
  <c r="J319" i="6"/>
  <c r="E200" i="6"/>
  <c r="E149" i="6"/>
  <c r="M250" i="6"/>
  <c r="M173" i="6"/>
  <c r="M224" i="6"/>
  <c r="F320" i="6"/>
  <c r="B500" i="6"/>
  <c r="E328" i="6"/>
  <c r="K304" i="6"/>
  <c r="J304" i="6"/>
  <c r="O304" i="6" s="1"/>
  <c r="I304" i="6"/>
  <c r="L304" i="6"/>
  <c r="N304" i="6"/>
  <c r="M304" i="6"/>
  <c r="I261" i="6"/>
  <c r="E507" i="6"/>
  <c r="D508" i="6" s="1"/>
  <c r="L261" i="6"/>
  <c r="D594" i="6"/>
  <c r="J594" i="6"/>
  <c r="B594" i="6"/>
  <c r="H594" i="6"/>
  <c r="G594" i="6"/>
  <c r="F594" i="6"/>
  <c r="E594" i="6"/>
  <c r="C594" i="6"/>
  <c r="B425" i="6"/>
  <c r="B15" i="4"/>
  <c r="P15" i="4"/>
  <c r="F63" i="4"/>
  <c r="F62" i="4"/>
  <c r="F60" i="4"/>
  <c r="F56" i="4"/>
  <c r="U15" i="4"/>
  <c r="F15" i="4"/>
  <c r="F61" i="4"/>
  <c r="F57" i="4"/>
  <c r="F59" i="4"/>
  <c r="F55" i="4"/>
  <c r="E15" i="4"/>
  <c r="L15" i="4" s="1"/>
  <c r="O15" i="4"/>
  <c r="F58" i="4"/>
  <c r="E211" i="6"/>
  <c r="H324" i="6"/>
  <c r="M111" i="1" s="1"/>
  <c r="M109" i="1"/>
  <c r="M288" i="6"/>
  <c r="H316" i="6"/>
  <c r="H340" i="6" s="1"/>
  <c r="M139" i="1" s="1"/>
  <c r="F261" i="6"/>
  <c r="B634" i="6"/>
  <c r="Q20" i="3"/>
  <c r="V7" i="3"/>
  <c r="R20" i="3"/>
  <c r="H224" i="6"/>
  <c r="H226" i="6"/>
  <c r="H163" i="6"/>
  <c r="B614" i="6"/>
  <c r="M11" i="2"/>
  <c r="J286" i="6"/>
  <c r="B616" i="6"/>
  <c r="M13" i="2"/>
  <c r="K261" i="6"/>
  <c r="M200" i="6"/>
  <c r="M149" i="6"/>
  <c r="C14" i="2"/>
  <c r="I211" i="6"/>
  <c r="H335" i="6"/>
  <c r="M126" i="1" s="1"/>
  <c r="J249" i="6"/>
  <c r="G328" i="6"/>
  <c r="J116" i="1" s="1"/>
  <c r="O286" i="6"/>
  <c r="B617" i="6"/>
  <c r="M15" i="2"/>
  <c r="Q20" i="4"/>
  <c r="I321" i="6"/>
  <c r="H128" i="1" s="1"/>
  <c r="H275" i="6"/>
  <c r="H185" i="6"/>
  <c r="L225" i="6"/>
  <c r="L161" i="6"/>
  <c r="J595" i="6"/>
  <c r="B595" i="6"/>
  <c r="H595" i="6"/>
  <c r="G595" i="6"/>
  <c r="F595" i="6"/>
  <c r="D595" i="6"/>
  <c r="C595" i="6"/>
  <c r="E595" i="6"/>
  <c r="B426" i="6"/>
  <c r="G62" i="4"/>
  <c r="F16" i="4"/>
  <c r="G60" i="4"/>
  <c r="G56" i="4"/>
  <c r="P16" i="4"/>
  <c r="B16" i="4"/>
  <c r="O16" i="4"/>
  <c r="G59" i="4"/>
  <c r="G55" i="4"/>
  <c r="G63" i="4"/>
  <c r="E16" i="4"/>
  <c r="N16" i="4" s="1"/>
  <c r="G61" i="4"/>
  <c r="G58" i="4"/>
  <c r="U16" i="4"/>
  <c r="G57" i="4"/>
  <c r="G10" i="2"/>
  <c r="H10" i="2"/>
  <c r="E10" i="2"/>
  <c r="F10" i="2" s="1"/>
  <c r="D161" i="6"/>
  <c r="P158" i="6"/>
  <c r="D225" i="6"/>
  <c r="K14" i="2"/>
  <c r="K31" i="2" s="1"/>
  <c r="R14" i="2"/>
  <c r="R31" i="2" s="1"/>
  <c r="F302" i="6"/>
  <c r="O489" i="6"/>
  <c r="H577" i="6"/>
  <c r="F577" i="6"/>
  <c r="D577" i="6"/>
  <c r="E577" i="6"/>
  <c r="C577" i="6"/>
  <c r="B577" i="6"/>
  <c r="J577" i="6"/>
  <c r="G577" i="6"/>
  <c r="B420" i="6"/>
  <c r="P16" i="3"/>
  <c r="O16" i="3"/>
  <c r="G63" i="3"/>
  <c r="B16" i="3"/>
  <c r="G58" i="3"/>
  <c r="F16" i="3"/>
  <c r="E16" i="3"/>
  <c r="N16" i="3" s="1"/>
  <c r="G61" i="3"/>
  <c r="G57" i="3"/>
  <c r="G59" i="3"/>
  <c r="G55" i="3"/>
  <c r="U16" i="3"/>
  <c r="G62" i="3"/>
  <c r="G60" i="3"/>
  <c r="G56" i="3"/>
  <c r="M16" i="3"/>
  <c r="G324" i="6"/>
  <c r="J111" i="1" s="1"/>
  <c r="J109" i="1"/>
  <c r="G337" i="6"/>
  <c r="J131" i="1" s="1"/>
  <c r="D149" i="6"/>
  <c r="D200" i="6"/>
  <c r="P146" i="6"/>
  <c r="Q14" i="2"/>
  <c r="J14" i="2"/>
  <c r="E302" i="6"/>
  <c r="M213" i="6"/>
  <c r="E316" i="6"/>
  <c r="G211" i="6"/>
  <c r="P145" i="6"/>
  <c r="E197" i="6"/>
  <c r="D197" i="6"/>
  <c r="D199" i="6" s="1"/>
  <c r="E198" i="6"/>
  <c r="F197" i="6"/>
  <c r="F198" i="6"/>
  <c r="D198" i="6"/>
  <c r="T16" i="1"/>
  <c r="O134" i="1"/>
  <c r="O200" i="6"/>
  <c r="O149" i="6"/>
  <c r="G199" i="6"/>
  <c r="H596" i="6"/>
  <c r="F596" i="6"/>
  <c r="E596" i="6"/>
  <c r="D596" i="6"/>
  <c r="J596" i="6"/>
  <c r="G596" i="6"/>
  <c r="C596" i="6"/>
  <c r="B596" i="6"/>
  <c r="B427" i="6"/>
  <c r="P17" i="4"/>
  <c r="O17" i="4"/>
  <c r="H61" i="4"/>
  <c r="H60" i="4"/>
  <c r="H59" i="4"/>
  <c r="H58" i="4"/>
  <c r="H57" i="4"/>
  <c r="H56" i="4"/>
  <c r="H55" i="4"/>
  <c r="B17" i="4"/>
  <c r="H62" i="4"/>
  <c r="U17" i="4"/>
  <c r="F17" i="4"/>
  <c r="E17" i="4"/>
  <c r="H63" i="4"/>
  <c r="F275" i="6"/>
  <c r="F185" i="6"/>
  <c r="D275" i="6"/>
  <c r="P182" i="6"/>
  <c r="D185" i="6"/>
  <c r="H302" i="6"/>
  <c r="H326" i="6" s="1"/>
  <c r="M114" i="1" s="1"/>
  <c r="H328" i="6"/>
  <c r="M116" i="1" s="1"/>
  <c r="O487" i="6"/>
  <c r="L250" i="6"/>
  <c r="L173" i="6"/>
  <c r="L211" i="6"/>
  <c r="M225" i="6"/>
  <c r="M161" i="6"/>
  <c r="D14" i="2"/>
  <c r="D31" i="2" s="1"/>
  <c r="N238" i="6"/>
  <c r="N236" i="6"/>
  <c r="M238" i="6"/>
  <c r="F316" i="6"/>
  <c r="M236" i="6"/>
  <c r="M286" i="6"/>
  <c r="O275" i="6"/>
  <c r="O185" i="6"/>
  <c r="N522" i="6"/>
  <c r="F522" i="6"/>
  <c r="K522" i="6"/>
  <c r="J522" i="6"/>
  <c r="G522" i="6"/>
  <c r="B499" i="6"/>
  <c r="K303" i="6"/>
  <c r="E327" i="6"/>
  <c r="M303" i="6"/>
  <c r="L303" i="6"/>
  <c r="J303" i="6"/>
  <c r="I303" i="6"/>
  <c r="O303" i="6"/>
  <c r="N303" i="6"/>
  <c r="J238" i="6"/>
  <c r="J236" i="6"/>
  <c r="G286" i="6"/>
  <c r="O263" i="6"/>
  <c r="O261" i="6"/>
  <c r="G261" i="6"/>
  <c r="K251" i="6"/>
  <c r="K175" i="6"/>
  <c r="L236" i="6"/>
  <c r="K275" i="6"/>
  <c r="K185" i="6"/>
  <c r="I187" i="6"/>
  <c r="I276" i="6"/>
  <c r="F200" i="6"/>
  <c r="F149" i="6"/>
  <c r="B620" i="6"/>
  <c r="M18" i="2"/>
  <c r="E251" i="6"/>
  <c r="E175" i="6"/>
  <c r="H330" i="6"/>
  <c r="M118" i="1" s="1"/>
  <c r="F224" i="6"/>
  <c r="M261" i="6"/>
  <c r="O488" i="6"/>
  <c r="O12" i="2"/>
  <c r="L12" i="2"/>
  <c r="N12" i="2"/>
  <c r="B613" i="6"/>
  <c r="M9" i="2"/>
  <c r="J580" i="6"/>
  <c r="B580" i="6"/>
  <c r="H580" i="6"/>
  <c r="F580" i="6"/>
  <c r="G580" i="6"/>
  <c r="E580" i="6"/>
  <c r="D580" i="6"/>
  <c r="C580" i="6"/>
  <c r="B423" i="6"/>
  <c r="J61" i="3"/>
  <c r="J60" i="3"/>
  <c r="J64" i="3" s="1"/>
  <c r="J59" i="3"/>
  <c r="J58" i="3"/>
  <c r="J57" i="3"/>
  <c r="J56" i="3"/>
  <c r="J55" i="3"/>
  <c r="J63" i="3"/>
  <c r="F19" i="3"/>
  <c r="P19" i="3"/>
  <c r="B19" i="3"/>
  <c r="O19" i="3"/>
  <c r="J62" i="3"/>
  <c r="M19" i="3"/>
  <c r="E19" i="3"/>
  <c r="L19" i="3" s="1"/>
  <c r="U19" i="3"/>
  <c r="B623" i="6"/>
  <c r="M22" i="2"/>
  <c r="N199" i="6"/>
  <c r="M275" i="6"/>
  <c r="M185" i="6"/>
  <c r="M199" i="6"/>
  <c r="E320" i="6"/>
  <c r="F173" i="6"/>
  <c r="F250" i="6"/>
  <c r="N250" i="6"/>
  <c r="N173" i="6"/>
  <c r="J325" i="6"/>
  <c r="I112" i="1" s="1"/>
  <c r="N325" i="6"/>
  <c r="O112" i="1" s="1"/>
  <c r="K325" i="6"/>
  <c r="K112" i="1" s="1"/>
  <c r="I325" i="6"/>
  <c r="H112" i="1" s="1"/>
  <c r="M325" i="6"/>
  <c r="N112" i="1" s="1"/>
  <c r="L325" i="6"/>
  <c r="L112" i="1" s="1"/>
  <c r="F112" i="1"/>
  <c r="F593" i="6"/>
  <c r="D593" i="6"/>
  <c r="J593" i="6"/>
  <c r="B593" i="6"/>
  <c r="H593" i="6"/>
  <c r="G593" i="6"/>
  <c r="E593" i="6"/>
  <c r="C593" i="6"/>
  <c r="B424" i="6"/>
  <c r="E63" i="4"/>
  <c r="F14" i="4"/>
  <c r="U14" i="4"/>
  <c r="E14" i="4"/>
  <c r="M14" i="4" s="1"/>
  <c r="E61" i="4"/>
  <c r="E57" i="4"/>
  <c r="O14" i="4"/>
  <c r="B14" i="4"/>
  <c r="P14" i="4"/>
  <c r="E62" i="4"/>
  <c r="E60" i="4"/>
  <c r="E56" i="4"/>
  <c r="E58" i="4"/>
  <c r="E59" i="4"/>
  <c r="E55" i="4"/>
  <c r="O226" i="6"/>
  <c r="O163" i="6"/>
  <c r="E275" i="6"/>
  <c r="E185" i="6"/>
  <c r="H261" i="6"/>
  <c r="D211" i="6"/>
  <c r="F578" i="6"/>
  <c r="D578" i="6"/>
  <c r="J578" i="6"/>
  <c r="B578" i="6"/>
  <c r="H578" i="6"/>
  <c r="G578" i="6"/>
  <c r="E578" i="6"/>
  <c r="C578" i="6"/>
  <c r="B421" i="6"/>
  <c r="F17" i="3"/>
  <c r="H62" i="3"/>
  <c r="U17" i="3"/>
  <c r="M17" i="3"/>
  <c r="E17" i="3"/>
  <c r="L17" i="3" s="1"/>
  <c r="H63" i="3"/>
  <c r="O17" i="3"/>
  <c r="H60" i="3"/>
  <c r="H58" i="3"/>
  <c r="P17" i="3"/>
  <c r="H61" i="3"/>
  <c r="H57" i="3"/>
  <c r="H56" i="3"/>
  <c r="B17" i="3"/>
  <c r="H59" i="3"/>
  <c r="H55" i="3"/>
  <c r="C633" i="6"/>
  <c r="D633" i="6" s="1"/>
  <c r="E633" i="6" s="1"/>
  <c r="D49" i="7" s="1"/>
  <c r="B497" i="6"/>
  <c r="B491" i="6"/>
  <c r="C632" i="6"/>
  <c r="D632" i="6" s="1"/>
  <c r="E632" i="6" s="1"/>
  <c r="C641" i="6"/>
  <c r="C640" i="6"/>
  <c r="L300" i="6"/>
  <c r="I300" i="6"/>
  <c r="H109" i="1" s="1"/>
  <c r="E324" i="6"/>
  <c r="N300" i="6"/>
  <c r="E341" i="6"/>
  <c r="M300" i="6"/>
  <c r="N109" i="1" s="1"/>
  <c r="J300" i="6"/>
  <c r="O300" i="6" s="1"/>
  <c r="K300" i="6"/>
  <c r="K109" i="1" s="1"/>
  <c r="F109" i="1"/>
  <c r="B7" i="1"/>
  <c r="I149" i="6"/>
  <c r="I200" i="6"/>
  <c r="G327" i="6"/>
  <c r="J115" i="1" s="1"/>
  <c r="G330" i="6"/>
  <c r="J118" i="1" s="1"/>
  <c r="D261" i="6"/>
  <c r="F597" i="6"/>
  <c r="D597" i="6"/>
  <c r="C597" i="6"/>
  <c r="J597" i="6"/>
  <c r="B597" i="6"/>
  <c r="H597" i="6"/>
  <c r="G597" i="6"/>
  <c r="E597" i="6"/>
  <c r="B428" i="6"/>
  <c r="F18" i="4"/>
  <c r="U18" i="4"/>
  <c r="E18" i="4"/>
  <c r="I63" i="4"/>
  <c r="I59" i="4"/>
  <c r="I55" i="4"/>
  <c r="B18" i="4"/>
  <c r="P18" i="4"/>
  <c r="I62" i="4"/>
  <c r="I58" i="4"/>
  <c r="O18" i="4"/>
  <c r="I60" i="4"/>
  <c r="I56" i="4"/>
  <c r="I61" i="4"/>
  <c r="I57" i="4"/>
  <c r="B611" i="6"/>
  <c r="M7" i="2"/>
  <c r="M274" i="6"/>
  <c r="H320" i="6"/>
  <c r="B618" i="6"/>
  <c r="M16" i="2"/>
  <c r="F161" i="6"/>
  <c r="F225" i="6"/>
  <c r="B501" i="6"/>
  <c r="J306" i="6"/>
  <c r="E330" i="6"/>
  <c r="O306" i="6"/>
  <c r="N306" i="6"/>
  <c r="M306" i="6"/>
  <c r="L306" i="6"/>
  <c r="K306" i="6"/>
  <c r="I306" i="6"/>
  <c r="K66" i="3"/>
  <c r="K66" i="4"/>
  <c r="I286" i="6"/>
  <c r="H200" i="6"/>
  <c r="H149" i="6"/>
  <c r="B627" i="6"/>
  <c r="M29" i="2"/>
  <c r="G161" i="6"/>
  <c r="G225" i="6"/>
  <c r="H211" i="6"/>
  <c r="N261" i="6"/>
  <c r="G200" i="6"/>
  <c r="G149" i="6"/>
  <c r="M134" i="1"/>
  <c r="B625" i="6"/>
  <c r="M25" i="2"/>
  <c r="I236" i="6"/>
  <c r="D286" i="6"/>
  <c r="J321" i="6"/>
  <c r="D598" i="6"/>
  <c r="J598" i="6"/>
  <c r="B598" i="6"/>
  <c r="H598" i="6"/>
  <c r="F598" i="6"/>
  <c r="E598" i="6"/>
  <c r="C598" i="6"/>
  <c r="B429" i="6"/>
  <c r="G598" i="6"/>
  <c r="B19" i="4"/>
  <c r="J62" i="4"/>
  <c r="P19" i="4"/>
  <c r="J59" i="4"/>
  <c r="J55" i="4"/>
  <c r="J58" i="4"/>
  <c r="J60" i="4"/>
  <c r="J56" i="4"/>
  <c r="O19" i="4"/>
  <c r="J63" i="4"/>
  <c r="J61" i="4"/>
  <c r="J57" i="4"/>
  <c r="U19" i="4"/>
  <c r="E19" i="4"/>
  <c r="F19" i="4"/>
  <c r="O490" i="6"/>
  <c r="F330" i="6"/>
  <c r="G118" i="1" s="1"/>
  <c r="L66" i="3"/>
  <c r="L66" i="4"/>
  <c r="L67" i="4" s="1"/>
  <c r="D579" i="6"/>
  <c r="J579" i="6"/>
  <c r="B579" i="6"/>
  <c r="H579" i="6"/>
  <c r="G579" i="6"/>
  <c r="F579" i="6"/>
  <c r="E579" i="6"/>
  <c r="C579" i="6"/>
  <c r="B422" i="6"/>
  <c r="I62" i="3"/>
  <c r="B18" i="3"/>
  <c r="I61" i="3"/>
  <c r="I60" i="3"/>
  <c r="I64" i="3" s="1"/>
  <c r="I59" i="3"/>
  <c r="I58" i="3"/>
  <c r="I57" i="3"/>
  <c r="I56" i="3"/>
  <c r="I55" i="3"/>
  <c r="P18" i="3"/>
  <c r="U18" i="3"/>
  <c r="E18" i="3"/>
  <c r="L18" i="3" s="1"/>
  <c r="F18" i="3"/>
  <c r="I63" i="3"/>
  <c r="I65" i="3" s="1"/>
  <c r="M18" i="3"/>
  <c r="O18" i="3"/>
  <c r="O10" i="2"/>
  <c r="L10" i="2"/>
  <c r="M10" i="2" s="1"/>
  <c r="N10" i="2"/>
  <c r="G336" i="6"/>
  <c r="J130" i="1" s="1"/>
  <c r="J127" i="1"/>
  <c r="E225" i="6"/>
  <c r="E161" i="6"/>
  <c r="K225" i="6"/>
  <c r="K161" i="6"/>
  <c r="J276" i="6"/>
  <c r="J187" i="6"/>
  <c r="O23" i="2"/>
  <c r="N23" i="2"/>
  <c r="L23" i="2"/>
  <c r="G275" i="6"/>
  <c r="G185" i="6"/>
  <c r="N224" i="6"/>
  <c r="I250" i="6"/>
  <c r="I173" i="6"/>
  <c r="J576" i="6"/>
  <c r="B576" i="6"/>
  <c r="H576" i="6"/>
  <c r="F576" i="6"/>
  <c r="C576" i="6"/>
  <c r="G576" i="6"/>
  <c r="E576" i="6"/>
  <c r="D576" i="6"/>
  <c r="B419" i="6"/>
  <c r="F61" i="3"/>
  <c r="F60" i="3"/>
  <c r="F59" i="3"/>
  <c r="F58" i="3"/>
  <c r="F57" i="3"/>
  <c r="F56" i="3"/>
  <c r="F55" i="3"/>
  <c r="F15" i="3"/>
  <c r="M15" i="3"/>
  <c r="F63" i="3"/>
  <c r="U15" i="3"/>
  <c r="O15" i="3"/>
  <c r="E15" i="3"/>
  <c r="N15" i="3" s="1"/>
  <c r="F62" i="3"/>
  <c r="P15" i="3"/>
  <c r="B15" i="3"/>
  <c r="G134" i="1"/>
  <c r="H250" i="6"/>
  <c r="H173" i="6"/>
  <c r="J322" i="6"/>
  <c r="I129" i="1" s="1"/>
  <c r="N322" i="6"/>
  <c r="O129" i="1" s="1"/>
  <c r="M322" i="6"/>
  <c r="N129" i="1" s="1"/>
  <c r="L322" i="6"/>
  <c r="L129" i="1" s="1"/>
  <c r="K322" i="6"/>
  <c r="K129" i="1" s="1"/>
  <c r="I322" i="6"/>
  <c r="H129" i="1" s="1"/>
  <c r="F129" i="1"/>
  <c r="G251" i="6"/>
  <c r="G175" i="6"/>
  <c r="O249" i="6"/>
  <c r="L65" i="3"/>
  <c r="L67" i="3"/>
  <c r="I225" i="6"/>
  <c r="I161" i="6"/>
  <c r="J225" i="6"/>
  <c r="J161" i="6"/>
  <c r="E335" i="6"/>
  <c r="K315" i="6"/>
  <c r="I315" i="6"/>
  <c r="N315" i="6"/>
  <c r="L315" i="6"/>
  <c r="J315" i="6"/>
  <c r="O315" i="6" s="1"/>
  <c r="M315" i="6"/>
  <c r="D250" i="6"/>
  <c r="D173" i="6"/>
  <c r="P170" i="6"/>
  <c r="G302" i="6"/>
  <c r="G326" i="6" s="1"/>
  <c r="J114" i="1" s="1"/>
  <c r="D575" i="6"/>
  <c r="J575" i="6"/>
  <c r="B575" i="6"/>
  <c r="H575" i="6"/>
  <c r="G575" i="6"/>
  <c r="F575" i="6"/>
  <c r="E575" i="6"/>
  <c r="C575" i="6"/>
  <c r="B418" i="6"/>
  <c r="B14" i="3"/>
  <c r="E62" i="3"/>
  <c r="P14" i="3"/>
  <c r="E14" i="3"/>
  <c r="N14" i="3" s="1"/>
  <c r="E61" i="3"/>
  <c r="E57" i="3"/>
  <c r="M14" i="3"/>
  <c r="E55" i="3"/>
  <c r="E58" i="3"/>
  <c r="O14" i="3"/>
  <c r="U14" i="3"/>
  <c r="E63" i="3"/>
  <c r="F14" i="3"/>
  <c r="E60" i="3"/>
  <c r="E56" i="3"/>
  <c r="E59" i="3"/>
  <c r="G335" i="6"/>
  <c r="J126" i="1" s="1"/>
  <c r="H286" i="6"/>
  <c r="I319" i="6"/>
  <c r="H134" i="1" s="1"/>
  <c r="B619" i="6"/>
  <c r="M17" i="2"/>
  <c r="B621" i="6"/>
  <c r="M20" i="2"/>
  <c r="M249" i="6"/>
  <c r="J200" i="6"/>
  <c r="J149" i="6"/>
  <c r="F286" i="6"/>
  <c r="H327" i="6"/>
  <c r="M115" i="1" s="1"/>
  <c r="O251" i="6"/>
  <c r="O175" i="6"/>
  <c r="N200" i="6"/>
  <c r="N149" i="6"/>
  <c r="W65" i="3"/>
  <c r="B626" i="6"/>
  <c r="M27" i="2"/>
  <c r="E517" i="6"/>
  <c r="D518" i="6" s="1"/>
  <c r="L275" i="6"/>
  <c r="L185" i="6"/>
  <c r="K286" i="6"/>
  <c r="B486" i="6"/>
  <c r="F324" i="6"/>
  <c r="G111" i="1" s="1"/>
  <c r="G109" i="1"/>
  <c r="F337" i="6"/>
  <c r="G131" i="1" s="1"/>
  <c r="F328" i="6"/>
  <c r="G116" i="1" s="1"/>
  <c r="N286" i="6"/>
  <c r="N276" i="6"/>
  <c r="N187" i="6"/>
  <c r="J261" i="6"/>
  <c r="B622" i="6"/>
  <c r="M21" i="2"/>
  <c r="H236" i="6"/>
  <c r="J211" i="6"/>
  <c r="J175" i="6"/>
  <c r="J251" i="6"/>
  <c r="T20" i="4" l="1"/>
  <c r="V9" i="4" s="1"/>
  <c r="J64" i="4"/>
  <c r="L16" i="4"/>
  <c r="J65" i="4"/>
  <c r="S15" i="3"/>
  <c r="I64" i="4"/>
  <c r="I65" i="4"/>
  <c r="S17" i="3"/>
  <c r="K57" i="3"/>
  <c r="S16" i="3"/>
  <c r="H65" i="4"/>
  <c r="S18" i="4"/>
  <c r="H65" i="3"/>
  <c r="J507" i="6"/>
  <c r="F199" i="6"/>
  <c r="F517" i="6"/>
  <c r="S14" i="4"/>
  <c r="F65" i="3"/>
  <c r="N18" i="3"/>
  <c r="K61" i="3"/>
  <c r="M517" i="6"/>
  <c r="F64" i="3"/>
  <c r="G65" i="4"/>
  <c r="G64" i="4"/>
  <c r="M15" i="4"/>
  <c r="I517" i="6"/>
  <c r="K58" i="3"/>
  <c r="L15" i="3"/>
  <c r="M16" i="4"/>
  <c r="N15" i="4"/>
  <c r="J517" i="6"/>
  <c r="K59" i="4"/>
  <c r="K57" i="4"/>
  <c r="G65" i="3"/>
  <c r="K58" i="4"/>
  <c r="E10" i="1"/>
  <c r="P109" i="1"/>
  <c r="O421" i="6"/>
  <c r="I421" i="6"/>
  <c r="L421" i="6"/>
  <c r="H421" i="6"/>
  <c r="G421" i="6"/>
  <c r="N421" i="6"/>
  <c r="J421" i="6"/>
  <c r="F421" i="6"/>
  <c r="D421" i="6"/>
  <c r="K421" i="6"/>
  <c r="E421" i="6"/>
  <c r="M421" i="6"/>
  <c r="R14" i="4"/>
  <c r="Q14" i="4"/>
  <c r="J18" i="4"/>
  <c r="G18" i="4"/>
  <c r="H18" i="4" s="1"/>
  <c r="I18" i="4"/>
  <c r="K18" i="4"/>
  <c r="O14" i="2"/>
  <c r="J31" i="2"/>
  <c r="L14" i="2"/>
  <c r="M14" i="2" s="1"/>
  <c r="N14" i="2"/>
  <c r="E508" i="6"/>
  <c r="D509" i="6" s="1"/>
  <c r="E201" i="6"/>
  <c r="E151" i="6"/>
  <c r="K151" i="6"/>
  <c r="K201" i="6"/>
  <c r="J252" i="6"/>
  <c r="J242" i="6"/>
  <c r="J176" i="6"/>
  <c r="J201" i="6"/>
  <c r="J151" i="6"/>
  <c r="D48" i="7"/>
  <c r="E65" i="3"/>
  <c r="K63" i="3"/>
  <c r="K14" i="3"/>
  <c r="B9" i="3" s="1"/>
  <c r="B7" i="3"/>
  <c r="J14" i="3"/>
  <c r="I14" i="3"/>
  <c r="G14" i="3"/>
  <c r="I579" i="6"/>
  <c r="I575" i="6"/>
  <c r="I580" i="6"/>
  <c r="I578" i="6"/>
  <c r="I576" i="6"/>
  <c r="I577" i="6"/>
  <c r="D251" i="6"/>
  <c r="D175" i="6"/>
  <c r="P173" i="6"/>
  <c r="G305" i="6"/>
  <c r="G329" i="6" s="1"/>
  <c r="J117" i="1" s="1"/>
  <c r="O322" i="6"/>
  <c r="P129" i="1" s="1"/>
  <c r="D422" i="6"/>
  <c r="G422" i="6"/>
  <c r="J422" i="6"/>
  <c r="K422" i="6"/>
  <c r="N422" i="6"/>
  <c r="F422" i="6"/>
  <c r="H422" i="6"/>
  <c r="M422" i="6"/>
  <c r="O422" i="6"/>
  <c r="I422" i="6"/>
  <c r="E422" i="6"/>
  <c r="L422" i="6"/>
  <c r="Q19" i="4"/>
  <c r="R19" i="4"/>
  <c r="S19" i="4"/>
  <c r="M18" i="4"/>
  <c r="L341" i="6"/>
  <c r="K341" i="6"/>
  <c r="N341" i="6"/>
  <c r="O341" i="6"/>
  <c r="P140" i="1" s="1"/>
  <c r="M341" i="6"/>
  <c r="J341" i="6"/>
  <c r="I140" i="1" s="1"/>
  <c r="I341" i="6"/>
  <c r="H140" i="1" s="1"/>
  <c r="F140" i="1"/>
  <c r="J17" i="3"/>
  <c r="I17" i="3"/>
  <c r="K17" i="3"/>
  <c r="G17" i="3"/>
  <c r="H17" i="3" s="1"/>
  <c r="K56" i="4"/>
  <c r="K61" i="4"/>
  <c r="N251" i="6"/>
  <c r="N175" i="6"/>
  <c r="R19" i="3"/>
  <c r="Q19" i="3"/>
  <c r="F201" i="6"/>
  <c r="F151" i="6"/>
  <c r="O151" i="6"/>
  <c r="O201" i="6"/>
  <c r="S14" i="2"/>
  <c r="T14" i="2" s="1"/>
  <c r="Q31" i="2"/>
  <c r="S31" i="2" s="1"/>
  <c r="G14" i="2"/>
  <c r="C31" i="2"/>
  <c r="E14" i="2"/>
  <c r="F14" i="2" s="1"/>
  <c r="H14" i="2"/>
  <c r="G425" i="6"/>
  <c r="H425" i="6"/>
  <c r="I425" i="6"/>
  <c r="N425" i="6"/>
  <c r="M425" i="6"/>
  <c r="F425" i="6"/>
  <c r="O425" i="6"/>
  <c r="E425" i="6"/>
  <c r="K425" i="6"/>
  <c r="L425" i="6"/>
  <c r="D425" i="6"/>
  <c r="J425" i="6"/>
  <c r="J328" i="6"/>
  <c r="I116" i="1" s="1"/>
  <c r="N328" i="6"/>
  <c r="O116" i="1" s="1"/>
  <c r="K328" i="6"/>
  <c r="K116" i="1" s="1"/>
  <c r="I328" i="6"/>
  <c r="H116" i="1" s="1"/>
  <c r="M328" i="6"/>
  <c r="N116" i="1" s="1"/>
  <c r="L328" i="6"/>
  <c r="L116" i="1" s="1"/>
  <c r="F116" i="1"/>
  <c r="K63" i="4"/>
  <c r="E65" i="4"/>
  <c r="A594" i="6"/>
  <c r="B72" i="4"/>
  <c r="N56" i="4"/>
  <c r="F54" i="4"/>
  <c r="L276" i="6"/>
  <c r="L187" i="6"/>
  <c r="E226" i="6"/>
  <c r="E163" i="6"/>
  <c r="N424" i="6"/>
  <c r="L424" i="6"/>
  <c r="D424" i="6"/>
  <c r="K424" i="6"/>
  <c r="M424" i="6"/>
  <c r="I424" i="6"/>
  <c r="J424" i="6"/>
  <c r="H424" i="6"/>
  <c r="G424" i="6"/>
  <c r="F424" i="6"/>
  <c r="O424" i="6"/>
  <c r="E424" i="6"/>
  <c r="S14" i="3"/>
  <c r="M335" i="6"/>
  <c r="L335" i="6"/>
  <c r="L126" i="1" s="1"/>
  <c r="N335" i="6"/>
  <c r="O126" i="1" s="1"/>
  <c r="K335" i="6"/>
  <c r="J13" i="1"/>
  <c r="F126" i="1"/>
  <c r="G252" i="6"/>
  <c r="G242" i="6"/>
  <c r="G176" i="6"/>
  <c r="M419" i="6"/>
  <c r="E419" i="6"/>
  <c r="F419" i="6"/>
  <c r="O419" i="6"/>
  <c r="L419" i="6"/>
  <c r="D419" i="6"/>
  <c r="K419" i="6"/>
  <c r="I419" i="6"/>
  <c r="J419" i="6"/>
  <c r="N419" i="6"/>
  <c r="G419" i="6"/>
  <c r="H419" i="6"/>
  <c r="G226" i="6"/>
  <c r="G163" i="6"/>
  <c r="M501" i="6"/>
  <c r="I501" i="6"/>
  <c r="O501" i="6"/>
  <c r="I201" i="6"/>
  <c r="I151" i="6"/>
  <c r="D10" i="1"/>
  <c r="O109" i="1"/>
  <c r="E491" i="6"/>
  <c r="O491" i="6"/>
  <c r="E187" i="6"/>
  <c r="E276" i="6"/>
  <c r="E64" i="4"/>
  <c r="K60" i="4"/>
  <c r="K64" i="4" s="1"/>
  <c r="B7" i="4"/>
  <c r="J14" i="4"/>
  <c r="K14" i="4"/>
  <c r="B9" i="4" s="1"/>
  <c r="I14" i="4"/>
  <c r="G14" i="4"/>
  <c r="I596" i="6"/>
  <c r="I597" i="6"/>
  <c r="I595" i="6"/>
  <c r="I593" i="6"/>
  <c r="I598" i="6"/>
  <c r="I594" i="6"/>
  <c r="A580" i="6"/>
  <c r="J54" i="3"/>
  <c r="N60" i="3"/>
  <c r="B76" i="3"/>
  <c r="B615" i="6"/>
  <c r="M12" i="2"/>
  <c r="E199" i="6"/>
  <c r="G64" i="3"/>
  <c r="G16" i="3"/>
  <c r="H16" i="3" s="1"/>
  <c r="K16" i="3"/>
  <c r="J16" i="3"/>
  <c r="I16" i="3"/>
  <c r="O420" i="6"/>
  <c r="K420" i="6"/>
  <c r="G420" i="6"/>
  <c r="N420" i="6"/>
  <c r="L420" i="6"/>
  <c r="H420" i="6"/>
  <c r="F420" i="6"/>
  <c r="M420" i="6"/>
  <c r="D420" i="6"/>
  <c r="I420" i="6"/>
  <c r="E420" i="6"/>
  <c r="J420" i="6"/>
  <c r="M151" i="6"/>
  <c r="M201" i="6"/>
  <c r="C19" i="2"/>
  <c r="H227" i="6"/>
  <c r="H217" i="6"/>
  <c r="H164" i="6"/>
  <c r="R15" i="4"/>
  <c r="Q15" i="4"/>
  <c r="O500" i="6"/>
  <c r="L500" i="6"/>
  <c r="H500" i="6"/>
  <c r="I134" i="1"/>
  <c r="R16" i="1"/>
  <c r="I337" i="6"/>
  <c r="H131" i="1" s="1"/>
  <c r="L330" i="6"/>
  <c r="L118" i="1" s="1"/>
  <c r="J330" i="6"/>
  <c r="I118" i="1" s="1"/>
  <c r="I330" i="6"/>
  <c r="H118" i="1" s="1"/>
  <c r="O330" i="6"/>
  <c r="P118" i="1" s="1"/>
  <c r="N330" i="6"/>
  <c r="O118" i="1" s="1"/>
  <c r="K330" i="6"/>
  <c r="K118" i="1" s="1"/>
  <c r="M330" i="6"/>
  <c r="N118" i="1" s="1"/>
  <c r="F118" i="1"/>
  <c r="G17" i="4"/>
  <c r="H17" i="4" s="1"/>
  <c r="K17" i="4"/>
  <c r="J17" i="4"/>
  <c r="I17" i="4"/>
  <c r="R16" i="3"/>
  <c r="Q16" i="3"/>
  <c r="N201" i="6"/>
  <c r="N151" i="6"/>
  <c r="Q14" i="3"/>
  <c r="R14" i="3"/>
  <c r="J15" i="3"/>
  <c r="I15" i="3"/>
  <c r="K15" i="3"/>
  <c r="G15" i="3"/>
  <c r="H15" i="3" s="1"/>
  <c r="I175" i="6"/>
  <c r="I251" i="6"/>
  <c r="A598" i="6"/>
  <c r="B76" i="4"/>
  <c r="J54" i="4"/>
  <c r="N60" i="4"/>
  <c r="O497" i="6"/>
  <c r="K62" i="4"/>
  <c r="S19" i="3"/>
  <c r="O276" i="6"/>
  <c r="O187" i="6"/>
  <c r="F276" i="6"/>
  <c r="F187" i="6"/>
  <c r="H64" i="4"/>
  <c r="R16" i="4"/>
  <c r="Q16" i="4"/>
  <c r="I426" i="6"/>
  <c r="L426" i="6"/>
  <c r="H426" i="6"/>
  <c r="O426" i="6"/>
  <c r="K426" i="6"/>
  <c r="M426" i="6"/>
  <c r="N426" i="6"/>
  <c r="F426" i="6"/>
  <c r="E426" i="6"/>
  <c r="G426" i="6"/>
  <c r="D426" i="6"/>
  <c r="J426" i="6"/>
  <c r="K15" i="4"/>
  <c r="I15" i="4"/>
  <c r="G15" i="4"/>
  <c r="H15" i="4" s="1"/>
  <c r="J15" i="4"/>
  <c r="F64" i="4"/>
  <c r="I507" i="6"/>
  <c r="J337" i="6"/>
  <c r="I131" i="1" s="1"/>
  <c r="N217" i="6"/>
  <c r="N227" i="6"/>
  <c r="N164" i="6"/>
  <c r="H336" i="6"/>
  <c r="M130" i="1" s="1"/>
  <c r="M127" i="1"/>
  <c r="B10" i="1"/>
  <c r="I109" i="1"/>
  <c r="M276" i="6"/>
  <c r="M187" i="6"/>
  <c r="B498" i="6"/>
  <c r="N302" i="6"/>
  <c r="E326" i="6"/>
  <c r="M302" i="6"/>
  <c r="L302" i="6"/>
  <c r="K302" i="6"/>
  <c r="J302" i="6"/>
  <c r="O302" i="6" s="1"/>
  <c r="I302" i="6"/>
  <c r="A576" i="6"/>
  <c r="F54" i="3"/>
  <c r="N56" i="3"/>
  <c r="B72" i="3"/>
  <c r="F326" i="6"/>
  <c r="G114" i="1" s="1"/>
  <c r="B496" i="6"/>
  <c r="J163" i="6"/>
  <c r="J226" i="6"/>
  <c r="K59" i="3"/>
  <c r="H251" i="6"/>
  <c r="H175" i="6"/>
  <c r="K18" i="3"/>
  <c r="I18" i="3"/>
  <c r="G18" i="3"/>
  <c r="H18" i="3" s="1"/>
  <c r="J18" i="3"/>
  <c r="K19" i="4"/>
  <c r="J19" i="4"/>
  <c r="I19" i="4"/>
  <c r="G19" i="4"/>
  <c r="H19" i="4" s="1"/>
  <c r="L19" i="4"/>
  <c r="F163" i="6"/>
  <c r="F226" i="6"/>
  <c r="A597" i="6"/>
  <c r="N59" i="4"/>
  <c r="B75" i="4"/>
  <c r="I54" i="4"/>
  <c r="N18" i="4"/>
  <c r="M324" i="6"/>
  <c r="N111" i="1" s="1"/>
  <c r="L324" i="6"/>
  <c r="L111" i="1" s="1"/>
  <c r="K324" i="6"/>
  <c r="K111" i="1" s="1"/>
  <c r="J324" i="6"/>
  <c r="I111" i="1" s="1"/>
  <c r="O324" i="6"/>
  <c r="P111" i="1" s="1"/>
  <c r="N324" i="6"/>
  <c r="O111" i="1" s="1"/>
  <c r="I324" i="6"/>
  <c r="H111" i="1" s="1"/>
  <c r="F111" i="1"/>
  <c r="O227" i="6"/>
  <c r="O164" i="6"/>
  <c r="O217" i="6"/>
  <c r="O325" i="6"/>
  <c r="P112" i="1" s="1"/>
  <c r="F251" i="6"/>
  <c r="F175" i="6"/>
  <c r="I188" i="6"/>
  <c r="I267" i="6"/>
  <c r="I277" i="6"/>
  <c r="M226" i="6"/>
  <c r="M163" i="6"/>
  <c r="D19" i="2"/>
  <c r="D32" i="2" s="1"/>
  <c r="A596" i="6"/>
  <c r="H54" i="4"/>
  <c r="N58" i="4"/>
  <c r="B74" i="4"/>
  <c r="D201" i="6"/>
  <c r="D151" i="6"/>
  <c r="P149" i="6"/>
  <c r="Q19" i="2"/>
  <c r="J19" i="2"/>
  <c r="E305" i="6"/>
  <c r="A595" i="6"/>
  <c r="G54" i="4"/>
  <c r="B73" i="4"/>
  <c r="N57" i="4"/>
  <c r="L226" i="6"/>
  <c r="L163" i="6"/>
  <c r="M507" i="6"/>
  <c r="F336" i="6"/>
  <c r="G130" i="1" s="1"/>
  <c r="G127" i="1"/>
  <c r="L337" i="6"/>
  <c r="L131" i="1" s="1"/>
  <c r="N277" i="6"/>
  <c r="N267" i="6"/>
  <c r="N188" i="6"/>
  <c r="R17" i="3"/>
  <c r="Q17" i="3"/>
  <c r="L251" i="6"/>
  <c r="L175" i="6"/>
  <c r="Q18" i="3"/>
  <c r="R18" i="3"/>
  <c r="R18" i="4"/>
  <c r="Q18" i="4"/>
  <c r="K252" i="6"/>
  <c r="K242" i="6"/>
  <c r="K176" i="6"/>
  <c r="R15" i="3"/>
  <c r="F9" i="3" s="1"/>
  <c r="Q15" i="3"/>
  <c r="K56" i="3"/>
  <c r="L14" i="3"/>
  <c r="M19" i="4"/>
  <c r="G201" i="6"/>
  <c r="G151" i="6"/>
  <c r="H201" i="6"/>
  <c r="H151" i="6"/>
  <c r="L18" i="4"/>
  <c r="E428" i="6"/>
  <c r="K428" i="6"/>
  <c r="M428" i="6"/>
  <c r="D428" i="6"/>
  <c r="H428" i="6"/>
  <c r="L428" i="6"/>
  <c r="J428" i="6"/>
  <c r="O428" i="6"/>
  <c r="I428" i="6"/>
  <c r="G428" i="6"/>
  <c r="N428" i="6"/>
  <c r="F428" i="6"/>
  <c r="D19" i="1"/>
  <c r="A593" i="6"/>
  <c r="N55" i="4"/>
  <c r="B71" i="4"/>
  <c r="E54" i="4"/>
  <c r="E336" i="6"/>
  <c r="L320" i="6"/>
  <c r="L127" i="1" s="1"/>
  <c r="N320" i="6"/>
  <c r="O127" i="1" s="1"/>
  <c r="M320" i="6"/>
  <c r="N127" i="1" s="1"/>
  <c r="K320" i="6"/>
  <c r="K127" i="1" s="1"/>
  <c r="J320" i="6"/>
  <c r="I127" i="1" s="1"/>
  <c r="I320" i="6"/>
  <c r="H127" i="1" s="1"/>
  <c r="F127" i="1"/>
  <c r="J19" i="3"/>
  <c r="I19" i="3"/>
  <c r="G19" i="3"/>
  <c r="H19" i="3" s="1"/>
  <c r="K19" i="3"/>
  <c r="N19" i="3"/>
  <c r="E242" i="6"/>
  <c r="E176" i="6"/>
  <c r="E252" i="6"/>
  <c r="K276" i="6"/>
  <c r="K187" i="6"/>
  <c r="M17" i="4"/>
  <c r="L17" i="4"/>
  <c r="R17" i="4"/>
  <c r="Q17" i="4"/>
  <c r="L316" i="6"/>
  <c r="E340" i="6"/>
  <c r="I316" i="6"/>
  <c r="N316" i="6"/>
  <c r="M316" i="6"/>
  <c r="K316" i="6"/>
  <c r="J316" i="6"/>
  <c r="O316" i="6" s="1"/>
  <c r="A577" i="6"/>
  <c r="B73" i="3"/>
  <c r="G54" i="3"/>
  <c r="N57" i="3"/>
  <c r="D226" i="6"/>
  <c r="P161" i="6"/>
  <c r="D163" i="6"/>
  <c r="R19" i="2"/>
  <c r="R32" i="2" s="1"/>
  <c r="K19" i="2"/>
  <c r="K32" i="2" s="1"/>
  <c r="F305" i="6"/>
  <c r="F329" i="6" s="1"/>
  <c r="G117" i="1" s="1"/>
  <c r="S16" i="4"/>
  <c r="W66" i="3"/>
  <c r="T20" i="3"/>
  <c r="V9" i="3" s="1"/>
  <c r="F65" i="4"/>
  <c r="N507" i="6"/>
  <c r="A578" i="6"/>
  <c r="B74" i="3"/>
  <c r="N58" i="3"/>
  <c r="H54" i="3"/>
  <c r="F340" i="6"/>
  <c r="G139" i="1" s="1"/>
  <c r="F335" i="6"/>
  <c r="G126" i="1" s="1"/>
  <c r="K427" i="6"/>
  <c r="I427" i="6"/>
  <c r="J427" i="6"/>
  <c r="F427" i="6"/>
  <c r="O427" i="6"/>
  <c r="N427" i="6"/>
  <c r="H427" i="6"/>
  <c r="D427" i="6"/>
  <c r="M427" i="6"/>
  <c r="G427" i="6"/>
  <c r="E427" i="6"/>
  <c r="L427" i="6"/>
  <c r="B624" i="6"/>
  <c r="M23" i="2"/>
  <c r="I499" i="6"/>
  <c r="O499" i="6"/>
  <c r="M499" i="6"/>
  <c r="D276" i="6"/>
  <c r="P185" i="6"/>
  <c r="D187" i="6"/>
  <c r="H305" i="6"/>
  <c r="H329" i="6" s="1"/>
  <c r="M117" i="1" s="1"/>
  <c r="K62" i="3"/>
  <c r="A575" i="6"/>
  <c r="E54" i="3"/>
  <c r="B71" i="3"/>
  <c r="N55" i="3"/>
  <c r="J267" i="6"/>
  <c r="J188" i="6"/>
  <c r="J277" i="6"/>
  <c r="E518" i="6"/>
  <c r="D519" i="6" s="1"/>
  <c r="O242" i="6"/>
  <c r="O176" i="6"/>
  <c r="O252" i="6"/>
  <c r="K55" i="3"/>
  <c r="I226" i="6"/>
  <c r="I163" i="6"/>
  <c r="E486" i="6"/>
  <c r="O486" i="6"/>
  <c r="N517" i="6"/>
  <c r="E64" i="3"/>
  <c r="K60" i="3"/>
  <c r="K64" i="3" s="1"/>
  <c r="E418" i="6"/>
  <c r="J418" i="6"/>
  <c r="K418" i="6"/>
  <c r="G418" i="6"/>
  <c r="N418" i="6"/>
  <c r="O418" i="6"/>
  <c r="I418" i="6"/>
  <c r="M418" i="6"/>
  <c r="H418" i="6"/>
  <c r="L418" i="6"/>
  <c r="F418" i="6"/>
  <c r="D418" i="6"/>
  <c r="G276" i="6"/>
  <c r="G187" i="6"/>
  <c r="K226" i="6"/>
  <c r="K163" i="6"/>
  <c r="S18" i="3"/>
  <c r="A579" i="6"/>
  <c r="B75" i="3"/>
  <c r="N59" i="3"/>
  <c r="I54" i="3"/>
  <c r="N19" i="4"/>
  <c r="L429" i="6"/>
  <c r="K429" i="6"/>
  <c r="M429" i="6"/>
  <c r="F429" i="6"/>
  <c r="J429" i="6"/>
  <c r="D429" i="6"/>
  <c r="H429" i="6"/>
  <c r="O429" i="6"/>
  <c r="E429" i="6"/>
  <c r="I429" i="6"/>
  <c r="N429" i="6"/>
  <c r="G429" i="6"/>
  <c r="I128" i="1"/>
  <c r="O321" i="6"/>
  <c r="P128" i="1" s="1"/>
  <c r="C10" i="1"/>
  <c r="L109" i="1"/>
  <c r="H64" i="3"/>
  <c r="N17" i="3"/>
  <c r="K55" i="4"/>
  <c r="L14" i="4"/>
  <c r="N14" i="4"/>
  <c r="J65" i="3"/>
  <c r="F423" i="6"/>
  <c r="J423" i="6"/>
  <c r="N423" i="6"/>
  <c r="K423" i="6"/>
  <c r="I423" i="6"/>
  <c r="L423" i="6"/>
  <c r="E423" i="6"/>
  <c r="H423" i="6"/>
  <c r="D423" i="6"/>
  <c r="O423" i="6"/>
  <c r="M423" i="6"/>
  <c r="G423" i="6"/>
  <c r="L327" i="6"/>
  <c r="L115" i="1" s="1"/>
  <c r="J327" i="6"/>
  <c r="I115" i="1" s="1"/>
  <c r="I327" i="6"/>
  <c r="H115" i="1" s="1"/>
  <c r="N327" i="6"/>
  <c r="O115" i="1" s="1"/>
  <c r="M327" i="6"/>
  <c r="N115" i="1" s="1"/>
  <c r="K327" i="6"/>
  <c r="K115" i="1" s="1"/>
  <c r="F115" i="1"/>
  <c r="N17" i="4"/>
  <c r="S17" i="4"/>
  <c r="L16" i="3"/>
  <c r="J16" i="4"/>
  <c r="I16" i="4"/>
  <c r="G16" i="4"/>
  <c r="H16" i="4" s="1"/>
  <c r="K16" i="4"/>
  <c r="H276" i="6"/>
  <c r="H187" i="6"/>
  <c r="S15" i="4"/>
  <c r="F507" i="6"/>
  <c r="M251" i="6"/>
  <c r="M175" i="6"/>
  <c r="L201" i="6"/>
  <c r="L151" i="6"/>
  <c r="K337" i="6"/>
  <c r="K131" i="1" s="1"/>
  <c r="O319" i="6"/>
  <c r="J9" i="3" l="1"/>
  <c r="E519" i="6"/>
  <c r="D520" i="6" s="1"/>
  <c r="M519" i="6"/>
  <c r="I519" i="6"/>
  <c r="L296" i="6"/>
  <c r="L192" i="6"/>
  <c r="L152" i="6"/>
  <c r="L202" i="6"/>
  <c r="L294" i="6"/>
  <c r="U58" i="3"/>
  <c r="T58" i="3"/>
  <c r="Q58" i="3"/>
  <c r="V58" i="3"/>
  <c r="R58" i="3"/>
  <c r="S58" i="3"/>
  <c r="G296" i="6"/>
  <c r="G202" i="6"/>
  <c r="G192" i="6"/>
  <c r="G152" i="6"/>
  <c r="G294" i="6"/>
  <c r="O19" i="2"/>
  <c r="N19" i="2"/>
  <c r="L19" i="2"/>
  <c r="M19" i="2" s="1"/>
  <c r="J32" i="2"/>
  <c r="V59" i="4"/>
  <c r="S59" i="4"/>
  <c r="U59" i="4"/>
  <c r="Q59" i="4"/>
  <c r="T59" i="4"/>
  <c r="R59" i="4"/>
  <c r="H498" i="6"/>
  <c r="O498" i="6"/>
  <c r="L498" i="6"/>
  <c r="F277" i="6"/>
  <c r="F267" i="6"/>
  <c r="F188" i="6"/>
  <c r="I242" i="6"/>
  <c r="I252" i="6"/>
  <c r="I176" i="6"/>
  <c r="W56" i="4"/>
  <c r="T15" i="4"/>
  <c r="C638" i="6"/>
  <c r="G253" i="6"/>
  <c r="G177" i="6"/>
  <c r="G178" i="6" s="1"/>
  <c r="G254" i="6" s="1"/>
  <c r="J335" i="6"/>
  <c r="I126" i="1" s="1"/>
  <c r="J296" i="6"/>
  <c r="J202" i="6"/>
  <c r="J192" i="6"/>
  <c r="J152" i="6"/>
  <c r="J294" i="6"/>
  <c r="U16" i="1"/>
  <c r="P134" i="1"/>
  <c r="H277" i="6"/>
  <c r="H267" i="6"/>
  <c r="H188" i="6"/>
  <c r="I518" i="6"/>
  <c r="M242" i="6"/>
  <c r="M176" i="6"/>
  <c r="M252" i="6"/>
  <c r="U59" i="3"/>
  <c r="T59" i="3"/>
  <c r="Q59" i="3"/>
  <c r="S59" i="3"/>
  <c r="V59" i="3"/>
  <c r="R59" i="3"/>
  <c r="D487" i="6"/>
  <c r="M518" i="6"/>
  <c r="U55" i="3"/>
  <c r="T55" i="3"/>
  <c r="Q55" i="3"/>
  <c r="S55" i="3"/>
  <c r="R55" i="3"/>
  <c r="V55" i="3"/>
  <c r="G74" i="3"/>
  <c r="F74" i="3"/>
  <c r="H74" i="3"/>
  <c r="E74" i="3"/>
  <c r="U57" i="3"/>
  <c r="T57" i="3"/>
  <c r="Q57" i="3"/>
  <c r="V57" i="3"/>
  <c r="S57" i="3"/>
  <c r="R57" i="3"/>
  <c r="K267" i="6"/>
  <c r="K188" i="6"/>
  <c r="K277" i="6"/>
  <c r="O320" i="6"/>
  <c r="P127" i="1" s="1"/>
  <c r="W58" i="3"/>
  <c r="T17" i="3"/>
  <c r="L227" i="6"/>
  <c r="L217" i="6"/>
  <c r="L164" i="6"/>
  <c r="Q32" i="2"/>
  <c r="S32" i="2" s="1"/>
  <c r="S19" i="2"/>
  <c r="T19" i="2" s="1"/>
  <c r="J217" i="6"/>
  <c r="J227" i="6"/>
  <c r="J164" i="6"/>
  <c r="M277" i="6"/>
  <c r="M267" i="6"/>
  <c r="M188" i="6"/>
  <c r="H228" i="6"/>
  <c r="H165" i="6"/>
  <c r="H166" i="6" s="1"/>
  <c r="H229" i="6" s="1"/>
  <c r="I335" i="6"/>
  <c r="E227" i="6"/>
  <c r="E217" i="6"/>
  <c r="E164" i="6"/>
  <c r="H31" i="2"/>
  <c r="G31" i="2"/>
  <c r="E31" i="2"/>
  <c r="I508" i="6"/>
  <c r="W55" i="4"/>
  <c r="F7" i="4"/>
  <c r="T14" i="4"/>
  <c r="J7" i="4"/>
  <c r="J9" i="4"/>
  <c r="F9" i="4"/>
  <c r="G277" i="6"/>
  <c r="G267" i="6"/>
  <c r="G188" i="6"/>
  <c r="H75" i="3"/>
  <c r="E75" i="3"/>
  <c r="G75" i="3"/>
  <c r="F75" i="3"/>
  <c r="I227" i="6"/>
  <c r="I217" i="6"/>
  <c r="I164" i="6"/>
  <c r="F518" i="6"/>
  <c r="H71" i="3"/>
  <c r="E71" i="3"/>
  <c r="G71" i="3"/>
  <c r="F71" i="3"/>
  <c r="N278" i="6"/>
  <c r="N189" i="6"/>
  <c r="N190" i="6" s="1"/>
  <c r="N279" i="6" s="1"/>
  <c r="M227" i="6"/>
  <c r="M217" i="6"/>
  <c r="M164" i="6"/>
  <c r="D24" i="2"/>
  <c r="D33" i="2" s="1"/>
  <c r="O496" i="6"/>
  <c r="L496" i="6"/>
  <c r="H496" i="6"/>
  <c r="O277" i="6"/>
  <c r="O267" i="6"/>
  <c r="O188" i="6"/>
  <c r="T16" i="3"/>
  <c r="W57" i="3"/>
  <c r="G217" i="6"/>
  <c r="G164" i="6"/>
  <c r="G227" i="6"/>
  <c r="K65" i="4"/>
  <c r="K67" i="4"/>
  <c r="T19" i="3"/>
  <c r="W60" i="3"/>
  <c r="J253" i="6"/>
  <c r="J177" i="6"/>
  <c r="J178" i="6" s="1"/>
  <c r="J254" i="6" s="1"/>
  <c r="M508" i="6"/>
  <c r="N31" i="2"/>
  <c r="O31" i="2"/>
  <c r="L31" i="2"/>
  <c r="N518" i="6"/>
  <c r="E73" i="3"/>
  <c r="F73" i="3"/>
  <c r="H73" i="3"/>
  <c r="G73" i="3"/>
  <c r="N340" i="6"/>
  <c r="O139" i="1" s="1"/>
  <c r="K340" i="6"/>
  <c r="K139" i="1" s="1"/>
  <c r="M340" i="6"/>
  <c r="N139" i="1" s="1"/>
  <c r="L340" i="6"/>
  <c r="L139" i="1" s="1"/>
  <c r="J340" i="6"/>
  <c r="I139" i="1" s="1"/>
  <c r="I340" i="6"/>
  <c r="H139" i="1" s="1"/>
  <c r="F139" i="1"/>
  <c r="J336" i="6"/>
  <c r="I130" i="1" s="1"/>
  <c r="I336" i="6"/>
  <c r="N336" i="6"/>
  <c r="O130" i="1" s="1"/>
  <c r="L336" i="6"/>
  <c r="L130" i="1" s="1"/>
  <c r="K336" i="6"/>
  <c r="M336" i="6"/>
  <c r="F130" i="1"/>
  <c r="N13" i="1"/>
  <c r="W59" i="4"/>
  <c r="T18" i="4"/>
  <c r="V57" i="4"/>
  <c r="S57" i="4"/>
  <c r="T57" i="4"/>
  <c r="R57" i="4"/>
  <c r="Q57" i="4"/>
  <c r="U57" i="4"/>
  <c r="J215" i="6"/>
  <c r="I215" i="6"/>
  <c r="M194" i="6"/>
  <c r="E194" i="6"/>
  <c r="E212" i="6" s="1"/>
  <c r="D296" i="6"/>
  <c r="N215" i="6"/>
  <c r="F215" i="6"/>
  <c r="J194" i="6"/>
  <c r="J212" i="6" s="1"/>
  <c r="G215" i="6"/>
  <c r="H194" i="6"/>
  <c r="H212" i="6" s="1"/>
  <c r="E215" i="6"/>
  <c r="G194" i="6"/>
  <c r="G212" i="6" s="1"/>
  <c r="D152" i="6"/>
  <c r="D215" i="6"/>
  <c r="F194" i="6"/>
  <c r="F212" i="6" s="1"/>
  <c r="P151" i="6"/>
  <c r="M215" i="6"/>
  <c r="L215" i="6"/>
  <c r="O194" i="6"/>
  <c r="O212" i="6" s="1"/>
  <c r="K215" i="6"/>
  <c r="N194" i="6"/>
  <c r="N212" i="6" s="1"/>
  <c r="H215" i="6"/>
  <c r="L194" i="6"/>
  <c r="L212" i="6" s="1"/>
  <c r="D192" i="6"/>
  <c r="K194" i="6"/>
  <c r="K212" i="6" s="1"/>
  <c r="I194" i="6"/>
  <c r="I212" i="6" s="1"/>
  <c r="D202" i="6"/>
  <c r="D194" i="6"/>
  <c r="D212" i="6" s="1"/>
  <c r="O215" i="6"/>
  <c r="Q24" i="2"/>
  <c r="J24" i="2"/>
  <c r="E307" i="6"/>
  <c r="C637" i="6"/>
  <c r="B529" i="6"/>
  <c r="D294" i="6"/>
  <c r="D24" i="1"/>
  <c r="O228" i="6"/>
  <c r="O165" i="6"/>
  <c r="O166" i="6" s="1"/>
  <c r="O229" i="6" s="1"/>
  <c r="F217" i="6"/>
  <c r="F164" i="6"/>
  <c r="F227" i="6"/>
  <c r="V60" i="4"/>
  <c r="S60" i="4"/>
  <c r="U60" i="4"/>
  <c r="T60" i="4"/>
  <c r="R60" i="4"/>
  <c r="Q60" i="4"/>
  <c r="G76" i="3"/>
  <c r="H76" i="3"/>
  <c r="F76" i="3"/>
  <c r="E76" i="3"/>
  <c r="I296" i="6"/>
  <c r="I202" i="6"/>
  <c r="I192" i="6"/>
  <c r="I152" i="6"/>
  <c r="I294" i="6"/>
  <c r="N126" i="1"/>
  <c r="L16" i="1"/>
  <c r="L277" i="6"/>
  <c r="L267" i="6"/>
  <c r="L188" i="6"/>
  <c r="N242" i="6"/>
  <c r="N176" i="6"/>
  <c r="N252" i="6"/>
  <c r="J508" i="6"/>
  <c r="E253" i="6"/>
  <c r="E177" i="6"/>
  <c r="E178" i="6" s="1"/>
  <c r="E254" i="6" s="1"/>
  <c r="T18" i="3"/>
  <c r="W59" i="3"/>
  <c r="G73" i="4"/>
  <c r="F73" i="4"/>
  <c r="H73" i="4"/>
  <c r="E73" i="4"/>
  <c r="G72" i="3"/>
  <c r="H72" i="3"/>
  <c r="F72" i="3"/>
  <c r="E72" i="3"/>
  <c r="G19" i="2"/>
  <c r="C32" i="2"/>
  <c r="H19" i="2"/>
  <c r="E19" i="2"/>
  <c r="F19" i="2" s="1"/>
  <c r="U60" i="3"/>
  <c r="T60" i="3"/>
  <c r="Q60" i="3"/>
  <c r="V60" i="3"/>
  <c r="S60" i="3"/>
  <c r="R60" i="3"/>
  <c r="K67" i="3"/>
  <c r="B636" i="6" s="1"/>
  <c r="K65" i="3"/>
  <c r="E509" i="6"/>
  <c r="D510" i="6" s="1"/>
  <c r="H74" i="4"/>
  <c r="E74" i="4"/>
  <c r="F74" i="4"/>
  <c r="G74" i="4"/>
  <c r="H252" i="6"/>
  <c r="H242" i="6"/>
  <c r="H176" i="6"/>
  <c r="U56" i="3"/>
  <c r="T56" i="3"/>
  <c r="Q56" i="3"/>
  <c r="R56" i="3"/>
  <c r="V56" i="3"/>
  <c r="S56" i="3"/>
  <c r="E76" i="4"/>
  <c r="F76" i="4"/>
  <c r="G76" i="4"/>
  <c r="H76" i="4"/>
  <c r="T14" i="3"/>
  <c r="J7" i="3"/>
  <c r="W55" i="3"/>
  <c r="F7" i="3"/>
  <c r="R7" i="4"/>
  <c r="R9" i="4"/>
  <c r="N9" i="4"/>
  <c r="N7" i="4"/>
  <c r="H14" i="4"/>
  <c r="D22" i="1"/>
  <c r="K16" i="1"/>
  <c r="K126" i="1"/>
  <c r="W60" i="4"/>
  <c r="T19" i="4"/>
  <c r="F508" i="6"/>
  <c r="K217" i="6"/>
  <c r="K227" i="6"/>
  <c r="K164" i="6"/>
  <c r="J518" i="6"/>
  <c r="G71" i="4"/>
  <c r="H71" i="4"/>
  <c r="F71" i="4"/>
  <c r="E71" i="4"/>
  <c r="O253" i="6"/>
  <c r="O177" i="6"/>
  <c r="O178" i="6" s="1"/>
  <c r="O254" i="6" s="1"/>
  <c r="B527" i="6"/>
  <c r="D527" i="6" s="1"/>
  <c r="M240" i="6"/>
  <c r="E240" i="6"/>
  <c r="I219" i="6"/>
  <c r="I237" i="6" s="1"/>
  <c r="L240" i="6"/>
  <c r="D240" i="6"/>
  <c r="H219" i="6"/>
  <c r="H237" i="6" s="1"/>
  <c r="K240" i="6"/>
  <c r="I240" i="6"/>
  <c r="M219" i="6"/>
  <c r="E219" i="6"/>
  <c r="E237" i="6" s="1"/>
  <c r="J240" i="6"/>
  <c r="J219" i="6"/>
  <c r="J237" i="6" s="1"/>
  <c r="H240" i="6"/>
  <c r="G219" i="6"/>
  <c r="G237" i="6" s="1"/>
  <c r="G240" i="6"/>
  <c r="F219" i="6"/>
  <c r="F237" i="6" s="1"/>
  <c r="O219" i="6"/>
  <c r="O237" i="6" s="1"/>
  <c r="N219" i="6"/>
  <c r="N237" i="6" s="1"/>
  <c r="O240" i="6"/>
  <c r="L219" i="6"/>
  <c r="L237" i="6" s="1"/>
  <c r="N240" i="6"/>
  <c r="K219" i="6"/>
  <c r="K237" i="6" s="1"/>
  <c r="D164" i="6"/>
  <c r="F240" i="6"/>
  <c r="D219" i="6"/>
  <c r="D237" i="6" s="1"/>
  <c r="D217" i="6"/>
  <c r="P163" i="6"/>
  <c r="D227" i="6"/>
  <c r="K24" i="2"/>
  <c r="K33" i="2" s="1"/>
  <c r="R24" i="2"/>
  <c r="R33" i="2" s="1"/>
  <c r="F307" i="6"/>
  <c r="W58" i="4"/>
  <c r="T17" i="4"/>
  <c r="V55" i="4"/>
  <c r="S55" i="4"/>
  <c r="Q55" i="4"/>
  <c r="U55" i="4"/>
  <c r="T55" i="4"/>
  <c r="R55" i="4"/>
  <c r="H296" i="6"/>
  <c r="H202" i="6"/>
  <c r="H152" i="6"/>
  <c r="H192" i="6"/>
  <c r="H294" i="6"/>
  <c r="T15" i="3"/>
  <c r="W56" i="3"/>
  <c r="L252" i="6"/>
  <c r="L242" i="6"/>
  <c r="L176" i="6"/>
  <c r="V58" i="4"/>
  <c r="S58" i="4"/>
  <c r="Q58" i="4"/>
  <c r="T58" i="4"/>
  <c r="R58" i="4"/>
  <c r="U58" i="4"/>
  <c r="I278" i="6"/>
  <c r="I189" i="6"/>
  <c r="I190" i="6" s="1"/>
  <c r="I279" i="6" s="1"/>
  <c r="K326" i="6"/>
  <c r="J326" i="6"/>
  <c r="I114" i="1" s="1"/>
  <c r="I326" i="6"/>
  <c r="N326" i="6"/>
  <c r="O114" i="1" s="1"/>
  <c r="M326" i="6"/>
  <c r="L326" i="6"/>
  <c r="L114" i="1" s="1"/>
  <c r="F114" i="1"/>
  <c r="F7" i="1"/>
  <c r="W57" i="4"/>
  <c r="T16" i="4"/>
  <c r="M296" i="6"/>
  <c r="M202" i="6"/>
  <c r="M152" i="6"/>
  <c r="M192" i="6"/>
  <c r="C24" i="2"/>
  <c r="M294" i="6"/>
  <c r="E277" i="6"/>
  <c r="E267" i="6"/>
  <c r="E188" i="6"/>
  <c r="V56" i="4"/>
  <c r="S56" i="4"/>
  <c r="U56" i="4"/>
  <c r="T56" i="4"/>
  <c r="R56" i="4"/>
  <c r="Q56" i="4"/>
  <c r="O328" i="6"/>
  <c r="P116" i="1" s="1"/>
  <c r="O296" i="6"/>
  <c r="O202" i="6"/>
  <c r="O192" i="6"/>
  <c r="O152" i="6"/>
  <c r="O295" i="6"/>
  <c r="B528" i="6"/>
  <c r="D528" i="6" s="1"/>
  <c r="H265" i="6"/>
  <c r="D252" i="6"/>
  <c r="L244" i="6"/>
  <c r="L262" i="6" s="1"/>
  <c r="D244" i="6"/>
  <c r="D262" i="6" s="1"/>
  <c r="O265" i="6"/>
  <c r="G265" i="6"/>
  <c r="K244" i="6"/>
  <c r="K262" i="6" s="1"/>
  <c r="D242" i="6"/>
  <c r="N265" i="6"/>
  <c r="F265" i="6"/>
  <c r="J244" i="6"/>
  <c r="J262" i="6" s="1"/>
  <c r="L265" i="6"/>
  <c r="D265" i="6"/>
  <c r="H244" i="6"/>
  <c r="H262" i="6" s="1"/>
  <c r="M265" i="6"/>
  <c r="I244" i="6"/>
  <c r="I262" i="6" s="1"/>
  <c r="K265" i="6"/>
  <c r="G244" i="6"/>
  <c r="G262" i="6" s="1"/>
  <c r="D176" i="6"/>
  <c r="J265" i="6"/>
  <c r="F244" i="6"/>
  <c r="F262" i="6" s="1"/>
  <c r="P175" i="6"/>
  <c r="E265" i="6"/>
  <c r="O244" i="6"/>
  <c r="O262" i="6" s="1"/>
  <c r="M244" i="6"/>
  <c r="N244" i="6"/>
  <c r="N262" i="6" s="1"/>
  <c r="I265" i="6"/>
  <c r="E244" i="6"/>
  <c r="E262" i="6" s="1"/>
  <c r="G307" i="6"/>
  <c r="H14" i="3"/>
  <c r="R9" i="3"/>
  <c r="N7" i="3"/>
  <c r="D21" i="1"/>
  <c r="R7" i="3"/>
  <c r="N9" i="3"/>
  <c r="K296" i="6"/>
  <c r="K192" i="6"/>
  <c r="K152" i="6"/>
  <c r="K202" i="6"/>
  <c r="K294" i="6"/>
  <c r="N508" i="6"/>
  <c r="J278" i="6"/>
  <c r="J189" i="6"/>
  <c r="J190" i="6" s="1"/>
  <c r="J279" i="6" s="1"/>
  <c r="B526" i="6"/>
  <c r="D526" i="6" s="1"/>
  <c r="K290" i="6"/>
  <c r="J290" i="6"/>
  <c r="L290" i="6"/>
  <c r="O269" i="6"/>
  <c r="O287" i="6" s="1"/>
  <c r="G269" i="6"/>
  <c r="G287" i="6" s="1"/>
  <c r="I290" i="6"/>
  <c r="N269" i="6"/>
  <c r="N287" i="6" s="1"/>
  <c r="F269" i="6"/>
  <c r="F287" i="6" s="1"/>
  <c r="H290" i="6"/>
  <c r="D277" i="6"/>
  <c r="M269" i="6"/>
  <c r="E269" i="6"/>
  <c r="E287" i="6" s="1"/>
  <c r="F290" i="6"/>
  <c r="K269" i="6"/>
  <c r="K287" i="6" s="1"/>
  <c r="D267" i="6"/>
  <c r="L269" i="6"/>
  <c r="L287" i="6" s="1"/>
  <c r="O290" i="6"/>
  <c r="J269" i="6"/>
  <c r="J287" i="6" s="1"/>
  <c r="N290" i="6"/>
  <c r="I269" i="6"/>
  <c r="I287" i="6" s="1"/>
  <c r="G290" i="6"/>
  <c r="D269" i="6"/>
  <c r="D287" i="6" s="1"/>
  <c r="E290" i="6"/>
  <c r="P187" i="6"/>
  <c r="D290" i="6"/>
  <c r="H269" i="6"/>
  <c r="H287" i="6" s="1"/>
  <c r="M290" i="6"/>
  <c r="D188" i="6"/>
  <c r="H307" i="6"/>
  <c r="K253" i="6"/>
  <c r="K177" i="6"/>
  <c r="K178" i="6" s="1"/>
  <c r="K254" i="6" s="1"/>
  <c r="C634" i="6"/>
  <c r="D634" i="6" s="1"/>
  <c r="E634" i="6" s="1"/>
  <c r="C635" i="6"/>
  <c r="D635" i="6" s="1"/>
  <c r="E635" i="6" s="1"/>
  <c r="D51" i="7" s="1"/>
  <c r="M305" i="6"/>
  <c r="E329" i="6"/>
  <c r="I305" i="6"/>
  <c r="N305" i="6"/>
  <c r="K305" i="6"/>
  <c r="L305" i="6"/>
  <c r="J305" i="6"/>
  <c r="O305" i="6" s="1"/>
  <c r="F252" i="6"/>
  <c r="F176" i="6"/>
  <c r="F242" i="6"/>
  <c r="G75" i="4"/>
  <c r="H75" i="4"/>
  <c r="F75" i="4"/>
  <c r="E75" i="4"/>
  <c r="N228" i="6"/>
  <c r="N165" i="6"/>
  <c r="N166" i="6" s="1"/>
  <c r="N229" i="6" s="1"/>
  <c r="N296" i="6"/>
  <c r="N202" i="6"/>
  <c r="N192" i="6"/>
  <c r="N152" i="6"/>
  <c r="N295" i="6"/>
  <c r="O335" i="6"/>
  <c r="E72" i="4"/>
  <c r="H72" i="4"/>
  <c r="G72" i="4"/>
  <c r="F72" i="4"/>
  <c r="F296" i="6"/>
  <c r="F202" i="6"/>
  <c r="F192" i="6"/>
  <c r="F152" i="6"/>
  <c r="F294" i="6"/>
  <c r="E202" i="6"/>
  <c r="E296" i="6"/>
  <c r="E152" i="6"/>
  <c r="E192" i="6"/>
  <c r="E294" i="6"/>
  <c r="F519" i="6" l="1"/>
  <c r="O326" i="6"/>
  <c r="I73" i="4"/>
  <c r="N509" i="6"/>
  <c r="I74" i="3"/>
  <c r="I74" i="4"/>
  <c r="N519" i="6"/>
  <c r="I75" i="3"/>
  <c r="M509" i="6"/>
  <c r="O336" i="6"/>
  <c r="P130" i="1" s="1"/>
  <c r="J519" i="6"/>
  <c r="H77" i="4"/>
  <c r="I72" i="4"/>
  <c r="J509" i="6"/>
  <c r="K329" i="6"/>
  <c r="J329" i="6"/>
  <c r="I117" i="1" s="1"/>
  <c r="I329" i="6"/>
  <c r="N329" i="6"/>
  <c r="O117" i="1" s="1"/>
  <c r="M329" i="6"/>
  <c r="L329" i="6"/>
  <c r="L117" i="1" s="1"/>
  <c r="J7" i="1"/>
  <c r="F117" i="1"/>
  <c r="G24" i="2"/>
  <c r="E24" i="2"/>
  <c r="F24" i="2" s="1"/>
  <c r="H24" i="2"/>
  <c r="C33" i="2"/>
  <c r="L253" i="6"/>
  <c r="L177" i="6"/>
  <c r="L178" i="6" s="1"/>
  <c r="L254" i="6" s="1"/>
  <c r="F317" i="6"/>
  <c r="F338" i="6" s="1"/>
  <c r="G135" i="1" s="1"/>
  <c r="M237" i="6"/>
  <c r="O278" i="6"/>
  <c r="O189" i="6"/>
  <c r="O190" i="6" s="1"/>
  <c r="O279" i="6" s="1"/>
  <c r="I71" i="3"/>
  <c r="E77" i="3"/>
  <c r="J165" i="6"/>
  <c r="J166" i="6" s="1"/>
  <c r="J229" i="6" s="1"/>
  <c r="J228" i="6"/>
  <c r="M203" i="6"/>
  <c r="M153" i="6"/>
  <c r="C26" i="2"/>
  <c r="F253" i="6"/>
  <c r="F177" i="6"/>
  <c r="F178" i="6" s="1"/>
  <c r="F254" i="6" s="1"/>
  <c r="H317" i="6"/>
  <c r="H338" i="6" s="1"/>
  <c r="M135" i="1" s="1"/>
  <c r="M287" i="6"/>
  <c r="I76" i="3"/>
  <c r="E317" i="6"/>
  <c r="M212" i="6"/>
  <c r="H278" i="6"/>
  <c r="H189" i="6"/>
  <c r="H190" i="6" s="1"/>
  <c r="H279" i="6" s="1"/>
  <c r="F278" i="6"/>
  <c r="F189" i="6"/>
  <c r="F190" i="6" s="1"/>
  <c r="F279" i="6" s="1"/>
  <c r="K203" i="6"/>
  <c r="K153" i="6"/>
  <c r="K154" i="6" s="1"/>
  <c r="K204" i="6" s="1"/>
  <c r="O153" i="6"/>
  <c r="O154" i="6" s="1"/>
  <c r="O204" i="6" s="1"/>
  <c r="O203" i="6"/>
  <c r="K165" i="6"/>
  <c r="K166" i="6" s="1"/>
  <c r="K229" i="6" s="1"/>
  <c r="K228" i="6"/>
  <c r="F509" i="6"/>
  <c r="C529" i="6"/>
  <c r="D529" i="6" s="1"/>
  <c r="M228" i="6"/>
  <c r="M165" i="6"/>
  <c r="D26" i="2"/>
  <c r="D34" i="2" s="1"/>
  <c r="H77" i="3"/>
  <c r="D228" i="6"/>
  <c r="D165" i="6"/>
  <c r="P164" i="6"/>
  <c r="K26" i="2"/>
  <c r="K34" i="2" s="1"/>
  <c r="R26" i="2"/>
  <c r="R34" i="2" s="1"/>
  <c r="F308" i="6"/>
  <c r="H130" i="1"/>
  <c r="N16" i="1"/>
  <c r="G278" i="6"/>
  <c r="G189" i="6"/>
  <c r="G190" i="6" s="1"/>
  <c r="G279" i="6" s="1"/>
  <c r="B495" i="6"/>
  <c r="F339" i="6"/>
  <c r="G136" i="1" s="1"/>
  <c r="F331" i="6"/>
  <c r="G120" i="1" s="1"/>
  <c r="G119" i="1"/>
  <c r="J16" i="1"/>
  <c r="H126" i="1"/>
  <c r="F203" i="6"/>
  <c r="F153" i="6"/>
  <c r="F154" i="6" s="1"/>
  <c r="F204" i="6" s="1"/>
  <c r="P126" i="1"/>
  <c r="M16" i="1"/>
  <c r="I75" i="4"/>
  <c r="D50" i="7"/>
  <c r="F165" i="6"/>
  <c r="F166" i="6" s="1"/>
  <c r="F229" i="6" s="1"/>
  <c r="F228" i="6"/>
  <c r="C636" i="6"/>
  <c r="D636" i="6" s="1"/>
  <c r="E636" i="6" s="1"/>
  <c r="D52" i="7" s="1"/>
  <c r="B502" i="6"/>
  <c r="E342" i="6"/>
  <c r="E331" i="6"/>
  <c r="D20" i="1" s="1"/>
  <c r="E339" i="6"/>
  <c r="N307" i="6"/>
  <c r="M307" i="6"/>
  <c r="N119" i="1" s="1"/>
  <c r="L307" i="6"/>
  <c r="K307" i="6"/>
  <c r="K119" i="1" s="1"/>
  <c r="J307" i="6"/>
  <c r="O307" i="6" s="1"/>
  <c r="I307" i="6"/>
  <c r="H119" i="1" s="1"/>
  <c r="N7" i="1"/>
  <c r="F119" i="1"/>
  <c r="N216" i="6"/>
  <c r="F216" i="6"/>
  <c r="M216" i="6"/>
  <c r="E216" i="6"/>
  <c r="J216" i="6"/>
  <c r="H216" i="6"/>
  <c r="G216" i="6"/>
  <c r="D216" i="6"/>
  <c r="O216" i="6"/>
  <c r="L216" i="6"/>
  <c r="P192" i="6"/>
  <c r="I216" i="6"/>
  <c r="K216" i="6"/>
  <c r="E310" i="6"/>
  <c r="O340" i="6"/>
  <c r="P139" i="1" s="1"/>
  <c r="I228" i="6"/>
  <c r="I165" i="6"/>
  <c r="I166" i="6" s="1"/>
  <c r="I229" i="6" s="1"/>
  <c r="E487" i="6"/>
  <c r="G153" i="6"/>
  <c r="G154" i="6" s="1"/>
  <c r="G204" i="6" s="1"/>
  <c r="G203" i="6"/>
  <c r="K291" i="6"/>
  <c r="G291" i="6"/>
  <c r="O291" i="6"/>
  <c r="F291" i="6"/>
  <c r="J291" i="6"/>
  <c r="P267" i="6"/>
  <c r="I291" i="6"/>
  <c r="H291" i="6"/>
  <c r="D291" i="6"/>
  <c r="E291" i="6"/>
  <c r="N291" i="6"/>
  <c r="L291" i="6"/>
  <c r="M291" i="6"/>
  <c r="H310" i="6"/>
  <c r="I71" i="4"/>
  <c r="E77" i="4"/>
  <c r="B637" i="6"/>
  <c r="D637" i="6" s="1"/>
  <c r="E637" i="6" s="1"/>
  <c r="D53" i="7" s="1"/>
  <c r="O24" i="2"/>
  <c r="L24" i="2"/>
  <c r="M24" i="2" s="1"/>
  <c r="J33" i="2"/>
  <c r="N24" i="2"/>
  <c r="G165" i="6"/>
  <c r="G166" i="6" s="1"/>
  <c r="G229" i="6" s="1"/>
  <c r="G228" i="6"/>
  <c r="K278" i="6"/>
  <c r="K189" i="6"/>
  <c r="K190" i="6" s="1"/>
  <c r="K279" i="6" s="1"/>
  <c r="N203" i="6"/>
  <c r="N153" i="6"/>
  <c r="N154" i="6" s="1"/>
  <c r="N204" i="6" s="1"/>
  <c r="F77" i="4"/>
  <c r="H253" i="6"/>
  <c r="H177" i="6"/>
  <c r="H178" i="6" s="1"/>
  <c r="H254" i="6" s="1"/>
  <c r="I509" i="6"/>
  <c r="Q33" i="2"/>
  <c r="S33" i="2" s="1"/>
  <c r="T45" i="2"/>
  <c r="T47" i="2" s="1"/>
  <c r="T48" i="2" s="1"/>
  <c r="S24" i="2"/>
  <c r="T24" i="2" s="1"/>
  <c r="P16" i="1"/>
  <c r="N130" i="1"/>
  <c r="M278" i="6"/>
  <c r="M189" i="6"/>
  <c r="M190" i="6" s="1"/>
  <c r="M279" i="6" s="1"/>
  <c r="L228" i="6"/>
  <c r="L165" i="6"/>
  <c r="L166" i="6" s="1"/>
  <c r="L229" i="6" s="1"/>
  <c r="M253" i="6"/>
  <c r="M177" i="6"/>
  <c r="M178" i="6" s="1"/>
  <c r="M254" i="6" s="1"/>
  <c r="I253" i="6"/>
  <c r="I177" i="6"/>
  <c r="I178" i="6" s="1"/>
  <c r="I254" i="6" s="1"/>
  <c r="G331" i="6"/>
  <c r="J120" i="1" s="1"/>
  <c r="G339" i="6"/>
  <c r="J136" i="1" s="1"/>
  <c r="J119" i="1"/>
  <c r="H10" i="1"/>
  <c r="N114" i="1"/>
  <c r="D253" i="6"/>
  <c r="D177" i="6"/>
  <c r="P176" i="6"/>
  <c r="G308" i="6"/>
  <c r="E278" i="6"/>
  <c r="E189" i="6"/>
  <c r="E190" i="6" s="1"/>
  <c r="E279" i="6" s="1"/>
  <c r="F10" i="1"/>
  <c r="H114" i="1"/>
  <c r="G317" i="6"/>
  <c r="G338" i="6" s="1"/>
  <c r="J135" i="1" s="1"/>
  <c r="M262" i="6"/>
  <c r="I76" i="4"/>
  <c r="I72" i="3"/>
  <c r="L278" i="6"/>
  <c r="L189" i="6"/>
  <c r="L190" i="6" s="1"/>
  <c r="L279" i="6" s="1"/>
  <c r="D203" i="6"/>
  <c r="D153" i="6"/>
  <c r="P152" i="6"/>
  <c r="Q26" i="2"/>
  <c r="J26" i="2"/>
  <c r="E308" i="6"/>
  <c r="Q16" i="1"/>
  <c r="F77" i="3"/>
  <c r="J203" i="6"/>
  <c r="J153" i="6"/>
  <c r="J154" i="6" s="1"/>
  <c r="J204" i="6" s="1"/>
  <c r="L32" i="2"/>
  <c r="O32" i="2"/>
  <c r="N32" i="2"/>
  <c r="E32" i="2"/>
  <c r="H32" i="2"/>
  <c r="G32" i="2"/>
  <c r="N253" i="6"/>
  <c r="N177" i="6"/>
  <c r="N178" i="6" s="1"/>
  <c r="N254" i="6" s="1"/>
  <c r="I203" i="6"/>
  <c r="I153" i="6"/>
  <c r="I154" i="6" s="1"/>
  <c r="I204" i="6" s="1"/>
  <c r="H331" i="6"/>
  <c r="M120" i="1" s="1"/>
  <c r="H339" i="6"/>
  <c r="M136" i="1" s="1"/>
  <c r="M119" i="1"/>
  <c r="K114" i="1"/>
  <c r="G10" i="1"/>
  <c r="E203" i="6"/>
  <c r="E153" i="6"/>
  <c r="E154" i="6" s="1"/>
  <c r="E204" i="6" s="1"/>
  <c r="D278" i="6"/>
  <c r="D189" i="6"/>
  <c r="P188" i="6"/>
  <c r="H308" i="6"/>
  <c r="L266" i="6"/>
  <c r="D266" i="6"/>
  <c r="K266" i="6"/>
  <c r="J266" i="6"/>
  <c r="H266" i="6"/>
  <c r="O266" i="6"/>
  <c r="P242" i="6"/>
  <c r="N266" i="6"/>
  <c r="I266" i="6"/>
  <c r="M266" i="6"/>
  <c r="G266" i="6"/>
  <c r="E266" i="6"/>
  <c r="F266" i="6"/>
  <c r="G310" i="6"/>
  <c r="I10" i="1"/>
  <c r="P114" i="1"/>
  <c r="H153" i="6"/>
  <c r="H154" i="6" s="1"/>
  <c r="H204" i="6" s="1"/>
  <c r="H203" i="6"/>
  <c r="I241" i="6"/>
  <c r="H241" i="6"/>
  <c r="O241" i="6"/>
  <c r="G241" i="6"/>
  <c r="M241" i="6"/>
  <c r="E241" i="6"/>
  <c r="N241" i="6"/>
  <c r="L241" i="6"/>
  <c r="K241" i="6"/>
  <c r="F241" i="6"/>
  <c r="D241" i="6"/>
  <c r="P217" i="6"/>
  <c r="J241" i="6"/>
  <c r="F310" i="6"/>
  <c r="G77" i="4"/>
  <c r="E510" i="6"/>
  <c r="D511" i="6" s="1"/>
  <c r="I510" i="6"/>
  <c r="O16" i="1"/>
  <c r="K130" i="1"/>
  <c r="I73" i="3"/>
  <c r="G77" i="3"/>
  <c r="E228" i="6"/>
  <c r="E165" i="6"/>
  <c r="E166" i="6" s="1"/>
  <c r="E229" i="6" s="1"/>
  <c r="L153" i="6"/>
  <c r="L154" i="6" s="1"/>
  <c r="L204" i="6" s="1"/>
  <c r="L203" i="6"/>
  <c r="E520" i="6"/>
  <c r="D521" i="6" s="1"/>
  <c r="I520" i="6"/>
  <c r="M520" i="6" l="1"/>
  <c r="N520" i="6"/>
  <c r="J520" i="6"/>
  <c r="F520" i="6"/>
  <c r="O33" i="2"/>
  <c r="L33" i="2"/>
  <c r="N33" i="2"/>
  <c r="I331" i="6"/>
  <c r="M331" i="6"/>
  <c r="J331" i="6"/>
  <c r="I120" i="1" s="1"/>
  <c r="N331" i="6"/>
  <c r="O120" i="1" s="1"/>
  <c r="L331" i="6"/>
  <c r="L120" i="1" s="1"/>
  <c r="K331" i="6"/>
  <c r="F120" i="1"/>
  <c r="R7" i="1"/>
  <c r="F332" i="6"/>
  <c r="G121" i="1"/>
  <c r="M166" i="6"/>
  <c r="D28" i="2"/>
  <c r="I317" i="6"/>
  <c r="M317" i="6"/>
  <c r="O317" i="6"/>
  <c r="N317" i="6"/>
  <c r="L317" i="6"/>
  <c r="K317" i="6"/>
  <c r="J317" i="6"/>
  <c r="E338" i="6"/>
  <c r="J510" i="6"/>
  <c r="S26" i="2"/>
  <c r="T26" i="2" s="1"/>
  <c r="Q34" i="2"/>
  <c r="S34" i="2" s="1"/>
  <c r="P177" i="6"/>
  <c r="D178" i="6"/>
  <c r="I119" i="1"/>
  <c r="N10" i="1"/>
  <c r="I342" i="6"/>
  <c r="H141" i="1" s="1"/>
  <c r="M342" i="6"/>
  <c r="N342" i="6"/>
  <c r="O342" i="6"/>
  <c r="P141" i="1" s="1"/>
  <c r="L342" i="6"/>
  <c r="K342" i="6"/>
  <c r="J342" i="6"/>
  <c r="I141" i="1" s="1"/>
  <c r="F141" i="1"/>
  <c r="O502" i="6"/>
  <c r="E502" i="6"/>
  <c r="N117" i="1"/>
  <c r="L10" i="1"/>
  <c r="E511" i="6"/>
  <c r="I511" i="6" s="1"/>
  <c r="F510" i="6"/>
  <c r="E521" i="6"/>
  <c r="F521" i="6" s="1"/>
  <c r="N510" i="6"/>
  <c r="P153" i="6"/>
  <c r="D154" i="6"/>
  <c r="Q28" i="2"/>
  <c r="J28" i="2"/>
  <c r="D488" i="6"/>
  <c r="L119" i="1"/>
  <c r="O10" i="1"/>
  <c r="E495" i="6"/>
  <c r="O495" i="6"/>
  <c r="I77" i="3"/>
  <c r="B640" i="6" s="1"/>
  <c r="D640" i="6" s="1"/>
  <c r="E640" i="6" s="1"/>
  <c r="D56" i="7" s="1"/>
  <c r="E33" i="2"/>
  <c r="H33" i="2"/>
  <c r="G33" i="2"/>
  <c r="F334" i="6"/>
  <c r="G125" i="1" s="1"/>
  <c r="G124" i="1"/>
  <c r="J34" i="2"/>
  <c r="O26" i="2"/>
  <c r="L26" i="2"/>
  <c r="M26" i="2" s="1"/>
  <c r="N26" i="2"/>
  <c r="I77" i="4"/>
  <c r="B641" i="6" s="1"/>
  <c r="D641" i="6" s="1"/>
  <c r="E641" i="6" s="1"/>
  <c r="D57" i="7" s="1"/>
  <c r="D166" i="6"/>
  <c r="P165" i="6"/>
  <c r="K28" i="2"/>
  <c r="R28" i="2"/>
  <c r="H117" i="1"/>
  <c r="J10" i="1"/>
  <c r="P10" i="1"/>
  <c r="O119" i="1"/>
  <c r="Q10" i="1"/>
  <c r="P119" i="1"/>
  <c r="G26" i="2"/>
  <c r="E26" i="2"/>
  <c r="F26" i="2" s="1"/>
  <c r="H26" i="2"/>
  <c r="C34" i="2"/>
  <c r="K10" i="1"/>
  <c r="K117" i="1"/>
  <c r="H332" i="6"/>
  <c r="M121" i="1"/>
  <c r="H334" i="6"/>
  <c r="M125" i="1" s="1"/>
  <c r="M124" i="1"/>
  <c r="M510" i="6"/>
  <c r="G334" i="6"/>
  <c r="J125" i="1" s="1"/>
  <c r="J124" i="1"/>
  <c r="D190" i="6"/>
  <c r="P189" i="6"/>
  <c r="L308" i="6"/>
  <c r="L121" i="1" s="1"/>
  <c r="M308" i="6"/>
  <c r="N121" i="1" s="1"/>
  <c r="K308" i="6"/>
  <c r="K121" i="1" s="1"/>
  <c r="J308" i="6"/>
  <c r="I121" i="1" s="1"/>
  <c r="I308" i="6"/>
  <c r="H121" i="1" s="1"/>
  <c r="N308" i="6"/>
  <c r="O121" i="1" s="1"/>
  <c r="E332" i="6"/>
  <c r="F121" i="1"/>
  <c r="G332" i="6"/>
  <c r="J121" i="1"/>
  <c r="N310" i="6"/>
  <c r="I310" i="6"/>
  <c r="H124" i="1" s="1"/>
  <c r="O310" i="6"/>
  <c r="M310" i="6"/>
  <c r="N124" i="1" s="1"/>
  <c r="L310" i="6"/>
  <c r="K310" i="6"/>
  <c r="K124" i="1" s="1"/>
  <c r="J310" i="6"/>
  <c r="E334" i="6"/>
  <c r="B13" i="1"/>
  <c r="F124" i="1"/>
  <c r="J339" i="6"/>
  <c r="I136" i="1" s="1"/>
  <c r="I339" i="6"/>
  <c r="H136" i="1" s="1"/>
  <c r="N339" i="6"/>
  <c r="O136" i="1" s="1"/>
  <c r="L339" i="6"/>
  <c r="L136" i="1" s="1"/>
  <c r="M339" i="6"/>
  <c r="N136" i="1" s="1"/>
  <c r="K339" i="6"/>
  <c r="K136" i="1" s="1"/>
  <c r="F136" i="1"/>
  <c r="M154" i="6"/>
  <c r="C28" i="2"/>
  <c r="O329" i="6"/>
  <c r="M511" i="6" l="1"/>
  <c r="N511" i="6"/>
  <c r="D23" i="1"/>
  <c r="O331" i="6"/>
  <c r="U10" i="1" s="1"/>
  <c r="M338" i="6"/>
  <c r="L338" i="6"/>
  <c r="L135" i="1" s="1"/>
  <c r="I338" i="6"/>
  <c r="N338" i="6"/>
  <c r="O135" i="1" s="1"/>
  <c r="J338" i="6"/>
  <c r="I135" i="1" s="1"/>
  <c r="K338" i="6"/>
  <c r="F135" i="1"/>
  <c r="V13" i="1"/>
  <c r="M204" i="6"/>
  <c r="C30" i="2"/>
  <c r="L124" i="1"/>
  <c r="C16" i="1"/>
  <c r="N332" i="6"/>
  <c r="J332" i="6"/>
  <c r="O332" i="6" s="1"/>
  <c r="I332" i="6"/>
  <c r="M332" i="6"/>
  <c r="L332" i="6"/>
  <c r="K332" i="6"/>
  <c r="D229" i="6"/>
  <c r="P166" i="6"/>
  <c r="K30" i="2"/>
  <c r="K35" i="2" s="1"/>
  <c r="R30" i="2"/>
  <c r="R35" i="2" s="1"/>
  <c r="F309" i="6"/>
  <c r="M521" i="6"/>
  <c r="M229" i="6"/>
  <c r="D30" i="2"/>
  <c r="D35" i="2" s="1"/>
  <c r="E488" i="6"/>
  <c r="J521" i="6"/>
  <c r="G28" i="2"/>
  <c r="H28" i="2"/>
  <c r="E28" i="2"/>
  <c r="F28" i="2" s="1"/>
  <c r="I521" i="6"/>
  <c r="D279" i="6"/>
  <c r="P190" i="6"/>
  <c r="H309" i="6"/>
  <c r="P124" i="1"/>
  <c r="E16" i="1"/>
  <c r="O308" i="6"/>
  <c r="P121" i="1" s="1"/>
  <c r="O28" i="2"/>
  <c r="L28" i="2"/>
  <c r="M28" i="2" s="1"/>
  <c r="N28" i="2"/>
  <c r="N521" i="6"/>
  <c r="F511" i="6"/>
  <c r="D254" i="6"/>
  <c r="P178" i="6"/>
  <c r="G309" i="6"/>
  <c r="N120" i="1"/>
  <c r="T10" i="1"/>
  <c r="H34" i="2"/>
  <c r="G34" i="2"/>
  <c r="E34" i="2"/>
  <c r="S28" i="2"/>
  <c r="T28" i="2" s="1"/>
  <c r="J511" i="6"/>
  <c r="R10" i="1"/>
  <c r="H120" i="1"/>
  <c r="P154" i="6"/>
  <c r="D204" i="6"/>
  <c r="Q30" i="2"/>
  <c r="J30" i="2"/>
  <c r="E309" i="6"/>
  <c r="L334" i="6"/>
  <c r="L125" i="1" s="1"/>
  <c r="I334" i="6"/>
  <c r="N334" i="6"/>
  <c r="O125" i="1" s="1"/>
  <c r="M334" i="6"/>
  <c r="K334" i="6"/>
  <c r="J334" i="6"/>
  <c r="I125" i="1" s="1"/>
  <c r="F125" i="1"/>
  <c r="F13" i="1"/>
  <c r="K120" i="1"/>
  <c r="S10" i="1"/>
  <c r="O124" i="1"/>
  <c r="D16" i="1"/>
  <c r="O34" i="2"/>
  <c r="N34" i="2"/>
  <c r="L34" i="2"/>
  <c r="D496" i="6"/>
  <c r="P117" i="1"/>
  <c r="M10" i="1"/>
  <c r="O339" i="6"/>
  <c r="P136" i="1" s="1"/>
  <c r="I124" i="1"/>
  <c r="B16" i="1"/>
  <c r="C639" i="6"/>
  <c r="P120" i="1" l="1"/>
  <c r="H125" i="1"/>
  <c r="F16" i="1"/>
  <c r="G333" i="6"/>
  <c r="J122" i="1"/>
  <c r="W16" i="1"/>
  <c r="K135" i="1"/>
  <c r="O334" i="6"/>
  <c r="I309" i="6"/>
  <c r="H122" i="1" s="1"/>
  <c r="K309" i="6"/>
  <c r="K122" i="1" s="1"/>
  <c r="J309" i="6"/>
  <c r="O309" i="6" s="1"/>
  <c r="E333" i="6"/>
  <c r="N309" i="6"/>
  <c r="M309" i="6"/>
  <c r="N122" i="1" s="1"/>
  <c r="L309" i="6"/>
  <c r="F122" i="1"/>
  <c r="V7" i="1"/>
  <c r="E496" i="6"/>
  <c r="O30" i="2"/>
  <c r="L30" i="2"/>
  <c r="M30" i="2" s="1"/>
  <c r="N30" i="2"/>
  <c r="J35" i="2"/>
  <c r="H333" i="6"/>
  <c r="M122" i="1"/>
  <c r="O338" i="6"/>
  <c r="C35" i="2"/>
  <c r="G30" i="2"/>
  <c r="H30" i="2"/>
  <c r="E30" i="2"/>
  <c r="F30" i="2" s="1"/>
  <c r="H135" i="1"/>
  <c r="V16" i="1"/>
  <c r="S30" i="2"/>
  <c r="T30" i="2" s="1"/>
  <c r="Q35" i="2"/>
  <c r="S35" i="2" s="1"/>
  <c r="G16" i="1"/>
  <c r="K125" i="1"/>
  <c r="N125" i="1"/>
  <c r="H16" i="1"/>
  <c r="D489" i="6"/>
  <c r="F333" i="6"/>
  <c r="G122" i="1"/>
  <c r="N135" i="1"/>
  <c r="X16" i="1"/>
  <c r="G35" i="2" l="1"/>
  <c r="E35" i="2"/>
  <c r="H35" i="2"/>
  <c r="L122" i="1"/>
  <c r="W10" i="1"/>
  <c r="P125" i="1"/>
  <c r="I16" i="1"/>
  <c r="O122" i="1"/>
  <c r="X10" i="1"/>
  <c r="Y10" i="1"/>
  <c r="P122" i="1"/>
  <c r="P135" i="1"/>
  <c r="Y16" i="1"/>
  <c r="E489" i="6"/>
  <c r="N35" i="2"/>
  <c r="L35" i="2"/>
  <c r="O35" i="2"/>
  <c r="K333" i="6"/>
  <c r="I333" i="6"/>
  <c r="N333" i="6"/>
  <c r="M333" i="6"/>
  <c r="L333" i="6"/>
  <c r="J333" i="6"/>
  <c r="O333" i="6" s="1"/>
  <c r="D497" i="6"/>
  <c r="V10" i="1"/>
  <c r="I122" i="1"/>
  <c r="D490" i="6" l="1"/>
  <c r="E497" i="6"/>
  <c r="D498" i="6" l="1"/>
  <c r="E490" i="6"/>
  <c r="B638" i="6" l="1"/>
  <c r="D638" i="6" s="1"/>
  <c r="E638" i="6" s="1"/>
  <c r="P486" i="6"/>
  <c r="E498" i="6"/>
  <c r="L487" i="6" l="1"/>
  <c r="H487" i="6"/>
  <c r="H490" i="6"/>
  <c r="L490" i="6"/>
  <c r="M488" i="6"/>
  <c r="I488" i="6"/>
  <c r="M489" i="6"/>
  <c r="I489" i="6"/>
  <c r="K491" i="6"/>
  <c r="G486" i="6"/>
  <c r="G491" i="6"/>
  <c r="F491" i="6"/>
  <c r="K486" i="6"/>
  <c r="J486" i="6"/>
  <c r="F486" i="6"/>
  <c r="J491" i="6"/>
  <c r="N491" i="6"/>
  <c r="N486" i="6"/>
  <c r="M487" i="6"/>
  <c r="I487" i="6"/>
  <c r="F487" i="6"/>
  <c r="N487" i="6"/>
  <c r="J487" i="6"/>
  <c r="F488" i="6"/>
  <c r="L488" i="6"/>
  <c r="H488" i="6"/>
  <c r="N488" i="6"/>
  <c r="J488" i="6"/>
  <c r="N489" i="6"/>
  <c r="H489" i="6"/>
  <c r="L489" i="6"/>
  <c r="F489" i="6"/>
  <c r="J489" i="6"/>
  <c r="N490" i="6"/>
  <c r="F490" i="6"/>
  <c r="J490" i="6"/>
  <c r="M490" i="6"/>
  <c r="I490" i="6"/>
  <c r="D499" i="6"/>
  <c r="D54" i="7"/>
  <c r="E499" i="6" l="1"/>
  <c r="D500" i="6" l="1"/>
  <c r="E500" i="6" l="1"/>
  <c r="D501" i="6" s="1"/>
  <c r="E501" i="6" l="1"/>
  <c r="B639" i="6" l="1"/>
  <c r="D639" i="6" s="1"/>
  <c r="E639" i="6" s="1"/>
  <c r="P495" i="6"/>
  <c r="M497" i="6" l="1"/>
  <c r="I497" i="6"/>
  <c r="G495" i="6"/>
  <c r="N502" i="6"/>
  <c r="F495" i="6"/>
  <c r="N495" i="6"/>
  <c r="G502" i="6"/>
  <c r="K495" i="6"/>
  <c r="K502" i="6"/>
  <c r="J502" i="6"/>
  <c r="J495" i="6"/>
  <c r="F502" i="6"/>
  <c r="F496" i="6"/>
  <c r="N496" i="6"/>
  <c r="J496" i="6"/>
  <c r="M496" i="6"/>
  <c r="I496" i="6"/>
  <c r="J497" i="6"/>
  <c r="N497" i="6"/>
  <c r="F497" i="6"/>
  <c r="H497" i="6"/>
  <c r="L497" i="6"/>
  <c r="J498" i="6"/>
  <c r="F498" i="6"/>
  <c r="N498" i="6"/>
  <c r="M498" i="6"/>
  <c r="I498" i="6"/>
  <c r="N499" i="6"/>
  <c r="F499" i="6"/>
  <c r="J499" i="6"/>
  <c r="H499" i="6"/>
  <c r="L499" i="6"/>
  <c r="F500" i="6"/>
  <c r="N500" i="6"/>
  <c r="J500" i="6"/>
  <c r="I500" i="6"/>
  <c r="M500" i="6"/>
  <c r="N501" i="6"/>
  <c r="F501" i="6"/>
  <c r="J501" i="6"/>
  <c r="H501" i="6"/>
  <c r="L501" i="6"/>
  <c r="D55" i="7"/>
  <c r="E645" i="6"/>
  <c r="P3" i="1" s="1"/>
</calcChain>
</file>

<file path=xl/sharedStrings.xml><?xml version="1.0" encoding="utf-8"?>
<sst xmlns="http://schemas.openxmlformats.org/spreadsheetml/2006/main" count="6944" uniqueCount="606">
  <si>
    <t>Scenario</t>
  </si>
  <si>
    <t>Year</t>
  </si>
  <si>
    <t>Month</t>
  </si>
  <si>
    <t>Channel</t>
  </si>
  <si>
    <t>Brand</t>
  </si>
  <si>
    <t>Units</t>
  </si>
  <si>
    <t>Gross Sales</t>
  </si>
  <si>
    <t>Trade Discounts</t>
  </si>
  <si>
    <t>Returns</t>
  </si>
  <si>
    <t>Material Cost</t>
  </si>
  <si>
    <t>Conversion Cost</t>
  </si>
  <si>
    <t>Inbound Freight</t>
  </si>
  <si>
    <t>Advertising</t>
  </si>
  <si>
    <t>Promotions</t>
  </si>
  <si>
    <t>Outbound Logistics</t>
  </si>
  <si>
    <t>Direct Selling</t>
  </si>
  <si>
    <t>Personnel</t>
  </si>
  <si>
    <t>Research and Development</t>
  </si>
  <si>
    <t>IT and Facilities</t>
  </si>
  <si>
    <t>Other Admin</t>
  </si>
  <si>
    <t>Depreciation</t>
  </si>
  <si>
    <t>Net Interest</t>
  </si>
  <si>
    <t>Tax</t>
  </si>
  <si>
    <t>Capex</t>
  </si>
  <si>
    <t>Receivables</t>
  </si>
  <si>
    <t>Inventory</t>
  </si>
  <si>
    <t>Payables</t>
  </si>
  <si>
    <t>Cash</t>
  </si>
  <si>
    <t>Gross Debt</t>
  </si>
  <si>
    <t>Headcount</t>
  </si>
  <si>
    <t>Net Revenue</t>
  </si>
  <si>
    <t>COGS</t>
  </si>
  <si>
    <t>Gross Profit</t>
  </si>
  <si>
    <t>AP Spend</t>
  </si>
  <si>
    <t>Cost to Serve</t>
  </si>
  <si>
    <t>Contribution Margin</t>
  </si>
  <si>
    <t>Actual</t>
  </si>
  <si>
    <t>Hypermarkets</t>
  </si>
  <si>
    <t>Aurelia</t>
  </si>
  <si>
    <t>Novara</t>
  </si>
  <si>
    <t>Kestrel</t>
  </si>
  <si>
    <t>Lumio</t>
  </si>
  <si>
    <t>Everwood</t>
  </si>
  <si>
    <t>Tindra</t>
  </si>
  <si>
    <t>Supermarkets</t>
  </si>
  <si>
    <t>Discounters</t>
  </si>
  <si>
    <t>Marketplaces</t>
  </si>
  <si>
    <t>Direct to Consumer</t>
  </si>
  <si>
    <t>Distributors</t>
  </si>
  <si>
    <t>Corporate</t>
  </si>
  <si>
    <t>Budget</t>
  </si>
  <si>
    <t>Forecast</t>
  </si>
  <si>
    <t>Calc: calculation engine. No inputs here. Data -&gt; this tab -&gt; report tabs. Do not edit.</t>
  </si>
  <si>
    <t>Controls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</si>
  <si>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</si>
  <si>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</si>
  <si>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</si>
  <si>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</si>
  <si>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</si>
  <si>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</si>
  <si>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</si>
  <si>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</si>
  <si>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</si>
  <si>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</si>
  <si>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</si>
  <si>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</si>
  <si>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Month name</t>
  </si>
  <si>
    <t>Month number</t>
  </si>
  <si>
    <t>mSel</t>
  </si>
  <si>
    <t>Selected month number</t>
  </si>
  <si>
    <t>mFrom</t>
  </si>
  <si>
    <t>First month in view</t>
  </si>
  <si>
    <t>mTo</t>
  </si>
  <si>
    <t>Last month in view</t>
  </si>
  <si>
    <t>Unit</t>
  </si>
  <si>
    <t>Divisor: Data is in thousands</t>
  </si>
  <si>
    <t>UnitLbl</t>
  </si>
  <si>
    <t>Unit label</t>
  </si>
  <si>
    <t>AcLbl</t>
  </si>
  <si>
    <t>Actual column label</t>
  </si>
  <si>
    <t>PerLbl</t>
  </si>
  <si>
    <t>Period label</t>
  </si>
  <si>
    <t>LastAct</t>
  </si>
  <si>
    <t>Last month with actuals</t>
  </si>
  <si>
    <t>WinM</t>
  </si>
  <si>
    <t>Months in days-metric window</t>
  </si>
  <si>
    <t>Monthly master (raw measures from Data, in reporting units)</t>
  </si>
  <si>
    <t>Measure</t>
  </si>
  <si>
    <t>Opening</t>
  </si>
  <si>
    <t>FY</t>
  </si>
  <si>
    <t>AC</t>
  </si>
  <si>
    <t>BU</t>
  </si>
  <si>
    <t>FC</t>
  </si>
  <si>
    <t>PY</t>
  </si>
  <si>
    <t>LE</t>
  </si>
  <si>
    <t>Derived monthly lines</t>
  </si>
  <si>
    <t>Contribution</t>
  </si>
  <si>
    <t>Overheads</t>
  </si>
  <si>
    <t>EBITDA</t>
  </si>
  <si>
    <t>EBIT</t>
  </si>
  <si>
    <t>PBT</t>
  </si>
  <si>
    <t>Net Income</t>
  </si>
  <si>
    <t>NWC</t>
  </si>
  <si>
    <t>Free cash flow</t>
  </si>
  <si>
    <t>Net Debt</t>
  </si>
  <si>
    <t>LTM EBITDA</t>
  </si>
  <si>
    <t>LTM NR</t>
  </si>
  <si>
    <t>DSO</t>
  </si>
  <si>
    <t>DIO</t>
  </si>
  <si>
    <t>DPO</t>
  </si>
  <si>
    <t>CCC</t>
  </si>
  <si>
    <t>GM%</t>
  </si>
  <si>
    <t>CM%</t>
  </si>
  <si>
    <t>EBITDA%</t>
  </si>
  <si>
    <t>EBIT%</t>
  </si>
  <si>
    <t>NI%</t>
  </si>
  <si>
    <t>AP%</t>
  </si>
  <si>
    <t>CTS%</t>
  </si>
  <si>
    <t>OH%</t>
  </si>
  <si>
    <t>Capex%</t>
  </si>
  <si>
    <t>Trade%</t>
  </si>
  <si>
    <t>NR/unit</t>
  </si>
  <si>
    <t>NWC%</t>
  </si>
  <si>
    <t>Lev</t>
  </si>
  <si>
    <t>NR/FTE</t>
  </si>
  <si>
    <t>Cum NR</t>
  </si>
  <si>
    <t>Cum EBITDA</t>
  </si>
  <si>
    <t>Cum FCF</t>
  </si>
  <si>
    <t>CHART</t>
  </si>
  <si>
    <t>Net Revenue closed</t>
  </si>
  <si>
    <t>Net Revenue open</t>
  </si>
  <si>
    <t>EBITDA closed</t>
  </si>
  <si>
    <t>EBITDA open</t>
  </si>
  <si>
    <t>EBITDA var</t>
  </si>
  <si>
    <t>KPI engine: selected period</t>
  </si>
  <si>
    <t>Key</t>
  </si>
  <si>
    <t>KPI</t>
  </si>
  <si>
    <t>Better</t>
  </si>
  <si>
    <t>Var BU</t>
  </si>
  <si>
    <t>Var% BU</t>
  </si>
  <si>
    <t>Var FC</t>
  </si>
  <si>
    <t>Var% FC</t>
  </si>
  <si>
    <t>Var PY</t>
  </si>
  <si>
    <t>Var% PY</t>
  </si>
  <si>
    <t>Status</t>
  </si>
  <si>
    <t>NR</t>
  </si>
  <si>
    <t>Net revenue</t>
  </si>
  <si>
    <t>eur</t>
  </si>
  <si>
    <t>GS</t>
  </si>
  <si>
    <t>Gross sales</t>
  </si>
  <si>
    <t>GP</t>
  </si>
  <si>
    <t>Gross profit</t>
  </si>
  <si>
    <t>AP</t>
  </si>
  <si>
    <t>A&amp;P spend</t>
  </si>
  <si>
    <t>CTS</t>
  </si>
  <si>
    <t>Cost to serve</t>
  </si>
  <si>
    <t>CM</t>
  </si>
  <si>
    <t>Contribution margin</t>
  </si>
  <si>
    <t>OH</t>
  </si>
  <si>
    <t>NI</t>
  </si>
  <si>
    <t>Net income</t>
  </si>
  <si>
    <t>FCF</t>
  </si>
  <si>
    <t>CAPEX</t>
  </si>
  <si>
    <t>INT</t>
  </si>
  <si>
    <t>Net interest</t>
  </si>
  <si>
    <t>UNITS</t>
  </si>
  <si>
    <t>Volume (k units)</t>
  </si>
  <si>
    <t>num</t>
  </si>
  <si>
    <t>TD</t>
  </si>
  <si>
    <t>Trade and returns</t>
  </si>
  <si>
    <t>Net working capital</t>
  </si>
  <si>
    <t>LTMNR</t>
  </si>
  <si>
    <t>LTM net revenue</t>
  </si>
  <si>
    <t>LTME</t>
  </si>
  <si>
    <t>CASH</t>
  </si>
  <si>
    <t>ND</t>
  </si>
  <si>
    <t>Net debt</t>
  </si>
  <si>
    <t>days</t>
  </si>
  <si>
    <t>HC</t>
  </si>
  <si>
    <t>Headcount (FTE)</t>
  </si>
  <si>
    <t>int</t>
  </si>
  <si>
    <t>NRPU</t>
  </si>
  <si>
    <t>Net revenue per unit</t>
  </si>
  <si>
    <t>TR</t>
  </si>
  <si>
    <t>Trade and returns rate</t>
  </si>
  <si>
    <t>pct</t>
  </si>
  <si>
    <t>GM</t>
  </si>
  <si>
    <t>Gross margin</t>
  </si>
  <si>
    <t>APP</t>
  </si>
  <si>
    <t>A&amp;P as % of net revenue</t>
  </si>
  <si>
    <t>CTSP</t>
  </si>
  <si>
    <t>Cost to serve %</t>
  </si>
  <si>
    <t>CMP</t>
  </si>
  <si>
    <t>Contribution margin %</t>
  </si>
  <si>
    <t>OHP</t>
  </si>
  <si>
    <t>Overheads %</t>
  </si>
  <si>
    <t>EM</t>
  </si>
  <si>
    <t>EBITDA margin</t>
  </si>
  <si>
    <t>EBITM</t>
  </si>
  <si>
    <t>EBIT margin</t>
  </si>
  <si>
    <t>NIM</t>
  </si>
  <si>
    <t>Net income margin</t>
  </si>
  <si>
    <t>CC</t>
  </si>
  <si>
    <t>Cash conversion (FCF / EBITDA)</t>
  </si>
  <si>
    <t>NWCP</t>
  </si>
  <si>
    <t>NWC % of LTM net revenue</t>
  </si>
  <si>
    <t>Cash conversion cycle</t>
  </si>
  <si>
    <t>CAPP</t>
  </si>
  <si>
    <t>Capex % of net revenue</t>
  </si>
  <si>
    <t>LEV</t>
  </si>
  <si>
    <t>Net debt / LTM EBITDA</t>
  </si>
  <si>
    <t>x</t>
  </si>
  <si>
    <t>ICOV</t>
  </si>
  <si>
    <t>Interest cover (EBITDA / interest)</t>
  </si>
  <si>
    <t>RFTE</t>
  </si>
  <si>
    <t>LTM net revenue per FTE (k)</t>
  </si>
  <si>
    <t>FANR</t>
  </si>
  <si>
    <t>Forecast accuracy: net revenue</t>
  </si>
  <si>
    <t>FAE</t>
  </si>
  <si>
    <t>Forecast accuracy: EBITDA</t>
  </si>
  <si>
    <t>Dimension cubes: selected period</t>
  </si>
  <si>
    <t>Channel / AC</t>
  </si>
  <si>
    <t>Item</t>
  </si>
  <si>
    <t>Stock</t>
  </si>
  <si>
    <t>Window</t>
  </si>
  <si>
    <t>Channel / BU</t>
  </si>
  <si>
    <t>Channel / FC</t>
  </si>
  <si>
    <t>Channel / PY</t>
  </si>
  <si>
    <t>Channel rank by net revenue</t>
  </si>
  <si>
    <t>Rank</t>
  </si>
  <si>
    <t>Order</t>
  </si>
  <si>
    <t>Brand / AC</t>
  </si>
  <si>
    <t>Brand / BU</t>
  </si>
  <si>
    <t>Brand / FC</t>
  </si>
  <si>
    <t>Brand / PY</t>
  </si>
  <si>
    <t>Brand rank by net revenue</t>
  </si>
  <si>
    <t>Ranked monthly net revenue (sparklines)</t>
  </si>
  <si>
    <t>Focus item, monthly</t>
  </si>
  <si>
    <t>NR AC</t>
  </si>
  <si>
    <t>NR BU</t>
  </si>
  <si>
    <t>CM AC</t>
  </si>
  <si>
    <t>CM BU</t>
  </si>
  <si>
    <t>CM% AC</t>
  </si>
  <si>
    <t>CM% BU</t>
  </si>
  <si>
    <t>Channel x brand matrix: price, volume, mix versus budget (selected period)</t>
  </si>
  <si>
    <t>Units AC</t>
  </si>
  <si>
    <t>GS AC</t>
  </si>
  <si>
    <t>Units BU</t>
  </si>
  <si>
    <t>GS BU</t>
  </si>
  <si>
    <t>Volume</t>
  </si>
  <si>
    <t>Mix</t>
  </si>
  <si>
    <t>Price</t>
  </si>
  <si>
    <t>Trade</t>
  </si>
  <si>
    <t>Waterfall: NR</t>
  </si>
  <si>
    <t>Step</t>
  </si>
  <si>
    <t>Value</t>
  </si>
  <si>
    <t>Type</t>
  </si>
  <si>
    <t>Start</t>
  </si>
  <si>
    <t>End</t>
  </si>
  <si>
    <t>Base+</t>
  </si>
  <si>
    <t>Total+</t>
  </si>
  <si>
    <t>Up+</t>
  </si>
  <si>
    <t>Down+</t>
  </si>
  <si>
    <t>Base-</t>
  </si>
  <si>
    <t>Total-</t>
  </si>
  <si>
    <t>Up-</t>
  </si>
  <si>
    <t>Down-</t>
  </si>
  <si>
    <t>Label y</t>
  </si>
  <si>
    <t>Label</t>
  </si>
  <si>
    <t>Floor</t>
  </si>
  <si>
    <t>T</t>
  </si>
  <si>
    <t>D</t>
  </si>
  <si>
    <t>Gross price</t>
  </si>
  <si>
    <t>Trade &amp; returns</t>
  </si>
  <si>
    <t>Waterfall: EBITDA</t>
  </si>
  <si>
    <t>Price, mix, trade</t>
  </si>
  <si>
    <t>COGS rate</t>
  </si>
  <si>
    <t>A&amp;P</t>
  </si>
  <si>
    <t>Waterfall: FChannel</t>
  </si>
  <si>
    <t>Waterfall: FBrand</t>
  </si>
  <si>
    <t>Full-year EBITDA landing</t>
  </si>
  <si>
    <t>Closed / total</t>
  </si>
  <si>
    <t>Open forecast</t>
  </si>
  <si>
    <t>Total</t>
  </si>
  <si>
    <t>Latest est.</t>
  </si>
  <si>
    <t>Dynamic chart titles</t>
  </si>
  <si>
    <t>nr_m</t>
  </si>
  <si>
    <t>nr_b</t>
  </si>
  <si>
    <t>eb_b</t>
  </si>
  <si>
    <t>eb_m</t>
  </si>
  <si>
    <t>mg</t>
  </si>
  <si>
    <t>land</t>
  </si>
  <si>
    <t>ch_nr</t>
  </si>
  <si>
    <t>br_cm</t>
  </si>
  <si>
    <t>mix</t>
  </si>
  <si>
    <t>fcf</t>
  </si>
  <si>
    <t>nd</t>
  </si>
  <si>
    <t>ccc</t>
  </si>
  <si>
    <t>opex</t>
  </si>
  <si>
    <t>trade</t>
  </si>
  <si>
    <t>hc</t>
  </si>
  <si>
    <t>pl_var</t>
  </si>
  <si>
    <t>pl_eb</t>
  </si>
  <si>
    <t>pl_cum</t>
  </si>
  <si>
    <t>Channel1</t>
  </si>
  <si>
    <t>Channel2</t>
  </si>
  <si>
    <t>Channel3</t>
  </si>
  <si>
    <t>Channel4</t>
  </si>
  <si>
    <t>Channel5</t>
  </si>
  <si>
    <t>Channel6</t>
  </si>
  <si>
    <t>Channel7</t>
  </si>
  <si>
    <t>Channel8</t>
  </si>
  <si>
    <t>Channel9</t>
  </si>
  <si>
    <t>Channel10</t>
  </si>
  <si>
    <t>Channel11</t>
  </si>
  <si>
    <t>Brand1</t>
  </si>
  <si>
    <t>Brand2</t>
  </si>
  <si>
    <t>Brand3</t>
  </si>
  <si>
    <t>Brand4</t>
  </si>
  <si>
    <t>Brand5</t>
  </si>
  <si>
    <t>Brand6</t>
  </si>
  <si>
    <t>Brand7</t>
  </si>
  <si>
    <t>Brand8</t>
  </si>
  <si>
    <t>Brand9</t>
  </si>
  <si>
    <t>Brand10</t>
  </si>
  <si>
    <t>Brand11</t>
  </si>
  <si>
    <t>Summary</t>
  </si>
  <si>
    <t>P&amp;L</t>
  </si>
  <si>
    <t>Data</t>
  </si>
  <si>
    <t>Guide</t>
  </si>
  <si>
    <t>Focus channel:</t>
  </si>
  <si>
    <t>Channel scorecard, ranked by net revenue</t>
  </si>
  <si>
    <t>NR
Budget</t>
  </si>
  <si>
    <t>Var
vs BU</t>
  </si>
  <si>
    <t>Var %
vs BU</t>
  </si>
  <si>
    <t>Var %
vs FC</t>
  </si>
  <si>
    <t>Var %
vs PY</t>
  </si>
  <si>
    <t>Mix %</t>
  </si>
  <si>
    <t>Gross
margin</t>
  </si>
  <si>
    <t>Trade rate
% GS</t>
  </si>
  <si>
    <t>Cost to
serve %</t>
  </si>
  <si>
    <t>CM
Budget</t>
  </si>
  <si>
    <t>CM var
vs BU</t>
  </si>
  <si>
    <t>CM %</t>
  </si>
  <si>
    <t>CM %
Budget</t>
  </si>
  <si>
    <t>CM %
var</t>
  </si>
  <si>
    <t>DSO
days</t>
  </si>
  <si>
    <t>Net revenue trend (Jan to Dec)</t>
  </si>
  <si>
    <t>LARGEST CHANNEL</t>
  </si>
  <si>
    <t>HIGHEST CM %</t>
  </si>
  <si>
    <t>LOWEST CM %</t>
  </si>
  <si>
    <t>BIGGEST BEAT VS BUDGET</t>
  </si>
  <si>
    <t>BIGGEST MISS VS BUDGET</t>
  </si>
  <si>
    <t>TOTAL CONTRIBUTION MARGIN</t>
  </si>
  <si>
    <t>Channel performance</t>
  </si>
  <si>
    <t>Channel chart helpers, ranked</t>
  </si>
  <si>
    <t>NR FC</t>
  </si>
  <si>
    <t>NR PY</t>
  </si>
  <si>
    <t>Trade+Returns</t>
  </si>
  <si>
    <t>Cum %</t>
  </si>
  <si>
    <t>Days BU</t>
  </si>
  <si>
    <t>Budget CM%</t>
  </si>
  <si>
    <t>Line</t>
  </si>
  <si>
    <t>Trade discounts</t>
  </si>
  <si>
    <t>Gross margin %</t>
  </si>
  <si>
    <t>Unallocated overheads</t>
  </si>
  <si>
    <t>EBITDA (ties to P&amp;L)</t>
  </si>
  <si>
    <t>Channel / Brand</t>
  </si>
  <si>
    <t>NR variance</t>
  </si>
  <si>
    <t>NR variance %</t>
  </si>
  <si>
    <t>CM variance</t>
  </si>
  <si>
    <t>Total var</t>
  </si>
  <si>
    <t>How to read: volume at budget net price, mix from shifts in the channel x brand portfolio, price and trade on actual units. Each row sums to the net revenue variance on the scorecard.</t>
  </si>
  <si>
    <t>Focus Channel: split by Brand</t>
  </si>
  <si>
    <t>NR Actual</t>
  </si>
  <si>
    <t>NR Budget</t>
  </si>
  <si>
    <t>Focus brand:</t>
  </si>
  <si>
    <t>Brand scorecard, ranked by net revenue</t>
  </si>
  <si>
    <t>A&amp;P
% NR</t>
  </si>
  <si>
    <t>DIO
days</t>
  </si>
  <si>
    <t>LARGEST BRAND</t>
  </si>
  <si>
    <t>Brand performance</t>
  </si>
  <si>
    <t>Brand chart helpers, ranked</t>
  </si>
  <si>
    <t>Brand / Channel</t>
  </si>
  <si>
    <t>Focus Brand: split by Channel</t>
  </si>
  <si>
    <t>COMMENTARY: type over the yellow cells</t>
  </si>
  <si>
    <t>P&amp;L line</t>
  </si>
  <si>
    <t>Var</t>
  </si>
  <si>
    <t>Var %</t>
  </si>
  <si>
    <t>Var
vs FC</t>
  </si>
  <si>
    <t>Latest
est.</t>
  </si>
  <si>
    <t>Driver of the YTD variance</t>
  </si>
  <si>
    <t>Dummy text. Gross sales +0.2m vs budget: Marketplaces (+5.9m net) ahead, Hypermarkets (-5.9m net) behind.</t>
  </si>
  <si>
    <t>Dummy text. Trade -0.8m: higher rates agreed at Discounters and Hypermarkets partly offset by lower Marketplaces volume deals.</t>
  </si>
  <si>
    <t>Dummy text. Aurelia +4.5m is the strongest brand; Everwood -3.1m on weaker volumes.</t>
  </si>
  <si>
    <t>Material cost</t>
  </si>
  <si>
    <t>Dummy text. Material cost -1.4m, including about 1.5% input inflation against budget.</t>
  </si>
  <si>
    <t>Conversion cost</t>
  </si>
  <si>
    <t>Inbound freight</t>
  </si>
  <si>
    <t>Dummy text. Freight -2.1m: lane rates above the budget assumption. Tender planned for Q1.</t>
  </si>
  <si>
    <t>Dummy text. Advertising +1.7m: media underspend held as contingency; rephasing under review.</t>
  </si>
  <si>
    <t>Outbound logistics</t>
  </si>
  <si>
    <t>Direct selling</t>
  </si>
  <si>
    <t>Dummy text. Personnel -0.9m: pay award above budget, partly offset by open vacancies.</t>
  </si>
  <si>
    <t>Research and development</t>
  </si>
  <si>
    <t>IT and facilities</t>
  </si>
  <si>
    <t>Other admin</t>
  </si>
  <si>
    <t>Dummy text. See key messages below. Bridge shows what moved EBITDA against budget.</t>
  </si>
  <si>
    <t>Depreciation and amortisation</t>
  </si>
  <si>
    <t>Profit before tax</t>
  </si>
  <si>
    <t>EBITDA margin %</t>
  </si>
  <si>
    <t>EBIT margin %</t>
  </si>
  <si>
    <t>Net income margin %</t>
  </si>
  <si>
    <t>Executive commentary (type over the yellow cells)</t>
  </si>
  <si>
    <t>Risks and opportunities to the full-year EBITDA outlook</t>
  </si>
  <si>
    <t>Key message</t>
  </si>
  <si>
    <t>Dummy text. Net revenue is -0.9m vs budget year to date. Marketplaces and Aurelia are ahead; Hypermarkets and Everwood are behind. Replace with your own view each month.</t>
  </si>
  <si>
    <t>What changed vs forecast</t>
  </si>
  <si>
    <t>Dummy text. Actuals moved broadly as the last forecast expected. Marketplaces came in a little ahead and the Everwood recovery was slower.</t>
  </si>
  <si>
    <t>Actions and owners</t>
  </si>
  <si>
    <t>Dummy text. 1) Reset trade terms with Discounters (Sales Director, Dec). 2) Rephase Tindra launch A&amp;P (Marketing, Nov). 3) Freight tender (Supply Chain, Q1).</t>
  </si>
  <si>
    <t>Decisions needed</t>
  </si>
  <si>
    <t>Dummy text. Approve Q4 A&amp;P rephasing and the inventory reduction plan for Everwood.</t>
  </si>
  <si>
    <t>Impact</t>
  </si>
  <si>
    <t>Prob.</t>
  </si>
  <si>
    <t>Weighted</t>
  </si>
  <si>
    <t>Item and owner</t>
  </si>
  <si>
    <t>Risk</t>
  </si>
  <si>
    <t>Dummy: Discounter trade terms renewal above plan (Sales)</t>
  </si>
  <si>
    <t>Dummy: Freight rates stay elevated into Q4 (Supply Chain)</t>
  </si>
  <si>
    <t>Dummy: Everwood clearance to reduce excess stock (Commercial)</t>
  </si>
  <si>
    <t>Opp</t>
  </si>
  <si>
    <t>Dummy: Marketplaces peak-season momentum (E-commerce)</t>
  </si>
  <si>
    <t>Dummy: A&amp;P rephasing into next year (Marketing)</t>
  </si>
  <si>
    <t>Dummy: Vacancy savings in overheads (HR)</t>
  </si>
  <si>
    <t>FY EBITDA latest estimate</t>
  </si>
  <si>
    <t>Weighted risks and opportunities</t>
  </si>
  <si>
    <t>Risk-adjusted FY EBITDA</t>
  </si>
  <si>
    <t>Gap to FY budget</t>
  </si>
  <si>
    <t>Impact in reporting units. Probability 0 to 100%. Weighted = impact x probability.</t>
  </si>
  <si>
    <t>Variance visuals</t>
  </si>
  <si>
    <t>P&amp;L variance chart</t>
  </si>
  <si>
    <t>YTD var</t>
  </si>
  <si>
    <t>FISCAL YEAR</t>
  </si>
  <si>
    <t>MONTH</t>
  </si>
  <si>
    <t>VIEW</t>
  </si>
  <si>
    <t>YTD</t>
  </si>
  <si>
    <t>NET REVENUE</t>
  </si>
  <si>
    <t>vs BU</t>
  </si>
  <si>
    <t>vs FC</t>
  </si>
  <si>
    <t>vs PY</t>
  </si>
  <si>
    <t>GROSS MARGIN</t>
  </si>
  <si>
    <t>CONTRIBUTION MARGIN</t>
  </si>
  <si>
    <t>EBITDA MARGIN</t>
  </si>
  <si>
    <t>NET INCOME</t>
  </si>
  <si>
    <t>FREE CASH FLOW</t>
  </si>
  <si>
    <t>CASH CONVERSION</t>
  </si>
  <si>
    <t>NWC % OF NET REVENUE</t>
  </si>
  <si>
    <t>CASH CONVERSION CYCLE (DAYS)</t>
  </si>
  <si>
    <t>NET DEBT</t>
  </si>
  <si>
    <t>NET DEBT / EBITDA</t>
  </si>
  <si>
    <t>Revenue</t>
  </si>
  <si>
    <t>Profit</t>
  </si>
  <si>
    <t>Channels</t>
  </si>
  <si>
    <t>Brands</t>
  </si>
  <si>
    <t>Outlook</t>
  </si>
  <si>
    <t>Revenue and profit</t>
  </si>
  <si>
    <t>Profitability and outlook</t>
  </si>
  <si>
    <t>Channels and brands (detail on the Channel and Brand tabs)</t>
  </si>
  <si>
    <t>Cash and balance sheet</t>
  </si>
  <si>
    <t>Cost and productivity</t>
  </si>
  <si>
    <t>Prior
year</t>
  </si>
  <si>
    <t>Var
vs PY</t>
  </si>
  <si>
    <t>Trend, Jan to Dec</t>
  </si>
  <si>
    <t>How it is measured</t>
  </si>
  <si>
    <t>Growth</t>
  </si>
  <si>
    <t>Net revenue / gross sales less trade and returns</t>
  </si>
  <si>
    <t>Units sold, thousands</t>
  </si>
  <si>
    <t>Net revenue / units</t>
  </si>
  <si>
    <t>Trade and returns / gross sales</t>
  </si>
  <si>
    <t>Profitability</t>
  </si>
  <si>
    <t>Gross profit / net revenue</t>
  </si>
  <si>
    <t>A&amp;P / net revenue (neutral: spend is a choice)</t>
  </si>
  <si>
    <t>Logistics and selling / net revenue</t>
  </si>
  <si>
    <t>Contribution / net revenue</t>
  </si>
  <si>
    <t>Overheads / net revenue</t>
  </si>
  <si>
    <t>Contribution less overheads</t>
  </si>
  <si>
    <t>EBITDA / net revenue</t>
  </si>
  <si>
    <t>EBITDA less D&amp;A</t>
  </si>
  <si>
    <t>After interest and tax</t>
  </si>
  <si>
    <t>Cash and working capital</t>
  </si>
  <si>
    <t>EBITDA - interest - tax - change in NWC - capex</t>
  </si>
  <si>
    <t>FCF / EBITDA</t>
  </si>
  <si>
    <t>NWC / LTM net revenue</t>
  </si>
  <si>
    <t>Receivables / last 3 months net revenue x days</t>
  </si>
  <si>
    <t>Inventory / last 3 months COGS x days</t>
  </si>
  <si>
    <t>Payables / last 3 months COGS x days</t>
  </si>
  <si>
    <t>DSO + DIO - DPO</t>
  </si>
  <si>
    <t>Capex / net revenue (neutral)</t>
  </si>
  <si>
    <t>Balance sheet</t>
  </si>
  <si>
    <t>Closing cash</t>
  </si>
  <si>
    <t>Gross debt less cash</t>
  </si>
  <si>
    <t>EBITDA / net interest</t>
  </si>
  <si>
    <t>People and planning</t>
  </si>
  <si>
    <t>Closing FTE</t>
  </si>
  <si>
    <t>LTM net revenue / FTE</t>
  </si>
  <si>
    <t>1 - |actual - forecast| / forecast; target on Guide</t>
  </si>
  <si>
    <t>Status: green = at or better than budget, amber = within the tolerance on the Guide tab, red = outside it. Blank status = neutral KPI.</t>
  </si>
  <si>
    <t>Integrity checks</t>
  </si>
  <si>
    <t>Check</t>
  </si>
  <si>
    <t>A</t>
  </si>
  <si>
    <t>B</t>
  </si>
  <si>
    <t>Diff</t>
  </si>
  <si>
    <t>Pass</t>
  </si>
  <si>
    <t>Calc FY actual net revenue = Data</t>
  </si>
  <si>
    <t>Channel tab net revenue = KPI net revenue</t>
  </si>
  <si>
    <t>Brand tab net revenue = KPI net revenue</t>
  </si>
  <si>
    <t>Channel contribution = KPI contribution</t>
  </si>
  <si>
    <t>Brand contribution = KPI contribution</t>
  </si>
  <si>
    <t>Channel tab EBITDA = KPI EBITDA</t>
  </si>
  <si>
    <t>P&amp;L YTD EBITDA = sum of monthly EBITDA</t>
  </si>
  <si>
    <t>Net revenue bridge foots</t>
  </si>
  <si>
    <t>EBITDA bridge foots</t>
  </si>
  <si>
    <t>Price/volume/mix by channel = net revenue variance</t>
  </si>
  <si>
    <t>Price/volume/mix by brand = net revenue variance</t>
  </si>
  <si>
    <t>Every Data row maps to a listed channel</t>
  </si>
  <si>
    <t>Every Data row maps to a listed brand</t>
  </si>
  <si>
    <t>Selected month has actuals (0 = yes)</t>
  </si>
  <si>
    <t>All pass</t>
  </si>
  <si>
    <t>DATA CHECKS</t>
  </si>
  <si>
    <t>Data: raw input</t>
  </si>
  <si>
    <t>All figures below are dummy. Paste your own extract into table tblData. Everything else in the workbook recalculates from here.</t>
  </si>
  <si>
    <t>One row per Scenario x Year x Month x Channel x Brand. Money in thousands: revenue positive, costs negative. Balances (Receivables to Headcount) are closing values, positive.</t>
  </si>
  <si>
    <t>Example row: Actual | 2026 | 10 | Marketplaces | Aurelia | 220.6 units | 3,113 gross sales | (336) trade ...   Overheads, capex, payables, cash and debt go on Corporate rows. Black columns on the right are formulas and fill down.</t>
  </si>
  <si>
    <t>Back to Summary</t>
  </si>
  <si>
    <t>Guide: setup, instructions, KPI dictionary, checks</t>
  </si>
  <si>
    <t>Yellow cells with blue text are the only cells you need to change.</t>
  </si>
  <si>
    <t>1. Setup</t>
  </si>
  <si>
    <t>Company name</t>
  </si>
  <si>
    <t>Currency symbol</t>
  </si>
  <si>
    <t>Reporting scale (m or k)</t>
  </si>
  <si>
    <t>m</t>
  </si>
  <si>
    <t>Amber tolerance vs budget</t>
  </si>
  <si>
    <t>Forecast accuracy target</t>
  </si>
  <si>
    <t>Names must match the Data tab exactly. "Corporate" is reserved for rows that belong to no channel or brand.</t>
  </si>
  <si>
    <t>2. Monthly routine</t>
  </si>
  <si>
    <t>Paste the new month's actuals (and the latest forecast rows) at the bottom of the table on the Data tab. The table grows by itself.</t>
  </si>
  <si>
    <t>On Summary pick the fiscal year, the month and the view (Month, YTD, Full Year). All tabs follow.</t>
  </si>
  <si>
    <t>Check the DATA CHECKS pill on Summary. If it is red, section 5 below shows which check failed.</t>
  </si>
  <si>
    <t>Type your commentary and risks and opportunities over the yellow cells on the P&amp;L tab.</t>
  </si>
  <si>
    <t>Use the yellow Focus cell on Channel and Brand to drill into one channel or brand.</t>
  </si>
  <si>
    <t>3. Reading the visuals (IBCS-style scenario coding)</t>
  </si>
  <si>
    <t>Actual: solid dark</t>
  </si>
  <si>
    <t>Forecast: hatched</t>
  </si>
  <si>
    <t>Budget: outlined, or a teal dash marker on line charts</t>
  </si>
  <si>
    <t>Prior year: grey</t>
  </si>
  <si>
    <t>Favourable variance</t>
  </si>
  <si>
    <t>Unfavourable variance</t>
  </si>
  <si>
    <t>Latest estimate (LE) = actuals to the selected month + forecast for the remaining months. Variances are always shown so that positive P&amp;L variance = favourable.</t>
  </si>
  <si>
    <t>4. KPI dictionary</t>
  </si>
  <si>
    <t>Definition used here</t>
  </si>
  <si>
    <t>Why a CFO watches it</t>
  </si>
  <si>
    <t>Gross sales less trade discounts and returns</t>
  </si>
  <si>
    <t>The real top line after what you give back to customers.</t>
  </si>
  <si>
    <t>Price / volume / mix</t>
  </si>
  <si>
    <t>Volume at budget net price; mix from portfolio shift; price and trade on actual units. Calculated at channel x brand level</t>
  </si>
  <si>
    <t>Separates growth you earned from growth you bought.</t>
  </si>
  <si>
    <t>(Trade discounts + returns) / gross sales</t>
  </si>
  <si>
    <t>Often the largest cost after COGS in consumer goods.</t>
  </si>
  <si>
    <t>First sign of pricing or input cost pressure.</t>
  </si>
  <si>
    <t>Gross profit less A&amp;P, logistics and direct selling</t>
  </si>
  <si>
    <t>Profit a channel or brand really adds before shared overheads.</t>
  </si>
  <si>
    <t>Outbound logistics + direct selling, % of net revenue</t>
  </si>
  <si>
    <t>Shows why a high-revenue channel can still be a weak one.</t>
  </si>
  <si>
    <t>EBITDA and margin</t>
  </si>
  <si>
    <t>Core operating profit before financing and non-cash items.</t>
  </si>
  <si>
    <t>What is left to repay debt or return to shareholders.</t>
  </si>
  <si>
    <t>Cash conversion</t>
  </si>
  <si>
    <t>Free cash flow / EBITDA</t>
  </si>
  <si>
    <t>Tests the quality of earnings.</t>
  </si>
  <si>
    <t>DSO, DIO, DPO, CCC</t>
  </si>
  <si>
    <t>Closing balance / last 3 months net revenue (DSO) or COGS (DIO, DPO) x days. CCC = DSO + DIO - DPO</t>
  </si>
  <si>
    <t>How many days cash is tied up in the operating cycle.</t>
  </si>
  <si>
    <t>Net debt / EBITDA</t>
  </si>
  <si>
    <t>(Gross debt - cash) / LTM EBITDA. Budget and forecast LTM include prior-year months. Prior-year column uses full prior year</t>
  </si>
  <si>
    <t>Headroom against lender covenants.</t>
  </si>
  <si>
    <t>Forecast accuracy</t>
  </si>
  <si>
    <t>1 - |actual - forecast| / forecast</t>
  </si>
  <si>
    <t>Whether the business can be trusted to call its own number.</t>
  </si>
  <si>
    <t>5. Integrity checks (live)</t>
  </si>
  <si>
    <t>Result</t>
  </si>
  <si>
    <t>6. Limits of this template</t>
  </si>
  <si>
    <t>Six channels and six brands: rename them freely in section 1. Going beyond six means extending the Calc blocks and the page tables.</t>
  </si>
  <si>
    <t>Opening balances: Data needs December of the year before the prior year (Actual rows) so that prior-year cash flow can be worked out.</t>
  </si>
  <si>
    <t>All data and commentary shipped in this file are dummy. No benchmark or target in the template is a market figure: set tolerance and targets for your own business.</t>
  </si>
  <si>
    <t>7. Research sources behind the KPI set and design</t>
  </si>
  <si>
    <t>Oracle: 20 key CFO KPIs and dashboards</t>
  </si>
  <si>
    <t>Cube: financial reporting dashboards</t>
  </si>
  <si>
    <t>Zebra BI: designing financial reports and dashboards (IBCS)</t>
  </si>
  <si>
    <t>AFP: how business financial reports should look</t>
  </si>
  <si>
    <t>McKinsey: reimagining trade spend</t>
  </si>
  <si>
    <t>Daasity: contribution margin layers</t>
  </si>
  <si>
    <t>Umbrex: budget vs actual revenue variance</t>
  </si>
  <si>
    <t>Corporate Finance Institute: cash conversion cycle</t>
  </si>
  <si>
    <t>$</t>
  </si>
  <si>
    <t>Coskun Finance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</si>
</sst>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5">
    <numFmt numFmtId="164" formatCode="#,##0.0"/>
    <numFmt numFmtId="165" formatCode="0.0%"/>
    <numFmt numFmtId="166" formatCode="\▲\ 0.0%;\▼\ 0.0%;&quot;–&quot;"/>
    <numFmt numFmtId="167" formatCode="&quot;●&quot;;&quot;●&quot;;&quot;●&quot;"/>
    <numFmt numFmtId="168" formatCode="\▲\ 0.0&quot;pp&quot;;\▼\ 0.0&quot;pp&quot;;&quot;–&quot;"/>
    <numFmt numFmtId="169" formatCode="#,##0.0;\(#,##0.0\)"/>
    <numFmt numFmtId="170" formatCode="0.0"/>
    <numFmt numFmtId="171" formatCode="0.00&quot;x&quot;"/>
    <numFmt numFmtId="172" formatCode="\▲\ 0.0;\▼\ 0.0;&quot;–&quot;"/>
    <numFmt numFmtId="173" formatCode="\▲\ 0.00&quot;x&quot;;\▼\ 0.00&quot;x&quot;;&quot;–&quot;"/>
    <numFmt numFmtId="174" formatCode="#,##0.0;\(#,##0.0\);&quot;–&quot;"/>
    <numFmt numFmtId="175" formatCode="\+#,##0.0;\-#,##0.0;&quot;–&quot;"/>
    <numFmt numFmtId="176" formatCode="\+0.0%;\-0.0%;&quot;–&quot;"/>
    <numFmt numFmtId="177" formatCode="#,##0;\(#,##0\);&quot;–&quot;"/>
    <numFmt numFmtId="178" formatCode="\+#,##0;\-#,##0;&quot;–&quot;"/>
    <numFmt numFmtId="179" formatCode="\+#,##0.00;\-#,##0.00;&quot;–&quot;"/>
    <numFmt numFmtId="180" formatCode="0.0%;\(0.0%\);&quot;–&quot;"/>
    <numFmt numFmtId="181" formatCode="\+0.0&quot;pp&quot;;\-0.0&quot;pp&quot;;&quot;–&quot;"/>
    <numFmt numFmtId="182" formatCode="0.0;\(0.0\);&quot;–&quot;"/>
    <numFmt numFmtId="183" formatCode="0.00&quot;x&quot;;\(0.00&quot;x&quot;\);&quot;–&quot;"/>
    <numFmt numFmtId="184" formatCode="\+0.00&quot;x&quot;;\-0.00&quot;x&quot;;&quot;–&quot;"/>
    <numFmt numFmtId="185" formatCode="#,##0.0;\(#,##0.0\);\-"/>
    <numFmt numFmtId="186" formatCode="#,##0;\(#,##0\);\-"/>
    <numFmt numFmtId="187" formatCode="#,##0.00;\(#,##0.00\);\-"/>
    <numFmt numFmtId="188" formatCode="0.0%;\(0.0%\);\-"/>
  </numFmts>
  <fonts count="43" x14ac:knownFonts="1">
    <font>
      <sz val="11"/>
      <color theme="1"/>
      <name val="Calibri"/>
      <family val="2"/>
      <scheme val="minor"/>
    </font>
    <font>
      <sz val="9"/>
      <color rgb="FF1F2937"/>
      <name val="Arial"/>
      <family val="2"/>
    </font>
    <font>
      <b/>
      <sz val="16"/>
      <color rgb="FFFFFFFF"/>
      <name val="Arial"/>
      <family val="2"/>
    </font>
    <font>
      <sz val="8"/>
      <color rgb="FFC9D6E3"/>
      <name val="Arial"/>
      <family val="2"/>
    </font>
    <font>
      <sz val="10"/>
      <color rgb="FFC9D6E3"/>
      <name val="Arial"/>
      <family val="2"/>
    </font>
    <font>
      <b/>
      <sz val="8"/>
      <color rgb="FFFFFFFF"/>
      <name val="Arial"/>
      <family val="2"/>
    </font>
    <font>
      <b/>
      <sz val="9"/>
      <color rgb="FF0000FF"/>
      <name val="Arial"/>
      <family val="2"/>
    </font>
    <font>
      <b/>
      <sz val="9"/>
      <color rgb="FFFFFFFF"/>
      <name val="Arial"/>
      <family val="2"/>
    </font>
    <font>
      <sz val="9"/>
      <color rgb="FF0F2A47"/>
      <name val="Arial"/>
      <family val="2"/>
    </font>
    <font>
      <b/>
      <sz val="10"/>
      <color rgb="FF0F2A47"/>
      <name val="Arial"/>
      <family val="2"/>
    </font>
    <font>
      <b/>
      <sz val="8"/>
      <color rgb="FF6B7280"/>
      <name val="Arial"/>
      <family val="2"/>
    </font>
    <font>
      <b/>
      <sz val="17"/>
      <color rgb="FF0F2A47"/>
      <name val="Arial"/>
      <family val="2"/>
    </font>
    <font>
      <sz val="7"/>
      <color rgb="FF6B7280"/>
      <name val="Arial"/>
      <family val="2"/>
    </font>
    <font>
      <sz val="12"/>
      <color rgb="FF6B7280"/>
      <name val="Arial"/>
      <family val="2"/>
    </font>
    <font>
      <b/>
      <sz val="9"/>
      <color rgb="FF0F2A47"/>
      <name val="Arial"/>
      <family val="2"/>
    </font>
    <font>
      <sz val="8"/>
      <color rgb="FF6B7280"/>
      <name val="Arial"/>
      <family val="2"/>
    </font>
    <font>
      <i/>
      <sz val="8"/>
      <color rgb="FF6B7280"/>
      <name val="Arial"/>
      <family val="2"/>
    </font>
    <font>
      <sz val="9"/>
      <color rgb="FF1F2937"/>
      <name val="Arial"/>
      <family val="2"/>
    </font>
    <font>
      <sz val="8"/>
      <color rgb="FF1F3A93"/>
      <name val="Arial"/>
      <family val="2"/>
    </font>
    <font>
      <b/>
      <sz val="9"/>
      <color rgb="FF1F2937"/>
      <name val="Arial"/>
      <family val="2"/>
    </font>
    <font>
      <i/>
      <sz val="9"/>
      <color rgb="FF6B7280"/>
      <name val="Arial"/>
      <family val="2"/>
    </font>
    <font>
      <i/>
      <sz val="9"/>
      <color rgb="FF1F2937"/>
      <name val="Arial"/>
      <family val="2"/>
    </font>
    <font>
      <sz val="9"/>
      <color rgb="FF1F3A93"/>
      <name val="Arial"/>
      <family val="2"/>
    </font>
    <font>
      <sz val="9"/>
      <color rgb="FF0000FF"/>
      <name val="Arial"/>
      <family val="2"/>
    </font>
    <font>
      <b/>
      <sz val="15"/>
      <color rgb="FF0F2A47"/>
      <name val="Arial"/>
      <family val="2"/>
    </font>
    <font>
      <b/>
      <sz val="7"/>
      <color rgb="FFFFFFFF"/>
      <name val="Arial"/>
      <family val="2"/>
    </font>
    <font>
      <b/>
      <sz val="14"/>
      <color rgb="FF0F2A47"/>
      <name val="Arial"/>
      <family val="2"/>
    </font>
    <font>
      <u/>
      <sz val="9"/>
      <color rgb="FF12808A"/>
      <name val="Arial"/>
      <family val="2"/>
    </font>
    <font>
      <sz val="9"/>
      <color rgb="FF6B7280"/>
      <name val="Arial"/>
      <family val="2"/>
    </font>
    <font>
      <b/>
      <sz val="11"/>
      <color rgb="FF0F2A47"/>
      <name val="Arial"/>
      <family val="2"/>
    </font>
    <font>
      <sz val="9"/>
      <color rgb="FF1F2937"/>
      <name val="Calibri"/>
      <family val="2"/>
      <scheme val="minor"/>
    </font>
    <font>
      <b/>
      <sz val="16"/>
      <color rgb="FFFFFFFF"/>
      <name val="Calibri"/>
      <family val="2"/>
      <scheme val="minor"/>
    </font>
    <font>
      <sz val="10"/>
      <color rgb="FFC9D6E3"/>
      <name val="Calibri"/>
      <family val="2"/>
      <scheme val="minor"/>
    </font>
    <font>
      <u/>
      <sz val="9"/>
      <color rgb="FF12808A"/>
      <name val="Calibri"/>
      <family val="2"/>
      <scheme val="minor"/>
    </font>
    <font>
      <b/>
      <sz val="10"/>
      <color rgb="FF0F2A47"/>
      <name val="Calibri"/>
      <family val="2"/>
      <scheme val="minor"/>
    </font>
    <font>
      <sz val="9"/>
      <color rgb="FF0000FF"/>
      <name val="Calibri"/>
      <family val="2"/>
      <scheme val="minor"/>
    </font>
    <font>
      <sz val="9"/>
      <color rgb="FF6B7280"/>
      <name val="Calibri"/>
      <family val="2"/>
      <scheme val="minor"/>
    </font>
    <font>
      <i/>
      <sz val="8"/>
      <color rgb="FF6B7280"/>
      <name val="Calibri"/>
      <family val="2"/>
      <scheme val="minor"/>
    </font>
    <font>
      <b/>
      <sz val="9"/>
      <color rgb="FF12808A"/>
      <name val="Calibri"/>
      <family val="2"/>
      <scheme val="minor"/>
    </font>
    <font>
      <b/>
      <sz val="8"/>
      <color rgb="FFFFFFFF"/>
      <name val="Calibri"/>
      <family val="2"/>
      <scheme val="minor"/>
    </font>
    <font>
      <b/>
      <sz val="9"/>
      <color rgb="FF1F2937"/>
      <name val="Calibri"/>
      <family val="2"/>
      <scheme val="minor"/>
    </font>
    <font>
      <sz val="8"/>
      <color rgb="FF1F2937"/>
      <name val="Calibri"/>
      <family val="2"/>
      <scheme val="minor"/>
    </font>
    <font>
      <sz val="9"/>
      <color rgb="FF1E8E5A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2F4F7"/>
        <bgColor indexed="64"/>
      </patternFill>
    </fill>
    <fill>
      <patternFill patternType="solid">
        <fgColor rgb="FF0F2A47"/>
        <bgColor indexed="64"/>
      </patternFill>
    </fill>
    <fill>
      <patternFill patternType="solid">
        <fgColor rgb="FF1E8E5A"/>
        <bgColor indexed="64"/>
      </patternFill>
    </fill>
    <fill>
      <patternFill patternType="solid">
        <fgColor rgb="FFFFF8DC"/>
        <bgColor indexed="64"/>
      </patternFill>
    </fill>
    <fill>
      <patternFill patternType="solid">
        <fgColor rgb="FF12808A"/>
        <bgColor indexed="64"/>
      </patternFill>
    </fill>
    <fill>
      <patternFill patternType="solid">
        <fgColor rgb="FFDDE3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7ECF2"/>
        <bgColor indexed="64"/>
      </patternFill>
    </fill>
    <fill>
      <patternFill patternType="solid">
        <fgColor rgb="FFEEF2F6"/>
        <bgColor indexed="64"/>
      </patternFill>
    </fill>
    <fill>
      <patternFill patternType="lightUp">
        <fgColor rgb="FF0F2A47"/>
        <bgColor rgb="FFFFFFFF"/>
      </patternFill>
    </fill>
    <fill>
      <patternFill patternType="solid">
        <fgColor rgb="FFAEB6C1"/>
        <bgColor indexed="64"/>
      </patternFill>
    </fill>
    <fill>
      <patternFill patternType="solid">
        <fgColor rgb="FFC8372D"/>
        <bgColor indexed="64"/>
      </patternFill>
    </fill>
  </fills>
  <borders count="20">
    <border>
      <left/>
      <right/>
      <top/>
      <bottom/>
      <diagonal/>
    </border>
    <border>
      <left style="thin">
        <color rgb="FFE0A100"/>
      </left>
      <right style="thin">
        <color rgb="FFE0A100"/>
      </right>
      <top style="thin">
        <color rgb="FFE0A100"/>
      </top>
      <bottom style="thin">
        <color rgb="FFE0A100"/>
      </bottom>
      <diagonal/>
    </border>
    <border>
      <left/>
      <right/>
      <top/>
      <bottom style="medium">
        <color rgb="FF12808A"/>
      </bottom>
      <diagonal/>
    </border>
    <border>
      <left style="thin">
        <color rgb="FFD5DAE1"/>
      </left>
      <right style="thin">
        <color rgb="FFD5DAE1"/>
      </right>
      <top style="thick">
        <color rgb="FF12808A"/>
      </top>
      <bottom/>
      <diagonal/>
    </border>
    <border>
      <left style="thin">
        <color rgb="FFD5DAE1"/>
      </left>
      <right/>
      <top/>
      <bottom/>
      <diagonal/>
    </border>
    <border>
      <left/>
      <right style="thin">
        <color rgb="FFD5DAE1"/>
      </right>
      <top/>
      <bottom/>
      <diagonal/>
    </border>
    <border>
      <left style="thin">
        <color rgb="FFD5DAE1"/>
      </left>
      <right/>
      <top/>
      <bottom style="thin">
        <color rgb="FFD5DAE1"/>
      </bottom>
      <diagonal/>
    </border>
    <border>
      <left/>
      <right/>
      <top/>
      <bottom style="thin">
        <color rgb="FFD5DAE1"/>
      </bottom>
      <diagonal/>
    </border>
    <border>
      <left/>
      <right style="thin">
        <color rgb="FFD5DAE1"/>
      </right>
      <top/>
      <bottom style="thin">
        <color rgb="FFD5DAE1"/>
      </bottom>
      <diagonal/>
    </border>
    <border>
      <left/>
      <right/>
      <top/>
      <bottom style="thin">
        <color rgb="FFE8EBEF"/>
      </bottom>
      <diagonal/>
    </border>
    <border>
      <left/>
      <right/>
      <top/>
      <bottom style="thin">
        <color rgb="FFEADFB5"/>
      </bottom>
      <diagonal/>
    </border>
    <border>
      <left/>
      <right/>
      <top style="thin">
        <color rgb="FF0F2A47"/>
      </top>
      <bottom style="thin">
        <color rgb="FFE8EBEF"/>
      </bottom>
      <diagonal/>
    </border>
    <border>
      <left style="thin">
        <color rgb="FFD5DAE1"/>
      </left>
      <right style="thin">
        <color rgb="FFD5DAE1"/>
      </right>
      <top style="thin">
        <color rgb="FFD5DAE1"/>
      </top>
      <bottom style="thin">
        <color rgb="FFD5DAE1"/>
      </bottom>
      <diagonal/>
    </border>
    <border>
      <left style="thin">
        <color rgb="FFEADFB5"/>
      </left>
      <right style="thin">
        <color rgb="FFEADFB5"/>
      </right>
      <top style="thin">
        <color rgb="FFEADFB5"/>
      </top>
      <bottom style="thin">
        <color rgb="FFEADFB5"/>
      </bottom>
      <diagonal/>
    </border>
    <border>
      <left style="thin">
        <color rgb="FFD5DAE1"/>
      </left>
      <right style="thin">
        <color rgb="FFD5DAE1"/>
      </right>
      <top/>
      <bottom/>
      <diagonal/>
    </border>
    <border>
      <left style="thin">
        <color rgb="FFD5DAE1"/>
      </left>
      <right style="thin">
        <color rgb="FFD5DAE1"/>
      </right>
      <top/>
      <bottom style="thin">
        <color rgb="FFD5DAE1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0F2A47"/>
      </bottom>
      <diagonal/>
    </border>
    <border>
      <left style="medium">
        <color rgb="FF0F2A47"/>
      </left>
      <right style="medium">
        <color rgb="FF0F2A47"/>
      </right>
      <top style="medium">
        <color rgb="FF0F2A47"/>
      </top>
      <bottom style="medium">
        <color rgb="FF0F2A47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1" fillId="2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7" fillId="6" borderId="0" xfId="0" applyFont="1" applyFill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0" fontId="1" fillId="7" borderId="0" xfId="0" applyFont="1" applyFill="1" applyAlignment="1">
      <alignment vertical="center"/>
    </xf>
    <xf numFmtId="0" fontId="9" fillId="2" borderId="2" xfId="0" applyFont="1" applyFill="1" applyBorder="1" applyAlignment="1">
      <alignment vertical="center"/>
    </xf>
    <xf numFmtId="0" fontId="12" fillId="8" borderId="4" xfId="0" applyFont="1" applyFill="1" applyBorder="1" applyAlignment="1">
      <alignment horizontal="center" vertical="center"/>
    </xf>
    <xf numFmtId="0" fontId="12" fillId="8" borderId="0" xfId="0" applyFont="1" applyFill="1" applyAlignment="1">
      <alignment horizontal="center" vertical="center"/>
    </xf>
    <xf numFmtId="0" fontId="12" fillId="8" borderId="5" xfId="0" applyFont="1" applyFill="1" applyBorder="1" applyAlignment="1">
      <alignment horizontal="center" vertical="center"/>
    </xf>
    <xf numFmtId="166" fontId="10" fillId="8" borderId="6" xfId="0" applyNumberFormat="1" applyFont="1" applyFill="1" applyBorder="1" applyAlignment="1">
      <alignment horizontal="center" vertical="center"/>
    </xf>
    <xf numFmtId="166" fontId="10" fillId="8" borderId="7" xfId="0" applyNumberFormat="1" applyFont="1" applyFill="1" applyBorder="1" applyAlignment="1">
      <alignment horizontal="center" vertical="center"/>
    </xf>
    <xf numFmtId="167" fontId="13" fillId="8" borderId="8" xfId="0" applyNumberFormat="1" applyFont="1" applyFill="1" applyBorder="1" applyAlignment="1">
      <alignment horizontal="center" vertical="center"/>
    </xf>
    <xf numFmtId="168" fontId="10" fillId="8" borderId="6" xfId="0" applyNumberFormat="1" applyFont="1" applyFill="1" applyBorder="1" applyAlignment="1">
      <alignment horizontal="center" vertical="center"/>
    </xf>
    <xf numFmtId="168" fontId="10" fillId="8" borderId="7" xfId="0" applyNumberFormat="1" applyFont="1" applyFill="1" applyBorder="1" applyAlignment="1">
      <alignment horizontal="center" vertical="center"/>
    </xf>
    <xf numFmtId="172" fontId="10" fillId="8" borderId="6" xfId="0" applyNumberFormat="1" applyFont="1" applyFill="1" applyBorder="1" applyAlignment="1">
      <alignment horizontal="center" vertical="center"/>
    </xf>
    <xf numFmtId="172" fontId="10" fillId="8" borderId="7" xfId="0" applyNumberFormat="1" applyFont="1" applyFill="1" applyBorder="1" applyAlignment="1">
      <alignment horizontal="center" vertical="center"/>
    </xf>
    <xf numFmtId="173" fontId="10" fillId="8" borderId="6" xfId="0" applyNumberFormat="1" applyFont="1" applyFill="1" applyBorder="1" applyAlignment="1">
      <alignment horizontal="center" vertical="center"/>
    </xf>
    <xf numFmtId="173" fontId="10" fillId="8" borderId="7" xfId="0" applyNumberFormat="1" applyFont="1" applyFill="1" applyBorder="1" applyAlignment="1">
      <alignment horizontal="center" vertical="center"/>
    </xf>
    <xf numFmtId="0" fontId="5" fillId="3" borderId="0" xfId="0" applyFont="1" applyFill="1" applyAlignment="1">
      <alignment vertical="center"/>
    </xf>
    <xf numFmtId="0" fontId="5" fillId="3" borderId="0" xfId="0" applyFont="1" applyFill="1" applyAlignment="1">
      <alignment horizontal="center" vertical="center" wrapText="1"/>
    </xf>
    <xf numFmtId="0" fontId="14" fillId="9" borderId="0" xfId="0" applyFont="1" applyFill="1" applyAlignment="1">
      <alignment vertical="center"/>
    </xf>
    <xf numFmtId="0" fontId="1" fillId="9" borderId="0" xfId="0" applyFont="1" applyFill="1" applyAlignment="1">
      <alignment vertical="center"/>
    </xf>
    <xf numFmtId="174" fontId="1" fillId="8" borderId="9" xfId="0" applyNumberFormat="1" applyFont="1" applyFill="1" applyBorder="1" applyAlignment="1">
      <alignment horizontal="right" vertical="center"/>
    </xf>
    <xf numFmtId="175" fontId="1" fillId="8" borderId="9" xfId="0" applyNumberFormat="1" applyFont="1" applyFill="1" applyBorder="1" applyAlignment="1">
      <alignment horizontal="right" vertical="center"/>
    </xf>
    <xf numFmtId="176" fontId="1" fillId="8" borderId="9" xfId="0" applyNumberFormat="1" applyFont="1" applyFill="1" applyBorder="1" applyAlignment="1">
      <alignment horizontal="right" vertical="center"/>
    </xf>
    <xf numFmtId="0" fontId="1" fillId="8" borderId="9" xfId="0" applyFont="1" applyFill="1" applyBorder="1" applyAlignment="1">
      <alignment horizontal="center" vertical="center"/>
    </xf>
    <xf numFmtId="177" fontId="1" fillId="8" borderId="9" xfId="0" applyNumberFormat="1" applyFont="1" applyFill="1" applyBorder="1" applyAlignment="1">
      <alignment horizontal="right" vertical="center"/>
    </xf>
    <xf numFmtId="178" fontId="1" fillId="8" borderId="9" xfId="0" applyNumberFormat="1" applyFont="1" applyFill="1" applyBorder="1" applyAlignment="1">
      <alignment horizontal="right" vertical="center"/>
    </xf>
    <xf numFmtId="4" fontId="1" fillId="8" borderId="9" xfId="0" applyNumberFormat="1" applyFont="1" applyFill="1" applyBorder="1" applyAlignment="1">
      <alignment horizontal="right" vertical="center"/>
    </xf>
    <xf numFmtId="179" fontId="1" fillId="8" borderId="9" xfId="0" applyNumberFormat="1" applyFont="1" applyFill="1" applyBorder="1" applyAlignment="1">
      <alignment horizontal="right" vertical="center"/>
    </xf>
    <xf numFmtId="180" fontId="1" fillId="8" borderId="9" xfId="0" applyNumberFormat="1" applyFont="1" applyFill="1" applyBorder="1" applyAlignment="1">
      <alignment horizontal="right" vertical="center"/>
    </xf>
    <xf numFmtId="181" fontId="1" fillId="8" borderId="9" xfId="0" applyNumberFormat="1" applyFont="1" applyFill="1" applyBorder="1" applyAlignment="1">
      <alignment horizontal="right" vertical="center"/>
    </xf>
    <xf numFmtId="182" fontId="1" fillId="8" borderId="9" xfId="0" applyNumberFormat="1" applyFont="1" applyFill="1" applyBorder="1" applyAlignment="1">
      <alignment horizontal="right" vertical="center"/>
    </xf>
    <xf numFmtId="183" fontId="1" fillId="8" borderId="9" xfId="0" applyNumberFormat="1" applyFont="1" applyFill="1" applyBorder="1" applyAlignment="1">
      <alignment horizontal="right" vertical="center"/>
    </xf>
    <xf numFmtId="184" fontId="1" fillId="8" borderId="9" xfId="0" applyNumberFormat="1" applyFont="1" applyFill="1" applyBorder="1" applyAlignment="1">
      <alignment horizontal="right" vertical="center"/>
    </xf>
    <xf numFmtId="0" fontId="16" fillId="2" borderId="0" xfId="0" applyFont="1" applyFill="1" applyAlignment="1">
      <alignment vertical="center"/>
    </xf>
    <xf numFmtId="0" fontId="7" fillId="6" borderId="0" xfId="0" applyFont="1" applyFill="1" applyAlignment="1">
      <alignment vertical="center"/>
    </xf>
    <xf numFmtId="0" fontId="17" fillId="8" borderId="9" xfId="0" applyFont="1" applyFill="1" applyBorder="1" applyAlignment="1">
      <alignment horizontal="left" vertical="center" indent="1"/>
    </xf>
    <xf numFmtId="174" fontId="17" fillId="8" borderId="9" xfId="0" applyNumberFormat="1" applyFont="1" applyFill="1" applyBorder="1" applyAlignment="1">
      <alignment horizontal="right" vertical="center"/>
    </xf>
    <xf numFmtId="175" fontId="17" fillId="8" borderId="9" xfId="0" applyNumberFormat="1" applyFont="1" applyFill="1" applyBorder="1" applyAlignment="1">
      <alignment horizontal="right" vertical="center"/>
    </xf>
    <xf numFmtId="176" fontId="17" fillId="8" borderId="9" xfId="0" applyNumberFormat="1" applyFont="1" applyFill="1" applyBorder="1" applyAlignment="1">
      <alignment horizontal="right" vertical="center"/>
    </xf>
    <xf numFmtId="0" fontId="18" fillId="5" borderId="10" xfId="0" applyFont="1" applyFill="1" applyBorder="1" applyAlignment="1">
      <alignment vertical="center" wrapText="1"/>
    </xf>
    <xf numFmtId="0" fontId="19" fillId="10" borderId="11" xfId="0" applyFont="1" applyFill="1" applyBorder="1" applyAlignment="1">
      <alignment vertical="center"/>
    </xf>
    <xf numFmtId="174" fontId="19" fillId="10" borderId="11" xfId="0" applyNumberFormat="1" applyFont="1" applyFill="1" applyBorder="1" applyAlignment="1">
      <alignment horizontal="right" vertical="center"/>
    </xf>
    <xf numFmtId="175" fontId="19" fillId="10" borderId="11" xfId="0" applyNumberFormat="1" applyFont="1" applyFill="1" applyBorder="1" applyAlignment="1">
      <alignment horizontal="right" vertical="center"/>
    </xf>
    <xf numFmtId="176" fontId="19" fillId="10" borderId="11" xfId="0" applyNumberFormat="1" applyFont="1" applyFill="1" applyBorder="1" applyAlignment="1">
      <alignment horizontal="right" vertical="center"/>
    </xf>
    <xf numFmtId="0" fontId="20" fillId="8" borderId="9" xfId="0" applyFont="1" applyFill="1" applyBorder="1" applyAlignment="1">
      <alignment horizontal="left" vertical="center" indent="1"/>
    </xf>
    <xf numFmtId="180" fontId="20" fillId="8" borderId="9" xfId="0" applyNumberFormat="1" applyFont="1" applyFill="1" applyBorder="1" applyAlignment="1">
      <alignment horizontal="right" vertical="center"/>
    </xf>
    <xf numFmtId="181" fontId="21" fillId="8" borderId="9" xfId="0" applyNumberFormat="1" applyFont="1" applyFill="1" applyBorder="1" applyAlignment="1">
      <alignment horizontal="right" vertical="center"/>
    </xf>
    <xf numFmtId="0" fontId="1" fillId="5" borderId="10" xfId="0" applyFont="1" applyFill="1" applyBorder="1" applyAlignment="1">
      <alignment vertical="center"/>
    </xf>
    <xf numFmtId="0" fontId="23" fillId="5" borderId="13" xfId="0" applyFont="1" applyFill="1" applyBorder="1" applyAlignment="1">
      <alignment horizontal="center" vertical="center"/>
    </xf>
    <xf numFmtId="175" fontId="23" fillId="5" borderId="13" xfId="0" applyNumberFormat="1" applyFont="1" applyFill="1" applyBorder="1" applyAlignment="1">
      <alignment vertical="center"/>
    </xf>
    <xf numFmtId="9" fontId="23" fillId="5" borderId="13" xfId="0" applyNumberFormat="1" applyFont="1" applyFill="1" applyBorder="1" applyAlignment="1">
      <alignment vertical="center"/>
    </xf>
    <xf numFmtId="0" fontId="18" fillId="5" borderId="13" xfId="0" applyFont="1" applyFill="1" applyBorder="1" applyAlignment="1">
      <alignment vertical="center"/>
    </xf>
    <xf numFmtId="174" fontId="19" fillId="10" borderId="0" xfId="0" applyNumberFormat="1" applyFont="1" applyFill="1" applyAlignment="1">
      <alignment horizontal="right" vertical="center"/>
    </xf>
    <xf numFmtId="175" fontId="19" fillId="10" borderId="0" xfId="0" applyNumberFormat="1" applyFont="1" applyFill="1" applyAlignment="1">
      <alignment horizontal="right" vertical="center"/>
    </xf>
    <xf numFmtId="0" fontId="14" fillId="2" borderId="0" xfId="0" applyFont="1" applyFill="1" applyAlignment="1">
      <alignment horizontal="right" vertical="center"/>
    </xf>
    <xf numFmtId="174" fontId="19" fillId="8" borderId="11" xfId="0" applyNumberFormat="1" applyFont="1" applyFill="1" applyBorder="1" applyAlignment="1">
      <alignment horizontal="right" vertical="center"/>
    </xf>
    <xf numFmtId="175" fontId="19" fillId="8" borderId="11" xfId="0" applyNumberFormat="1" applyFont="1" applyFill="1" applyBorder="1" applyAlignment="1">
      <alignment horizontal="right" vertical="center"/>
    </xf>
    <xf numFmtId="176" fontId="19" fillId="8" borderId="11" xfId="0" applyNumberFormat="1" applyFont="1" applyFill="1" applyBorder="1" applyAlignment="1">
      <alignment horizontal="right" vertical="center"/>
    </xf>
    <xf numFmtId="180" fontId="19" fillId="8" borderId="11" xfId="0" applyNumberFormat="1" applyFont="1" applyFill="1" applyBorder="1" applyAlignment="1">
      <alignment horizontal="right" vertical="center"/>
    </xf>
    <xf numFmtId="181" fontId="19" fillId="8" borderId="11" xfId="0" applyNumberFormat="1" applyFont="1" applyFill="1" applyBorder="1" applyAlignment="1">
      <alignment horizontal="right" vertical="center"/>
    </xf>
    <xf numFmtId="182" fontId="19" fillId="8" borderId="11" xfId="0" applyNumberFormat="1" applyFont="1" applyFill="1" applyBorder="1" applyAlignment="1">
      <alignment horizontal="right" vertical="center"/>
    </xf>
    <xf numFmtId="0" fontId="25" fillId="3" borderId="0" xfId="0" applyFont="1" applyFill="1" applyAlignment="1">
      <alignment horizontal="center" vertical="center" wrapText="1"/>
    </xf>
    <xf numFmtId="174" fontId="1" fillId="10" borderId="9" xfId="0" applyNumberFormat="1" applyFont="1" applyFill="1" applyBorder="1" applyAlignment="1">
      <alignment horizontal="right" vertical="center"/>
    </xf>
    <xf numFmtId="165" fontId="1" fillId="0" borderId="16" xfId="0" applyNumberFormat="1" applyFont="1" applyBorder="1" applyAlignment="1">
      <alignment horizontal="center" vertical="center"/>
    </xf>
    <xf numFmtId="180" fontId="1" fillId="10" borderId="9" xfId="0" applyNumberFormat="1" applyFont="1" applyFill="1" applyBorder="1" applyAlignment="1">
      <alignment horizontal="right"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5" fontId="23" fillId="0" borderId="0" xfId="0" applyNumberFormat="1" applyFont="1" applyAlignment="1">
      <alignment vertical="center"/>
    </xf>
    <xf numFmtId="186" fontId="23" fillId="0" borderId="0" xfId="0" applyNumberFormat="1" applyFont="1" applyAlignment="1">
      <alignment vertical="center"/>
    </xf>
    <xf numFmtId="186" fontId="1" fillId="0" borderId="0" xfId="0" applyNumberFormat="1" applyFont="1" applyAlignment="1">
      <alignment vertical="center"/>
    </xf>
    <xf numFmtId="0" fontId="29" fillId="0" borderId="0" xfId="0" applyFont="1" applyAlignment="1">
      <alignment vertical="center"/>
    </xf>
    <xf numFmtId="0" fontId="14" fillId="0" borderId="18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7" fillId="3" borderId="0" xfId="0" applyFont="1" applyFill="1" applyAlignment="1">
      <alignment vertical="center"/>
    </xf>
    <xf numFmtId="187" fontId="1" fillId="0" borderId="0" xfId="0" applyNumberFormat="1" applyFont="1" applyAlignment="1">
      <alignment vertical="center"/>
    </xf>
    <xf numFmtId="188" fontId="1" fillId="0" borderId="0" xfId="0" applyNumberFormat="1" applyFont="1" applyAlignment="1">
      <alignment vertical="center"/>
    </xf>
    <xf numFmtId="0" fontId="19" fillId="0" borderId="0" xfId="0" applyFont="1" applyAlignment="1">
      <alignment vertical="center"/>
    </xf>
    <xf numFmtId="0" fontId="2" fillId="3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7" fillId="6" borderId="0" xfId="0" applyFont="1" applyFill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10" fillId="8" borderId="3" xfId="0" applyFont="1" applyFill="1" applyBorder="1" applyAlignment="1">
      <alignment horizontal="left" vertical="center" indent="1"/>
    </xf>
    <xf numFmtId="164" fontId="11" fillId="8" borderId="4" xfId="0" applyNumberFormat="1" applyFont="1" applyFill="1" applyBorder="1" applyAlignment="1">
      <alignment horizontal="left" vertical="center" indent="1"/>
    </xf>
    <xf numFmtId="0" fontId="1" fillId="8" borderId="5" xfId="0" applyFont="1" applyFill="1" applyBorder="1" applyAlignment="1">
      <alignment vertical="center"/>
    </xf>
    <xf numFmtId="165" fontId="11" fillId="8" borderId="4" xfId="0" applyNumberFormat="1" applyFont="1" applyFill="1" applyBorder="1" applyAlignment="1">
      <alignment horizontal="left" vertical="center" indent="1"/>
    </xf>
    <xf numFmtId="0" fontId="5" fillId="4" borderId="0" xfId="0" applyFont="1" applyFill="1" applyAlignment="1">
      <alignment horizontal="center" vertical="center"/>
    </xf>
    <xf numFmtId="169" fontId="11" fillId="8" borderId="4" xfId="0" applyNumberFormat="1" applyFont="1" applyFill="1" applyBorder="1" applyAlignment="1">
      <alignment horizontal="left" vertical="center" indent="1"/>
    </xf>
    <xf numFmtId="170" fontId="11" fillId="8" borderId="4" xfId="0" applyNumberFormat="1" applyFont="1" applyFill="1" applyBorder="1" applyAlignment="1">
      <alignment horizontal="left" vertical="center" indent="1"/>
    </xf>
    <xf numFmtId="171" fontId="11" fillId="8" borderId="4" xfId="0" applyNumberFormat="1" applyFont="1" applyFill="1" applyBorder="1" applyAlignment="1">
      <alignment horizontal="left" vertical="center" indent="1"/>
    </xf>
    <xf numFmtId="0" fontId="7" fillId="6" borderId="0" xfId="0" applyFont="1" applyFill="1" applyAlignment="1">
      <alignment horizontal="left" vertical="center" indent="1"/>
    </xf>
    <xf numFmtId="0" fontId="1" fillId="8" borderId="9" xfId="0" applyFont="1" applyFill="1" applyBorder="1" applyAlignment="1">
      <alignment horizontal="left" vertical="center" indent="1"/>
    </xf>
    <xf numFmtId="0" fontId="5" fillId="3" borderId="0" xfId="0" applyFont="1" applyFill="1" applyAlignment="1">
      <alignment vertical="center"/>
    </xf>
    <xf numFmtId="0" fontId="5" fillId="3" borderId="0" xfId="0" applyFont="1" applyFill="1" applyAlignment="1">
      <alignment horizontal="center" vertical="center" wrapText="1"/>
    </xf>
    <xf numFmtId="0" fontId="1" fillId="8" borderId="9" xfId="0" applyFont="1" applyFill="1" applyBorder="1" applyAlignment="1">
      <alignment vertical="center"/>
    </xf>
    <xf numFmtId="0" fontId="15" fillId="8" borderId="9" xfId="0" applyFont="1" applyFill="1" applyBorder="1" applyAlignment="1">
      <alignment vertical="center"/>
    </xf>
    <xf numFmtId="0" fontId="14" fillId="9" borderId="12" xfId="0" applyFont="1" applyFill="1" applyBorder="1" applyAlignment="1">
      <alignment vertical="top" wrapText="1"/>
    </xf>
    <xf numFmtId="0" fontId="22" fillId="5" borderId="13" xfId="0" applyFont="1" applyFill="1" applyBorder="1" applyAlignment="1">
      <alignment vertical="top" wrapText="1"/>
    </xf>
    <xf numFmtId="0" fontId="19" fillId="10" borderId="0" xfId="0" applyFont="1" applyFill="1" applyAlignment="1">
      <alignment vertical="center"/>
    </xf>
    <xf numFmtId="0" fontId="24" fillId="8" borderId="14" xfId="0" applyFont="1" applyFill="1" applyBorder="1" applyAlignment="1">
      <alignment horizontal="left" vertical="center" indent="1"/>
    </xf>
    <xf numFmtId="0" fontId="15" fillId="8" borderId="15" xfId="0" applyFont="1" applyFill="1" applyBorder="1" applyAlignment="1">
      <alignment horizontal="left" vertical="center" indent="1"/>
    </xf>
    <xf numFmtId="0" fontId="19" fillId="8" borderId="11" xfId="0" applyFont="1" applyFill="1" applyBorder="1" applyAlignment="1">
      <alignment vertical="center"/>
    </xf>
    <xf numFmtId="164" fontId="24" fillId="8" borderId="14" xfId="0" applyNumberFormat="1" applyFont="1" applyFill="1" applyBorder="1" applyAlignment="1">
      <alignment horizontal="left" vertical="center" indent="1"/>
    </xf>
    <xf numFmtId="165" fontId="19" fillId="10" borderId="17" xfId="0" applyNumberFormat="1" applyFont="1" applyFill="1" applyBorder="1" applyAlignment="1">
      <alignment horizontal="center" vertical="center"/>
    </xf>
    <xf numFmtId="180" fontId="1" fillId="8" borderId="9" xfId="0" applyNumberFormat="1" applyFont="1" applyFill="1" applyBorder="1" applyAlignment="1">
      <alignment horizontal="right" vertical="center"/>
    </xf>
    <xf numFmtId="0" fontId="14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175" fontId="1" fillId="8" borderId="9" xfId="0" applyNumberFormat="1" applyFont="1" applyFill="1" applyBorder="1" applyAlignment="1">
      <alignment horizontal="right" vertical="center"/>
    </xf>
    <xf numFmtId="176" fontId="1" fillId="8" borderId="9" xfId="0" applyNumberFormat="1" applyFont="1" applyFill="1" applyBorder="1" applyAlignment="1">
      <alignment horizontal="right" vertical="center"/>
    </xf>
    <xf numFmtId="0" fontId="16" fillId="2" borderId="0" xfId="0" applyFont="1" applyFill="1" applyAlignment="1">
      <alignment vertical="top" wrapText="1"/>
    </xf>
    <xf numFmtId="0" fontId="30" fillId="3" borderId="0" xfId="0" applyFont="1" applyFill="1" applyAlignment="1">
      <alignment vertical="center"/>
    </xf>
    <xf numFmtId="0" fontId="31" fillId="3" borderId="0" xfId="0" applyFont="1" applyFill="1" applyAlignment="1">
      <alignment vertical="center"/>
    </xf>
    <xf numFmtId="0" fontId="0" fillId="0" borderId="0" xfId="0" applyFont="1"/>
    <xf numFmtId="0" fontId="32" fillId="3" borderId="0" xfId="0" applyFont="1" applyFill="1" applyAlignment="1">
      <alignment vertical="center"/>
    </xf>
    <xf numFmtId="0" fontId="30" fillId="2" borderId="0" xfId="0" applyFont="1" applyFill="1" applyAlignment="1">
      <alignment vertical="center"/>
    </xf>
    <xf numFmtId="0" fontId="33" fillId="2" borderId="0" xfId="0" applyFont="1" applyFill="1" applyAlignment="1">
      <alignment vertical="center"/>
    </xf>
    <xf numFmtId="0" fontId="34" fillId="2" borderId="2" xfId="0" applyFont="1" applyFill="1" applyBorder="1" applyAlignment="1">
      <alignment vertical="center"/>
    </xf>
    <xf numFmtId="0" fontId="35" fillId="5" borderId="13" xfId="0" applyFont="1" applyFill="1" applyBorder="1" applyAlignment="1">
      <alignment horizontal="left" vertical="center"/>
    </xf>
    <xf numFmtId="0" fontId="36" fillId="2" borderId="0" xfId="0" applyFont="1" applyFill="1" applyAlignment="1">
      <alignment vertical="center"/>
    </xf>
    <xf numFmtId="0" fontId="35" fillId="5" borderId="13" xfId="0" applyFont="1" applyFill="1" applyBorder="1" applyAlignment="1">
      <alignment vertical="center"/>
    </xf>
    <xf numFmtId="165" fontId="35" fillId="5" borderId="13" xfId="0" applyNumberFormat="1" applyFont="1" applyFill="1" applyBorder="1" applyAlignment="1">
      <alignment horizontal="left" vertical="center"/>
    </xf>
    <xf numFmtId="0" fontId="37" fillId="2" borderId="0" xfId="0" applyFont="1" applyFill="1" applyAlignment="1">
      <alignment vertical="center"/>
    </xf>
    <xf numFmtId="0" fontId="38" fillId="2" borderId="0" xfId="0" applyFont="1" applyFill="1" applyAlignment="1">
      <alignment vertical="center"/>
    </xf>
    <xf numFmtId="0" fontId="30" fillId="11" borderId="0" xfId="0" applyFont="1" applyFill="1" applyAlignment="1">
      <alignment vertical="center"/>
    </xf>
    <xf numFmtId="0" fontId="30" fillId="8" borderId="19" xfId="0" applyFont="1" applyFill="1" applyBorder="1" applyAlignment="1">
      <alignment vertical="center"/>
    </xf>
    <xf numFmtId="0" fontId="30" fillId="12" borderId="0" xfId="0" applyFont="1" applyFill="1" applyAlignment="1">
      <alignment vertical="center"/>
    </xf>
    <xf numFmtId="0" fontId="30" fillId="4" borderId="0" xfId="0" applyFont="1" applyFill="1" applyAlignment="1">
      <alignment vertical="center"/>
    </xf>
    <xf numFmtId="0" fontId="30" fillId="13" borderId="0" xfId="0" applyFont="1" applyFill="1" applyAlignment="1">
      <alignment vertical="center"/>
    </xf>
    <xf numFmtId="0" fontId="39" fillId="3" borderId="0" xfId="0" applyFont="1" applyFill="1" applyAlignment="1">
      <alignment vertical="center"/>
    </xf>
    <xf numFmtId="0" fontId="39" fillId="3" borderId="0" xfId="0" applyFont="1" applyFill="1" applyAlignment="1">
      <alignment vertical="center"/>
    </xf>
    <xf numFmtId="0" fontId="40" fillId="8" borderId="9" xfId="0" applyFont="1" applyFill="1" applyBorder="1" applyAlignment="1">
      <alignment vertical="center" wrapText="1"/>
    </xf>
    <xf numFmtId="0" fontId="30" fillId="8" borderId="9" xfId="0" applyFont="1" applyFill="1" applyBorder="1" applyAlignment="1">
      <alignment vertical="center" wrapText="1"/>
    </xf>
    <xf numFmtId="0" fontId="39" fillId="3" borderId="0" xfId="0" applyFont="1" applyFill="1" applyAlignment="1">
      <alignment horizontal="center" vertical="center" wrapText="1"/>
    </xf>
    <xf numFmtId="0" fontId="41" fillId="8" borderId="9" xfId="0" applyFont="1" applyFill="1" applyBorder="1" applyAlignment="1">
      <alignment vertical="center"/>
    </xf>
    <xf numFmtId="0" fontId="42" fillId="8" borderId="9" xfId="0" applyFont="1" applyFill="1" applyBorder="1" applyAlignment="1">
      <alignment horizontal="center" vertical="center"/>
    </xf>
  </cellXfs>
  <cellStyles count="1">
    <cellStyle name="Normal" xfId="0" builtinId="0"/>
  </cellStyles>
  <dxfs count="222">
    <dxf>
      <font>
        <b/>
        <color rgb="FFC8372D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E0A100"/>
      </font>
    </dxf>
    <dxf>
      <font>
        <color rgb="FF1E8E5A"/>
      </font>
    </dxf>
    <dxf>
      <font>
        <color rgb="FFE0A100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1E8E5A"/>
      </font>
    </dxf>
    <dxf>
      <font>
        <color rgb="FFC8372D"/>
      </font>
    </dxf>
    <dxf>
      <font>
        <color rgb="FFC8372D"/>
      </font>
    </dxf>
    <dxf>
      <font>
        <color rgb="FFE0A100"/>
      </font>
    </dxf>
    <dxf>
      <font>
        <color rgb="FF1E8E5A"/>
      </font>
    </dxf>
    <dxf>
      <font>
        <color rgb="FFE0A100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E0A100"/>
      </font>
    </dxf>
    <dxf>
      <font>
        <color rgb="FFC8372D"/>
      </font>
    </dxf>
    <dxf>
      <font>
        <color rgb="FF1E8E5A"/>
      </font>
    </dxf>
    <dxf>
      <font>
        <color rgb="FFE0A100"/>
      </font>
    </dxf>
    <dxf>
      <font>
        <color rgb="FFC8372D"/>
      </font>
    </dxf>
    <dxf>
      <font>
        <color rgb="FFFFFFFF"/>
      </font>
      <fill>
        <patternFill>
          <bgColor rgb="FFC8372D"/>
        </patternFill>
      </fill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C8372D"/>
      </font>
    </dxf>
    <dxf>
      <font>
        <color rgb="FF1E8E5A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C8372D"/>
      </font>
    </dxf>
    <dxf>
      <font>
        <color rgb="FF1E8E5A"/>
      </font>
    </dxf>
    <dxf>
      <font>
        <color rgb="FF1E8E5A"/>
      </font>
    </dxf>
    <dxf>
      <font>
        <color rgb="FFC8372D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1E8E5A"/>
      </font>
    </dxf>
    <dxf>
      <font>
        <color rgb="FFC8372D"/>
      </font>
    </dxf>
    <dxf>
      <font>
        <color rgb="FFE0A100"/>
      </font>
    </dxf>
    <dxf>
      <font>
        <color rgb="FFE0A100"/>
      </font>
    </dxf>
    <dxf>
      <font>
        <color rgb="FFC8372D"/>
      </font>
    </dxf>
    <dxf>
      <font>
        <color rgb="FF1E8E5A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1E8E5A"/>
      </font>
    </dxf>
    <dxf>
      <font>
        <color rgb="FFC8372D"/>
      </font>
    </dxf>
    <dxf>
      <font>
        <color rgb="FFE0A100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E0A100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1E8E5A"/>
      </font>
    </dxf>
    <dxf>
      <font>
        <color rgb="FFC8372D"/>
      </font>
    </dxf>
    <dxf>
      <font>
        <color rgb="FFC8372D"/>
      </font>
    </dxf>
    <dxf>
      <font>
        <color rgb="FF1E8E5A"/>
      </font>
    </dxf>
    <dxf>
      <font>
        <color rgb="FF1E8E5A"/>
      </font>
    </dxf>
    <dxf>
      <font>
        <color rgb="FFC8372D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C8372D"/>
      </font>
    </dxf>
    <dxf>
      <font>
        <color rgb="FF1E8E5A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E0A100"/>
      </font>
    </dxf>
    <dxf>
      <font>
        <color rgb="FF1E8E5A"/>
      </font>
    </dxf>
    <dxf>
      <font>
        <color rgb="FFC8372D"/>
      </font>
    </dxf>
    <dxf>
      <font>
        <color rgb="FFE0A100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C8372D"/>
      </font>
    </dxf>
    <dxf>
      <font>
        <color rgb="FF1E8E5A"/>
      </font>
    </dxf>
    <dxf>
      <font>
        <color rgb="FF1F2937"/>
      </font>
      <numFmt numFmtId="186" formatCode="#,##0;\(#,##0\);\-"/>
    </dxf>
    <dxf>
      <font>
        <color rgb="FF1F2937"/>
      </font>
      <numFmt numFmtId="186" formatCode="#,##0;\(#,##0\);\-"/>
    </dxf>
    <dxf>
      <font>
        <color rgb="FF1F2937"/>
      </font>
      <numFmt numFmtId="186" formatCode="#,##0;\(#,##0\);\-"/>
    </dxf>
    <dxf>
      <font>
        <color rgb="FF1F2937"/>
      </font>
      <numFmt numFmtId="186" formatCode="#,##0;\(#,##0\);\-"/>
    </dxf>
    <dxf>
      <font>
        <color rgb="FF1F2937"/>
      </font>
      <numFmt numFmtId="186" formatCode="#,##0;\(#,##0\);\-"/>
    </dxf>
    <dxf>
      <font>
        <color rgb="FF1F2937"/>
      </font>
      <numFmt numFmtId="186" formatCode="#,##0;\(#,##0\);\-"/>
    </dxf>
    <dxf>
      <font>
        <color rgb="FF0000FF"/>
      </font>
      <numFmt numFmtId="186" formatCode="#,##0;\(#,##0\);\-"/>
    </dxf>
    <dxf>
      <font>
        <color rgb="FF0000FF"/>
      </font>
      <numFmt numFmtId="186" formatCode="#,##0;\(#,##0\);\-"/>
    </dxf>
    <dxf>
      <font>
        <color rgb="FF0000FF"/>
      </font>
      <numFmt numFmtId="186" formatCode="#,##0;\(#,##0\);\-"/>
    </dxf>
    <dxf>
      <font>
        <color rgb="FF0000FF"/>
      </font>
      <numFmt numFmtId="186" formatCode="#,##0;\(#,##0\);\-"/>
    </dxf>
    <dxf>
      <font>
        <color rgb="FF0000FF"/>
      </font>
      <numFmt numFmtId="186" formatCode="#,##0;\(#,##0\);\-"/>
    </dxf>
    <dxf>
      <font>
        <color rgb="FF0000FF"/>
      </font>
      <numFmt numFmtId="186" formatCode="#,##0;\(#,##0\);\-"/>
    </dxf>
    <dxf>
      <font>
        <color rgb="FF0000FF"/>
      </font>
      <numFmt numFmtId="186" formatCode="#,##0;\(#,##0\);\-"/>
    </dxf>
    <dxf>
      <font>
        <color rgb="FF0000FF"/>
      </font>
      <numFmt numFmtId="186" formatCode="#,##0;\(#,##0\);\-"/>
    </dxf>
    <dxf>
      <font>
        <color rgb="FF0000FF"/>
      </font>
      <numFmt numFmtId="186" formatCode="#,##0;\(#,##0\);\-"/>
    </dxf>
    <dxf>
      <font>
        <color rgb="FF0000FF"/>
      </font>
      <numFmt numFmtId="186" formatCode="#,##0;\(#,##0\);\-"/>
    </dxf>
    <dxf>
      <font>
        <color rgb="FF0000FF"/>
      </font>
      <numFmt numFmtId="186" formatCode="#,##0;\(#,##0\);\-"/>
    </dxf>
    <dxf>
      <font>
        <color rgb="FF0000FF"/>
      </font>
      <numFmt numFmtId="186" formatCode="#,##0;\(#,##0\);\-"/>
    </dxf>
    <dxf>
      <font>
        <color rgb="FF0000FF"/>
      </font>
      <numFmt numFmtId="186" formatCode="#,##0;\(#,##0\);\-"/>
    </dxf>
    <dxf>
      <font>
        <color rgb="FF0000FF"/>
      </font>
      <numFmt numFmtId="186" formatCode="#,##0;\(#,##0\);\-"/>
    </dxf>
    <dxf>
      <font>
        <color rgb="FF0000FF"/>
      </font>
      <numFmt numFmtId="186" formatCode="#,##0;\(#,##0\);\-"/>
    </dxf>
    <dxf>
      <font>
        <color rgb="FF0000FF"/>
      </font>
      <numFmt numFmtId="186" formatCode="#,##0;\(#,##0\);\-"/>
    </dxf>
    <dxf>
      <font>
        <color rgb="FF0000FF"/>
      </font>
      <numFmt numFmtId="186" formatCode="#,##0;\(#,##0\);\-"/>
    </dxf>
    <dxf>
      <font>
        <color rgb="FF0000FF"/>
      </font>
      <numFmt numFmtId="186" formatCode="#,##0;\(#,##0\);\-"/>
    </dxf>
    <dxf>
      <font>
        <color rgb="FF0000FF"/>
      </font>
      <numFmt numFmtId="186" formatCode="#,##0;\(#,##0\);\-"/>
    </dxf>
    <dxf>
      <font>
        <color rgb="FF0000FF"/>
      </font>
      <numFmt numFmtId="186" formatCode="#,##0;\(#,##0\);\-"/>
    </dxf>
    <dxf>
      <font>
        <color rgb="FF0000FF"/>
      </font>
      <numFmt numFmtId="186" formatCode="#,##0;\(#,##0\);\-"/>
    </dxf>
    <dxf>
      <font>
        <color rgb="FF0000FF"/>
      </font>
      <numFmt numFmtId="186" formatCode="#,##0;\(#,##0\);\-"/>
    </dxf>
    <dxf>
      <font>
        <color rgb="FF0000FF"/>
      </font>
      <numFmt numFmtId="186" formatCode="#,##0;\(#,##0\);\-"/>
    </dxf>
    <dxf>
      <font>
        <color rgb="FF0000FF"/>
      </font>
      <numFmt numFmtId="186" formatCode="#,##0;\(#,##0\);\-"/>
    </dxf>
    <dxf>
      <font>
        <color rgb="FF0000FF"/>
      </font>
      <numFmt numFmtId="185" formatCode="#,##0.0;\(#,##0.0\);\-"/>
    </dxf>
    <dxf>
      <font>
        <color rgb="FF0000FF"/>
      </font>
    </dxf>
    <dxf>
      <font>
        <color rgb="FF0000FF"/>
      </font>
    </dxf>
    <dxf>
      <font>
        <color rgb="FF0000FF"/>
      </font>
    </dxf>
    <dxf>
      <font>
        <color rgb="FF0000FF"/>
      </font>
    </dxf>
    <dxf>
      <font>
        <color rgb="FF0000FF"/>
      </font>
    </dxf>
  </dxfs>
  <tableStyles count="1" defaultTableStyle="TableStyleMedium9" defaultPivotStyle="PivotStyleLight16">
    <tableStyle name="Invisible" pivot="0" table="0" count="0" xr9:uid="{8AF842D8-5C48-4E3E-860E-71940AC68CB3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Calc!$B$532</c:f>
          <c:strCache>
            <c:ptCount val="1"/>
            <c:pt idx="0">
              <c:v>Net revenue by month, $m: actual, forecast, budget, prior year</c:v>
            </c:pt>
          </c:strCache>
        </c:strRef>
      </c:tx>
      <c:layout>
        <c:manualLayout>
          <c:xMode val="edge"/>
          <c:yMode val="edge"/>
          <c:x val="0.02"/>
          <c:y val="2.5000000000000001E-2"/>
        </c:manualLayout>
      </c:layout>
      <c:overlay val="0"/>
      <c:txPr>
        <a:bodyPr/>
        <a:lstStyle/>
        <a:p>
          <a:pPr>
            <a:defRPr sz="950" b="1" baseline="0">
              <a:solidFill>
                <a:srgbClr val="0F2A47"/>
              </a:solidFill>
              <a:latin typeface="Arial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v>Actual</c:v>
          </c:tx>
          <c:spPr>
            <a:solidFill>
              <a:srgbClr val="0F2A47"/>
            </a:solidFill>
            <a:ln>
              <a:solidFill>
                <a:srgbClr val="0F2A47"/>
              </a:solidFill>
            </a:ln>
          </c:spPr>
          <c:invertIfNegative val="0"/>
          <c:cat>
            <c:strRef>
              <c:f>Calc!$D$4:$O$4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Calc!$D$292:$O$292</c:f>
              <c:numCache>
                <c:formatCode>#,##0.00;\(#,##0.00\);\-</c:formatCode>
                <c:ptCount val="12"/>
                <c:pt idx="0">
                  <c:v>34.348000000000006</c:v>
                </c:pt>
                <c:pt idx="1">
                  <c:v>35.390999999999998</c:v>
                </c:pt>
                <c:pt idx="2">
                  <c:v>39.532000000000004</c:v>
                </c:pt>
                <c:pt idx="3">
                  <c:v>40.6</c:v>
                </c:pt>
                <c:pt idx="4">
                  <c:v>41.617000000000004</c:v>
                </c:pt>
                <c:pt idx="5">
                  <c:v>42.601999999999997</c:v>
                </c:pt>
                <c:pt idx="6">
                  <c:v>41.555</c:v>
                </c:pt>
                <c:pt idx="7">
                  <c:v>42.514999999999993</c:v>
                </c:pt>
                <c:pt idx="8">
                  <c:v>46.665000000000006</c:v>
                </c:pt>
                <c:pt idx="9">
                  <c:v>50.744999999999997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99-4643-ACD0-B7EBBD9B6D76}"/>
            </c:ext>
          </c:extLst>
        </c:ser>
        <c:ser>
          <c:idx val="1"/>
          <c:order val="1"/>
          <c:tx>
            <c:v>Forecast</c:v>
          </c:tx>
          <c:spPr>
            <a:pattFill prst="wdUpDiag">
              <a:fgClr>
                <a:srgbClr val="0F2A47"/>
              </a:fgClr>
              <a:bgClr>
                <a:srgbClr val="FFFFFF"/>
              </a:bgClr>
            </a:pattFill>
            <a:ln>
              <a:solidFill>
                <a:srgbClr val="0F2A47"/>
              </a:solidFill>
            </a:ln>
          </c:spPr>
          <c:invertIfNegative val="0"/>
          <c:cat>
            <c:strRef>
              <c:f>Calc!$D$4:$O$4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Calc!$D$293:$O$293</c:f>
              <c:numCache>
                <c:formatCode>#,##0.00;\(#,##0.00\);\-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54.074999999999996</c:v>
                </c:pt>
                <c:pt idx="11">
                  <c:v>49.886000000000003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299-4643-ACD0-B7EBBD9B6D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50010001"/>
        <c:axId val="50010002"/>
      </c:barChart>
      <c:lineChart>
        <c:grouping val="standard"/>
        <c:varyColors val="0"/>
        <c:ser>
          <c:idx val="2"/>
          <c:order val="2"/>
          <c:tx>
            <c:v>Budget</c:v>
          </c:tx>
          <c:spPr>
            <a:ln>
              <a:noFill/>
            </a:ln>
          </c:spPr>
          <c:marker>
            <c:symbol val="dash"/>
            <c:size val="11"/>
            <c:spPr>
              <a:solidFill>
                <a:srgbClr val="12808A"/>
              </a:solidFill>
              <a:ln>
                <a:solidFill>
                  <a:srgbClr val="12808A"/>
                </a:solidFill>
              </a:ln>
            </c:spPr>
          </c:marker>
          <c:cat>
            <c:strRef>
              <c:f>Calc!$D$4:$O$4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Calc!$D$156:$O$156</c:f>
              <c:numCache>
                <c:formatCode>#,##0.00;\(#,##0.00\);\-</c:formatCode>
                <c:ptCount val="12"/>
                <c:pt idx="0">
                  <c:v>34.355000000000004</c:v>
                </c:pt>
                <c:pt idx="1">
                  <c:v>35.391000000000005</c:v>
                </c:pt>
                <c:pt idx="2">
                  <c:v>39.558999999999997</c:v>
                </c:pt>
                <c:pt idx="3">
                  <c:v>40.602000000000004</c:v>
                </c:pt>
                <c:pt idx="4">
                  <c:v>41.644999999999996</c:v>
                </c:pt>
                <c:pt idx="5">
                  <c:v>42.689000000000007</c:v>
                </c:pt>
                <c:pt idx="6">
                  <c:v>41.644999999999996</c:v>
                </c:pt>
                <c:pt idx="7">
                  <c:v>42.689000000000007</c:v>
                </c:pt>
                <c:pt idx="8">
                  <c:v>46.842999999999996</c:v>
                </c:pt>
                <c:pt idx="9">
                  <c:v>51.003999999999998</c:v>
                </c:pt>
                <c:pt idx="10">
                  <c:v>54.128</c:v>
                </c:pt>
                <c:pt idx="11">
                  <c:v>49.975999999999999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299-4643-ACD0-B7EBBD9B6D76}"/>
            </c:ext>
          </c:extLst>
        </c:ser>
        <c:ser>
          <c:idx val="3"/>
          <c:order val="3"/>
          <c:tx>
            <c:v>Prior year</c:v>
          </c:tx>
          <c:spPr>
            <a:ln w="19050">
              <a:solidFill>
                <a:srgbClr val="AEB6C1"/>
              </a:solidFill>
            </a:ln>
          </c:spPr>
          <c:marker>
            <c:symbol val="none"/>
          </c:marker>
          <c:cat>
            <c:strRef>
              <c:f>Calc!$D$4:$O$4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Calc!$D$180:$O$180</c:f>
              <c:numCache>
                <c:formatCode>#,##0.00;\(#,##0.00\);\-</c:formatCode>
                <c:ptCount val="12"/>
                <c:pt idx="0">
                  <c:v>31.712999999999994</c:v>
                </c:pt>
                <c:pt idx="1">
                  <c:v>32.561</c:v>
                </c:pt>
                <c:pt idx="2">
                  <c:v>36.454000000000001</c:v>
                </c:pt>
                <c:pt idx="3">
                  <c:v>37.622</c:v>
                </c:pt>
                <c:pt idx="4">
                  <c:v>38.406999999999996</c:v>
                </c:pt>
                <c:pt idx="5">
                  <c:v>39.566000000000003</c:v>
                </c:pt>
                <c:pt idx="6">
                  <c:v>38.491999999999997</c:v>
                </c:pt>
                <c:pt idx="7">
                  <c:v>39.417999999999992</c:v>
                </c:pt>
                <c:pt idx="8">
                  <c:v>43.092999999999996</c:v>
                </c:pt>
                <c:pt idx="9">
                  <c:v>47.191999999999993</c:v>
                </c:pt>
                <c:pt idx="10">
                  <c:v>49.885999999999996</c:v>
                </c:pt>
                <c:pt idx="11">
                  <c:v>45.911999999999999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299-4643-ACD0-B7EBBD9B6D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010001"/>
        <c:axId val="50010002"/>
      </c:lineChart>
      <c:catAx>
        <c:axId val="50010001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low"/>
        <c:spPr>
          <a:ln>
            <a:solidFill>
              <a:srgbClr val="D5DAE1"/>
            </a:solidFill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010002"/>
        <c:crosses val="autoZero"/>
        <c:auto val="1"/>
        <c:lblAlgn val="ctr"/>
        <c:lblOffset val="100"/>
        <c:noMultiLvlLbl val="0"/>
      </c:catAx>
      <c:valAx>
        <c:axId val="50010002"/>
        <c:scaling>
          <c:orientation val="minMax"/>
        </c:scaling>
        <c:delete val="0"/>
        <c:axPos val="l"/>
        <c:majorGridlines>
          <c:spPr>
            <a:ln w="9525">
              <a:solidFill>
                <a:srgbClr val="E8EBEF"/>
              </a:solidFill>
            </a:ln>
          </c:spPr>
        </c:majorGridlines>
        <c:numFmt formatCode="#,##0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010001"/>
        <c:crosses val="autoZero"/>
        <c:crossBetween val="between"/>
      </c:valAx>
      <c:spPr>
        <a:noFill/>
      </c:spPr>
    </c:plotArea>
    <c:legend>
      <c:legendPos val="b"/>
      <c:overlay val="0"/>
      <c:txPr>
        <a:bodyPr/>
        <a:lstStyle/>
        <a:p>
          <a:pPr>
            <a:defRPr sz="800" baseline="0">
              <a:solidFill>
                <a:srgbClr val="1F2937"/>
              </a:solidFill>
              <a:latin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>
      <a:solidFill>
        <a:srgbClr val="D5DAE1"/>
      </a:solidFill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Calc!$B$533</c:f>
          <c:strCache>
            <c:ptCount val="1"/>
            <c:pt idx="0">
              <c:v>Net revenue bridge vs budget, $m (axis truncated)</c:v>
            </c:pt>
          </c:strCache>
        </c:strRef>
      </c:tx>
      <c:layout>
        <c:manualLayout>
          <c:xMode val="edge"/>
          <c:yMode val="edge"/>
          <c:x val="0.02"/>
          <c:y val="2.5000000000000001E-2"/>
        </c:manualLayout>
      </c:layout>
      <c:overlay val="0"/>
      <c:txPr>
        <a:bodyPr/>
        <a:lstStyle/>
        <a:p>
          <a:pPr>
            <a:defRPr sz="950" b="1" baseline="0">
              <a:solidFill>
                <a:srgbClr val="0F2A47"/>
              </a:solidFill>
              <a:latin typeface="Arial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v>b</c:v>
          </c:tx>
          <c:spPr>
            <a:noFill/>
            <a:ln>
              <a:noFill/>
            </a:ln>
          </c:spPr>
          <c:invertIfNegative val="0"/>
          <c:cat>
            <c:strRef>
              <c:f>Calc!$A$486:$A$491</c:f>
              <c:strCache>
                <c:ptCount val="6"/>
                <c:pt idx="0">
                  <c:v>Budget</c:v>
                </c:pt>
                <c:pt idx="1">
                  <c:v>Volume</c:v>
                </c:pt>
                <c:pt idx="2">
                  <c:v>Mix</c:v>
                </c:pt>
                <c:pt idx="3">
                  <c:v>Gross price</c:v>
                </c:pt>
                <c:pt idx="4">
                  <c:v>Trade &amp; returns</c:v>
                </c:pt>
                <c:pt idx="5">
                  <c:v>Actual</c:v>
                </c:pt>
              </c:strCache>
            </c:strRef>
          </c:cat>
          <c:val>
            <c:numRef>
              <c:f>Calc!$F$486:$F$491</c:f>
              <c:numCache>
                <c:formatCode>#,##0.00;\(#,##0.00\);\-</c:formatCode>
                <c:ptCount val="6"/>
                <c:pt idx="0">
                  <c:v>0</c:v>
                </c:pt>
                <c:pt idx="1">
                  <c:v>6.0059426340760069</c:v>
                </c:pt>
                <c:pt idx="2">
                  <c:v>6.0059426340760069</c:v>
                </c:pt>
                <c:pt idx="3">
                  <c:v>8.5692033444718163</c:v>
                </c:pt>
                <c:pt idx="4">
                  <c:v>8.0600917176882376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365-439E-B1B4-3A5C28FA77D7}"/>
            </c:ext>
          </c:extLst>
        </c:ser>
        <c:ser>
          <c:idx val="1"/>
          <c:order val="1"/>
          <c:tx>
            <c:v>Total</c:v>
          </c:tx>
          <c:spPr>
            <a:solidFill>
              <a:srgbClr val="0F2A47"/>
            </a:solidFill>
            <a:ln>
              <a:solidFill>
                <a:srgbClr val="0F2A47"/>
              </a:solidFill>
            </a:ln>
          </c:spPr>
          <c:invertIfNegative val="0"/>
          <c:cat>
            <c:strRef>
              <c:f>Calc!$A$486:$A$491</c:f>
              <c:strCache>
                <c:ptCount val="6"/>
                <c:pt idx="0">
                  <c:v>Budget</c:v>
                </c:pt>
                <c:pt idx="1">
                  <c:v>Volume</c:v>
                </c:pt>
                <c:pt idx="2">
                  <c:v>Mix</c:v>
                </c:pt>
                <c:pt idx="3">
                  <c:v>Gross price</c:v>
                </c:pt>
                <c:pt idx="4">
                  <c:v>Trade &amp; returns</c:v>
                </c:pt>
                <c:pt idx="5">
                  <c:v>Actual</c:v>
                </c:pt>
              </c:strCache>
            </c:strRef>
          </c:cat>
          <c:val>
            <c:numRef>
              <c:f>Calc!$G$486:$G$491</c:f>
              <c:numCache>
                <c:formatCode>#,##0.00;\(#,##0.00\);\-</c:formatCode>
                <c:ptCount val="6"/>
                <c:pt idx="0">
                  <c:v>8.9120917176882699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8.0600917176881808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365-439E-B1B4-3A5C28FA77D7}"/>
            </c:ext>
          </c:extLst>
        </c:ser>
        <c:ser>
          <c:idx val="2"/>
          <c:order val="2"/>
          <c:tx>
            <c:v>Favourable</c:v>
          </c:tx>
          <c:spPr>
            <a:solidFill>
              <a:srgbClr val="1E8E5A"/>
            </a:solidFill>
            <a:ln>
              <a:solidFill>
                <a:srgbClr val="1E8E5A"/>
              </a:solidFill>
            </a:ln>
          </c:spPr>
          <c:invertIfNegative val="0"/>
          <c:cat>
            <c:strRef>
              <c:f>Calc!$A$486:$A$491</c:f>
              <c:strCache>
                <c:ptCount val="6"/>
                <c:pt idx="0">
                  <c:v>Budget</c:v>
                </c:pt>
                <c:pt idx="1">
                  <c:v>Volume</c:v>
                </c:pt>
                <c:pt idx="2">
                  <c:v>Mix</c:v>
                </c:pt>
                <c:pt idx="3">
                  <c:v>Gross price</c:v>
                </c:pt>
                <c:pt idx="4">
                  <c:v>Trade &amp; returns</c:v>
                </c:pt>
                <c:pt idx="5">
                  <c:v>Actual</c:v>
                </c:pt>
              </c:strCache>
            </c:strRef>
          </c:cat>
          <c:val>
            <c:numRef>
              <c:f>Calc!$H$486:$H$491</c:f>
              <c:numCache>
                <c:formatCode>#,##0.00;\(#,##0.00\);\-</c:formatCode>
                <c:ptCount val="6"/>
                <c:pt idx="0">
                  <c:v>0</c:v>
                </c:pt>
                <c:pt idx="1">
                  <c:v>0</c:v>
                </c:pt>
                <c:pt idx="2">
                  <c:v>2.5632607103958094</c:v>
                </c:pt>
                <c:pt idx="3">
                  <c:v>1.4407010456548619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365-439E-B1B4-3A5C28FA77D7}"/>
            </c:ext>
          </c:extLst>
        </c:ser>
        <c:ser>
          <c:idx val="3"/>
          <c:order val="3"/>
          <c:tx>
            <c:v>Unfavourable</c:v>
          </c:tx>
          <c:spPr>
            <a:solidFill>
              <a:srgbClr val="C8372D"/>
            </a:solidFill>
            <a:ln>
              <a:solidFill>
                <a:srgbClr val="C8372D"/>
              </a:solidFill>
            </a:ln>
          </c:spPr>
          <c:invertIfNegative val="0"/>
          <c:cat>
            <c:strRef>
              <c:f>Calc!$A$486:$A$491</c:f>
              <c:strCache>
                <c:ptCount val="6"/>
                <c:pt idx="0">
                  <c:v>Budget</c:v>
                </c:pt>
                <c:pt idx="1">
                  <c:v>Volume</c:v>
                </c:pt>
                <c:pt idx="2">
                  <c:v>Mix</c:v>
                </c:pt>
                <c:pt idx="3">
                  <c:v>Gross price</c:v>
                </c:pt>
                <c:pt idx="4">
                  <c:v>Trade &amp; returns</c:v>
                </c:pt>
                <c:pt idx="5">
                  <c:v>Actual</c:v>
                </c:pt>
              </c:strCache>
            </c:strRef>
          </c:cat>
          <c:val>
            <c:numRef>
              <c:f>Calc!$I$486:$I$491</c:f>
              <c:numCache>
                <c:formatCode>#,##0.00;\(#,##0.00\);\-</c:formatCode>
                <c:ptCount val="6"/>
                <c:pt idx="0">
                  <c:v>0</c:v>
                </c:pt>
                <c:pt idx="1">
                  <c:v>2.906149083612263</c:v>
                </c:pt>
                <c:pt idx="2">
                  <c:v>0</c:v>
                </c:pt>
                <c:pt idx="3">
                  <c:v>0</c:v>
                </c:pt>
                <c:pt idx="4">
                  <c:v>1.9498126724384406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365-439E-B1B4-3A5C28FA77D7}"/>
            </c:ext>
          </c:extLst>
        </c:ser>
        <c:ser>
          <c:idx val="4"/>
          <c:order val="4"/>
          <c:tx>
            <c:v>bn</c:v>
          </c:tx>
          <c:spPr>
            <a:noFill/>
            <a:ln>
              <a:noFill/>
            </a:ln>
          </c:spPr>
          <c:invertIfNegative val="0"/>
          <c:cat>
            <c:strRef>
              <c:f>Calc!$A$486:$A$491</c:f>
              <c:strCache>
                <c:ptCount val="6"/>
                <c:pt idx="0">
                  <c:v>Budget</c:v>
                </c:pt>
                <c:pt idx="1">
                  <c:v>Volume</c:v>
                </c:pt>
                <c:pt idx="2">
                  <c:v>Mix</c:v>
                </c:pt>
                <c:pt idx="3">
                  <c:v>Gross price</c:v>
                </c:pt>
                <c:pt idx="4">
                  <c:v>Trade &amp; returns</c:v>
                </c:pt>
                <c:pt idx="5">
                  <c:v>Actual</c:v>
                </c:pt>
              </c:strCache>
            </c:strRef>
          </c:cat>
          <c:val>
            <c:numRef>
              <c:f>Calc!$J$486:$J$491</c:f>
              <c:numCache>
                <c:formatCode>#,##0.00;\(#,##0.00\);\-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365-439E-B1B4-3A5C28FA77D7}"/>
            </c:ext>
          </c:extLst>
        </c:ser>
        <c:ser>
          <c:idx val="5"/>
          <c:order val="5"/>
          <c:tx>
            <c:v>Total-</c:v>
          </c:tx>
          <c:spPr>
            <a:solidFill>
              <a:srgbClr val="0F2A47"/>
            </a:solidFill>
            <a:ln>
              <a:solidFill>
                <a:srgbClr val="0F2A47"/>
              </a:solidFill>
            </a:ln>
          </c:spPr>
          <c:invertIfNegative val="0"/>
          <c:cat>
            <c:strRef>
              <c:f>Calc!$A$486:$A$491</c:f>
              <c:strCache>
                <c:ptCount val="6"/>
                <c:pt idx="0">
                  <c:v>Budget</c:v>
                </c:pt>
                <c:pt idx="1">
                  <c:v>Volume</c:v>
                </c:pt>
                <c:pt idx="2">
                  <c:v>Mix</c:v>
                </c:pt>
                <c:pt idx="3">
                  <c:v>Gross price</c:v>
                </c:pt>
                <c:pt idx="4">
                  <c:v>Trade &amp; returns</c:v>
                </c:pt>
                <c:pt idx="5">
                  <c:v>Actual</c:v>
                </c:pt>
              </c:strCache>
            </c:strRef>
          </c:cat>
          <c:val>
            <c:numRef>
              <c:f>Calc!$K$486:$K$491</c:f>
              <c:numCache>
                <c:formatCode>#,##0.00;\(#,##0.00\);\-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365-439E-B1B4-3A5C28FA77D7}"/>
            </c:ext>
          </c:extLst>
        </c:ser>
        <c:ser>
          <c:idx val="6"/>
          <c:order val="6"/>
          <c:tx>
            <c:v>Fav-</c:v>
          </c:tx>
          <c:spPr>
            <a:solidFill>
              <a:srgbClr val="1E8E5A"/>
            </a:solidFill>
            <a:ln>
              <a:solidFill>
                <a:srgbClr val="1E8E5A"/>
              </a:solidFill>
            </a:ln>
          </c:spPr>
          <c:invertIfNegative val="0"/>
          <c:cat>
            <c:strRef>
              <c:f>Calc!$A$486:$A$491</c:f>
              <c:strCache>
                <c:ptCount val="6"/>
                <c:pt idx="0">
                  <c:v>Budget</c:v>
                </c:pt>
                <c:pt idx="1">
                  <c:v>Volume</c:v>
                </c:pt>
                <c:pt idx="2">
                  <c:v>Mix</c:v>
                </c:pt>
                <c:pt idx="3">
                  <c:v>Gross price</c:v>
                </c:pt>
                <c:pt idx="4">
                  <c:v>Trade &amp; returns</c:v>
                </c:pt>
                <c:pt idx="5">
                  <c:v>Actual</c:v>
                </c:pt>
              </c:strCache>
            </c:strRef>
          </c:cat>
          <c:val>
            <c:numRef>
              <c:f>Calc!$L$486:$L$491</c:f>
              <c:numCache>
                <c:formatCode>#,##0.00;\(#,##0.00\);\-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365-439E-B1B4-3A5C28FA77D7}"/>
            </c:ext>
          </c:extLst>
        </c:ser>
        <c:ser>
          <c:idx val="7"/>
          <c:order val="7"/>
          <c:tx>
            <c:v>Unfav-</c:v>
          </c:tx>
          <c:spPr>
            <a:solidFill>
              <a:srgbClr val="C8372D"/>
            </a:solidFill>
            <a:ln>
              <a:solidFill>
                <a:srgbClr val="C8372D"/>
              </a:solidFill>
            </a:ln>
          </c:spPr>
          <c:invertIfNegative val="0"/>
          <c:cat>
            <c:strRef>
              <c:f>Calc!$A$486:$A$491</c:f>
              <c:strCache>
                <c:ptCount val="6"/>
                <c:pt idx="0">
                  <c:v>Budget</c:v>
                </c:pt>
                <c:pt idx="1">
                  <c:v>Volume</c:v>
                </c:pt>
                <c:pt idx="2">
                  <c:v>Mix</c:v>
                </c:pt>
                <c:pt idx="3">
                  <c:v>Gross price</c:v>
                </c:pt>
                <c:pt idx="4">
                  <c:v>Trade &amp; returns</c:v>
                </c:pt>
                <c:pt idx="5">
                  <c:v>Actual</c:v>
                </c:pt>
              </c:strCache>
            </c:strRef>
          </c:cat>
          <c:val>
            <c:numRef>
              <c:f>Calc!$M$486:$M$491</c:f>
              <c:numCache>
                <c:formatCode>#,##0.00;\(#,##0.00\);\-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365-439E-B1B4-3A5C28FA77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5"/>
        <c:overlap val="100"/>
        <c:axId val="50020001"/>
        <c:axId val="50020002"/>
      </c:barChart>
      <c:lineChart>
        <c:grouping val="standard"/>
        <c:varyColors val="0"/>
        <c:ser>
          <c:idx val="8"/>
          <c:order val="8"/>
          <c:tx>
            <c:v>lbl</c:v>
          </c:tx>
          <c:spPr>
            <a:ln>
              <a:noFill/>
            </a:ln>
          </c:spPr>
          <c:marker>
            <c:symbol val="none"/>
          </c:marker>
          <c:dLbls>
            <c:dLbl>
              <c:idx val="0"/>
              <c:tx>
                <c:strRef>
                  <c:f>Calc!$O$486</c:f>
                  <c:strCache>
                    <c:ptCount val="1"/>
                    <c:pt idx="0">
                      <c:v>416.4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{5032F846-1054-47D2-B9A1-EF64C9A8AA2F}</c15:txfldGUID>
                      <c15:f>Calc!$O$486</c15:f>
                      <c15:dlblFieldTableCache>
                        <c:ptCount val="1"/>
                        <c:pt idx="0">
                          <c:v>416.4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8-E365-439E-B1B4-3A5C28FA77D7}"/>
                </c:ext>
              </c:extLst>
            </c:dLbl>
            <c:dLbl>
              <c:idx val="1"/>
              <c:tx>
                <c:strRef>
                  <c:f>Calc!$O$487</c:f>
                  <c:strCache>
                    <c:ptCount val="1"/>
                    <c:pt idx="0">
                      <c:v>-2.9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{F34937C0-EB76-4782-832E-181EEFE6F70A}</c15:txfldGUID>
                      <c15:f>Calc!$O$487</c15:f>
                      <c15:dlblFieldTableCache>
                        <c:ptCount val="1"/>
                        <c:pt idx="0">
                          <c:v>-2.9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E365-439E-B1B4-3A5C28FA77D7}"/>
                </c:ext>
              </c:extLst>
            </c:dLbl>
            <c:dLbl>
              <c:idx val="2"/>
              <c:tx>
                <c:strRef>
                  <c:f>Calc!$O$488</c:f>
                  <c:strCache>
                    <c:ptCount val="1"/>
                    <c:pt idx="0">
                      <c:v>+2.6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{6DB25239-22F6-4034-AEBC-0555A08DF885}</c15:txfldGUID>
                      <c15:f>Calc!$O$488</c15:f>
                      <c15:dlblFieldTableCache>
                        <c:ptCount val="1"/>
                        <c:pt idx="0">
                          <c:v>+2.6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A-E365-439E-B1B4-3A5C28FA77D7}"/>
                </c:ext>
              </c:extLst>
            </c:dLbl>
            <c:dLbl>
              <c:idx val="3"/>
              <c:tx>
                <c:strRef>
                  <c:f>Calc!$O$489</c:f>
                  <c:strCache>
                    <c:ptCount val="1"/>
                    <c:pt idx="0">
                      <c:v>+1.4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{7A4ACB2A-5E83-4122-901B-760BCE7F27C8}</c15:txfldGUID>
                      <c15:f>Calc!$O$489</c15:f>
                      <c15:dlblFieldTableCache>
                        <c:ptCount val="1"/>
                        <c:pt idx="0">
                          <c:v>+1.4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B-E365-439E-B1B4-3A5C28FA77D7}"/>
                </c:ext>
              </c:extLst>
            </c:dLbl>
            <c:dLbl>
              <c:idx val="4"/>
              <c:tx>
                <c:strRef>
                  <c:f>Calc!$O$490</c:f>
                  <c:strCache>
                    <c:ptCount val="1"/>
                    <c:pt idx="0">
                      <c:v>-1.9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{BD018EAE-C511-47F4-A1E7-CD47FBF45CD2}</c15:txfldGUID>
                      <c15:f>Calc!$O$490</c15:f>
                      <c15:dlblFieldTableCache>
                        <c:ptCount val="1"/>
                        <c:pt idx="0">
                          <c:v>-1.9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C-E365-439E-B1B4-3A5C28FA77D7}"/>
                </c:ext>
              </c:extLst>
            </c:dLbl>
            <c:dLbl>
              <c:idx val="5"/>
              <c:tx>
                <c:strRef>
                  <c:f>Calc!$O$491</c:f>
                  <c:strCache>
                    <c:ptCount val="1"/>
                    <c:pt idx="0">
                      <c:v>415.6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{B3DC7F22-381A-40CD-8A95-860DF0BA25D5}</c15:txfldGUID>
                      <c15:f>Calc!$O$491</c15:f>
                      <c15:dlblFieldTableCache>
                        <c:ptCount val="1"/>
                        <c:pt idx="0">
                          <c:v>415.6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D-E365-439E-B1B4-3A5C28FA77D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 baseline="0">
                    <a:solidFill>
                      <a:srgbClr val="1F2937"/>
                    </a:solidFill>
                    <a:latin typeface="Arial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Calc!$A$486:$A$491</c:f>
              <c:strCache>
                <c:ptCount val="6"/>
                <c:pt idx="0">
                  <c:v>Budget</c:v>
                </c:pt>
                <c:pt idx="1">
                  <c:v>Volume</c:v>
                </c:pt>
                <c:pt idx="2">
                  <c:v>Mix</c:v>
                </c:pt>
                <c:pt idx="3">
                  <c:v>Gross price</c:v>
                </c:pt>
                <c:pt idx="4">
                  <c:v>Trade &amp; returns</c:v>
                </c:pt>
                <c:pt idx="5">
                  <c:v>Actual</c:v>
                </c:pt>
              </c:strCache>
            </c:strRef>
          </c:cat>
          <c:val>
            <c:numRef>
              <c:f>Calc!$N$486:$N$491</c:f>
              <c:numCache>
                <c:formatCode>#,##0.00;\(#,##0.00\);\-</c:formatCode>
                <c:ptCount val="6"/>
                <c:pt idx="0">
                  <c:v>8.9120917176882699</c:v>
                </c:pt>
                <c:pt idx="1">
                  <c:v>8.9120917176882699</c:v>
                </c:pt>
                <c:pt idx="2">
                  <c:v>8.5692033444718163</c:v>
                </c:pt>
                <c:pt idx="3">
                  <c:v>10.009904390126678</c:v>
                </c:pt>
                <c:pt idx="4">
                  <c:v>10.009904390126678</c:v>
                </c:pt>
                <c:pt idx="5">
                  <c:v>8.0600917176881808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E365-439E-B1B4-3A5C28FA77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020001"/>
        <c:axId val="50020002"/>
      </c:lineChart>
      <c:catAx>
        <c:axId val="50020001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low"/>
        <c:spPr>
          <a:ln>
            <a:solidFill>
              <a:srgbClr val="D5DAE1"/>
            </a:solidFill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020002"/>
        <c:crosses val="autoZero"/>
        <c:auto val="1"/>
        <c:lblAlgn val="ctr"/>
        <c:lblOffset val="100"/>
        <c:noMultiLvlLbl val="0"/>
      </c:catAx>
      <c:valAx>
        <c:axId val="50020002"/>
        <c:scaling>
          <c:orientation val="minMax"/>
        </c:scaling>
        <c:delete val="1"/>
        <c:axPos val="l"/>
        <c:numFmt formatCode="#,##0.00;\(#,##0.00\);\-" sourceLinked="1"/>
        <c:majorTickMark val="none"/>
        <c:minorTickMark val="none"/>
        <c:tickLblPos val="nextTo"/>
        <c:crossAx val="50020001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solidFill>
      <a:srgbClr val="FFFFFF"/>
    </a:solidFill>
    <a:ln>
      <a:solidFill>
        <a:srgbClr val="D5DAE1"/>
      </a:solidFill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Calc!$B$534</c:f>
          <c:strCache>
            <c:ptCount val="1"/>
            <c:pt idx="0">
              <c:v>EBITDA bridge vs budget, $m (axis truncated)</c:v>
            </c:pt>
          </c:strCache>
        </c:strRef>
      </c:tx>
      <c:layout>
        <c:manualLayout>
          <c:xMode val="edge"/>
          <c:yMode val="edge"/>
          <c:x val="0.02"/>
          <c:y val="2.5000000000000001E-2"/>
        </c:manualLayout>
      </c:layout>
      <c:overlay val="0"/>
      <c:txPr>
        <a:bodyPr/>
        <a:lstStyle/>
        <a:p>
          <a:pPr>
            <a:defRPr sz="950" b="1" baseline="0">
              <a:solidFill>
                <a:srgbClr val="0F2A47"/>
              </a:solidFill>
              <a:latin typeface="Arial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v>b</c:v>
          </c:tx>
          <c:spPr>
            <a:noFill/>
            <a:ln>
              <a:noFill/>
            </a:ln>
          </c:spPr>
          <c:invertIfNegative val="0"/>
          <c:cat>
            <c:strRef>
              <c:f>Calc!$A$495:$A$502</c:f>
              <c:strCache>
                <c:ptCount val="8"/>
                <c:pt idx="0">
                  <c:v>Budget</c:v>
                </c:pt>
                <c:pt idx="1">
                  <c:v>Volume</c:v>
                </c:pt>
                <c:pt idx="2">
                  <c:v>Price, mix, trade</c:v>
                </c:pt>
                <c:pt idx="3">
                  <c:v>COGS rate</c:v>
                </c:pt>
                <c:pt idx="4">
                  <c:v>A&amp;P</c:v>
                </c:pt>
                <c:pt idx="5">
                  <c:v>Cost to serve</c:v>
                </c:pt>
                <c:pt idx="6">
                  <c:v>Overheads</c:v>
                </c:pt>
                <c:pt idx="7">
                  <c:v>Actual</c:v>
                </c:pt>
              </c:strCache>
            </c:strRef>
          </c:cat>
          <c:val>
            <c:numRef>
              <c:f>Calc!$F$495:$F$502</c:f>
              <c:numCache>
                <c:formatCode>#,##0.00;\(#,##0.00\);\-</c:formatCode>
                <c:ptCount val="8"/>
                <c:pt idx="0">
                  <c:v>0</c:v>
                </c:pt>
                <c:pt idx="1">
                  <c:v>9.4811570082095358</c:v>
                </c:pt>
                <c:pt idx="2">
                  <c:v>9.4811570082095358</c:v>
                </c:pt>
                <c:pt idx="3">
                  <c:v>6.9211836550930315</c:v>
                </c:pt>
                <c:pt idx="4">
                  <c:v>6.9211836550930315</c:v>
                </c:pt>
                <c:pt idx="5">
                  <c:v>7.2211836550930286</c:v>
                </c:pt>
                <c:pt idx="6">
                  <c:v>7.2211836550930286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30-4C58-87B8-BAD211EFD71B}"/>
            </c:ext>
          </c:extLst>
        </c:ser>
        <c:ser>
          <c:idx val="1"/>
          <c:order val="1"/>
          <c:tx>
            <c:v>Total</c:v>
          </c:tx>
          <c:spPr>
            <a:solidFill>
              <a:srgbClr val="0F2A47"/>
            </a:solidFill>
            <a:ln>
              <a:solidFill>
                <a:srgbClr val="0F2A47"/>
              </a:solidFill>
            </a:ln>
          </c:spPr>
          <c:invertIfNegative val="0"/>
          <c:cat>
            <c:strRef>
              <c:f>Calc!$A$495:$A$502</c:f>
              <c:strCache>
                <c:ptCount val="8"/>
                <c:pt idx="0">
                  <c:v>Budget</c:v>
                </c:pt>
                <c:pt idx="1">
                  <c:v>Volume</c:v>
                </c:pt>
                <c:pt idx="2">
                  <c:v>Price, mix, trade</c:v>
                </c:pt>
                <c:pt idx="3">
                  <c:v>COGS rate</c:v>
                </c:pt>
                <c:pt idx="4">
                  <c:v>A&amp;P</c:v>
                </c:pt>
                <c:pt idx="5">
                  <c:v>Cost to serve</c:v>
                </c:pt>
                <c:pt idx="6">
                  <c:v>Overheads</c:v>
                </c:pt>
                <c:pt idx="7">
                  <c:v>Actual</c:v>
                </c:pt>
              </c:strCache>
            </c:strRef>
          </c:cat>
          <c:val>
            <c:numRef>
              <c:f>Calc!$G$495:$G$502</c:f>
              <c:numCache>
                <c:formatCode>#,##0.00;\(#,##0.00\);\-</c:formatCode>
                <c:ptCount val="8"/>
                <c:pt idx="0">
                  <c:v>11.13718365509304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7.3831836550930348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B30-4C58-87B8-BAD211EFD71B}"/>
            </c:ext>
          </c:extLst>
        </c:ser>
        <c:ser>
          <c:idx val="2"/>
          <c:order val="2"/>
          <c:tx>
            <c:v>Favourable</c:v>
          </c:tx>
          <c:spPr>
            <a:solidFill>
              <a:srgbClr val="1E8E5A"/>
            </a:solidFill>
            <a:ln>
              <a:solidFill>
                <a:srgbClr val="1E8E5A"/>
              </a:solidFill>
            </a:ln>
          </c:spPr>
          <c:invertIfNegative val="0"/>
          <c:cat>
            <c:strRef>
              <c:f>Calc!$A$495:$A$502</c:f>
              <c:strCache>
                <c:ptCount val="8"/>
                <c:pt idx="0">
                  <c:v>Budget</c:v>
                </c:pt>
                <c:pt idx="1">
                  <c:v>Volume</c:v>
                </c:pt>
                <c:pt idx="2">
                  <c:v>Price, mix, trade</c:v>
                </c:pt>
                <c:pt idx="3">
                  <c:v>COGS rate</c:v>
                </c:pt>
                <c:pt idx="4">
                  <c:v>A&amp;P</c:v>
                </c:pt>
                <c:pt idx="5">
                  <c:v>Cost to serve</c:v>
                </c:pt>
                <c:pt idx="6">
                  <c:v>Overheads</c:v>
                </c:pt>
                <c:pt idx="7">
                  <c:v>Actual</c:v>
                </c:pt>
              </c:strCache>
            </c:strRef>
          </c:cat>
          <c:val>
            <c:numRef>
              <c:f>Calc!$H$495:$H$502</c:f>
              <c:numCache>
                <c:formatCode>#,##0.00;\(#,##0.00\);\-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2.0541490836121881</c:v>
                </c:pt>
                <c:pt idx="3">
                  <c:v>0</c:v>
                </c:pt>
                <c:pt idx="4">
                  <c:v>1.4259999999999877</c:v>
                </c:pt>
                <c:pt idx="5">
                  <c:v>0</c:v>
                </c:pt>
                <c:pt idx="6">
                  <c:v>0.16200000000002035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B30-4C58-87B8-BAD211EFD71B}"/>
            </c:ext>
          </c:extLst>
        </c:ser>
        <c:ser>
          <c:idx val="3"/>
          <c:order val="3"/>
          <c:tx>
            <c:v>Unfavourable</c:v>
          </c:tx>
          <c:spPr>
            <a:solidFill>
              <a:srgbClr val="C8372D"/>
            </a:solidFill>
            <a:ln>
              <a:solidFill>
                <a:srgbClr val="C8372D"/>
              </a:solidFill>
            </a:ln>
          </c:spPr>
          <c:invertIfNegative val="0"/>
          <c:cat>
            <c:strRef>
              <c:f>Calc!$A$495:$A$502</c:f>
              <c:strCache>
                <c:ptCount val="8"/>
                <c:pt idx="0">
                  <c:v>Budget</c:v>
                </c:pt>
                <c:pt idx="1">
                  <c:v>Volume</c:v>
                </c:pt>
                <c:pt idx="2">
                  <c:v>Price, mix, trade</c:v>
                </c:pt>
                <c:pt idx="3">
                  <c:v>COGS rate</c:v>
                </c:pt>
                <c:pt idx="4">
                  <c:v>A&amp;P</c:v>
                </c:pt>
                <c:pt idx="5">
                  <c:v>Cost to serve</c:v>
                </c:pt>
                <c:pt idx="6">
                  <c:v>Overheads</c:v>
                </c:pt>
                <c:pt idx="7">
                  <c:v>Actual</c:v>
                </c:pt>
              </c:strCache>
            </c:strRef>
          </c:cat>
          <c:val>
            <c:numRef>
              <c:f>Calc!$I$495:$I$502</c:f>
              <c:numCache>
                <c:formatCode>#,##0.00;\(#,##0.00\);\-</c:formatCode>
                <c:ptCount val="8"/>
                <c:pt idx="0">
                  <c:v>0</c:v>
                </c:pt>
                <c:pt idx="1">
                  <c:v>1.6560266468835039</c:v>
                </c:pt>
                <c:pt idx="2">
                  <c:v>0</c:v>
                </c:pt>
                <c:pt idx="3">
                  <c:v>4.6141224367286924</c:v>
                </c:pt>
                <c:pt idx="4">
                  <c:v>0</c:v>
                </c:pt>
                <c:pt idx="5">
                  <c:v>1.1259999999999906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B30-4C58-87B8-BAD211EFD71B}"/>
            </c:ext>
          </c:extLst>
        </c:ser>
        <c:ser>
          <c:idx val="4"/>
          <c:order val="4"/>
          <c:tx>
            <c:v>bn</c:v>
          </c:tx>
          <c:spPr>
            <a:noFill/>
            <a:ln>
              <a:noFill/>
            </a:ln>
          </c:spPr>
          <c:invertIfNegative val="0"/>
          <c:cat>
            <c:strRef>
              <c:f>Calc!$A$495:$A$502</c:f>
              <c:strCache>
                <c:ptCount val="8"/>
                <c:pt idx="0">
                  <c:v>Budget</c:v>
                </c:pt>
                <c:pt idx="1">
                  <c:v>Volume</c:v>
                </c:pt>
                <c:pt idx="2">
                  <c:v>Price, mix, trade</c:v>
                </c:pt>
                <c:pt idx="3">
                  <c:v>COGS rate</c:v>
                </c:pt>
                <c:pt idx="4">
                  <c:v>A&amp;P</c:v>
                </c:pt>
                <c:pt idx="5">
                  <c:v>Cost to serve</c:v>
                </c:pt>
                <c:pt idx="6">
                  <c:v>Overheads</c:v>
                </c:pt>
                <c:pt idx="7">
                  <c:v>Actual</c:v>
                </c:pt>
              </c:strCache>
            </c:strRef>
          </c:cat>
          <c:val>
            <c:numRef>
              <c:f>Calc!$J$495:$J$502</c:f>
              <c:numCache>
                <c:formatCode>#,##0.00;\(#,##0.00\);\-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B30-4C58-87B8-BAD211EFD71B}"/>
            </c:ext>
          </c:extLst>
        </c:ser>
        <c:ser>
          <c:idx val="5"/>
          <c:order val="5"/>
          <c:tx>
            <c:v>Total-</c:v>
          </c:tx>
          <c:spPr>
            <a:solidFill>
              <a:srgbClr val="0F2A47"/>
            </a:solidFill>
            <a:ln>
              <a:solidFill>
                <a:srgbClr val="0F2A47"/>
              </a:solidFill>
            </a:ln>
          </c:spPr>
          <c:invertIfNegative val="0"/>
          <c:cat>
            <c:strRef>
              <c:f>Calc!$A$495:$A$502</c:f>
              <c:strCache>
                <c:ptCount val="8"/>
                <c:pt idx="0">
                  <c:v>Budget</c:v>
                </c:pt>
                <c:pt idx="1">
                  <c:v>Volume</c:v>
                </c:pt>
                <c:pt idx="2">
                  <c:v>Price, mix, trade</c:v>
                </c:pt>
                <c:pt idx="3">
                  <c:v>COGS rate</c:v>
                </c:pt>
                <c:pt idx="4">
                  <c:v>A&amp;P</c:v>
                </c:pt>
                <c:pt idx="5">
                  <c:v>Cost to serve</c:v>
                </c:pt>
                <c:pt idx="6">
                  <c:v>Overheads</c:v>
                </c:pt>
                <c:pt idx="7">
                  <c:v>Actual</c:v>
                </c:pt>
              </c:strCache>
            </c:strRef>
          </c:cat>
          <c:val>
            <c:numRef>
              <c:f>Calc!$K$495:$K$502</c:f>
              <c:numCache>
                <c:formatCode>#,##0.00;\(#,##0.00\);\-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B30-4C58-87B8-BAD211EFD71B}"/>
            </c:ext>
          </c:extLst>
        </c:ser>
        <c:ser>
          <c:idx val="6"/>
          <c:order val="6"/>
          <c:tx>
            <c:v>Fav-</c:v>
          </c:tx>
          <c:spPr>
            <a:solidFill>
              <a:srgbClr val="1E8E5A"/>
            </a:solidFill>
            <a:ln>
              <a:solidFill>
                <a:srgbClr val="1E8E5A"/>
              </a:solidFill>
            </a:ln>
          </c:spPr>
          <c:invertIfNegative val="0"/>
          <c:cat>
            <c:strRef>
              <c:f>Calc!$A$495:$A$502</c:f>
              <c:strCache>
                <c:ptCount val="8"/>
                <c:pt idx="0">
                  <c:v>Budget</c:v>
                </c:pt>
                <c:pt idx="1">
                  <c:v>Volume</c:v>
                </c:pt>
                <c:pt idx="2">
                  <c:v>Price, mix, trade</c:v>
                </c:pt>
                <c:pt idx="3">
                  <c:v>COGS rate</c:v>
                </c:pt>
                <c:pt idx="4">
                  <c:v>A&amp;P</c:v>
                </c:pt>
                <c:pt idx="5">
                  <c:v>Cost to serve</c:v>
                </c:pt>
                <c:pt idx="6">
                  <c:v>Overheads</c:v>
                </c:pt>
                <c:pt idx="7">
                  <c:v>Actual</c:v>
                </c:pt>
              </c:strCache>
            </c:strRef>
          </c:cat>
          <c:val>
            <c:numRef>
              <c:f>Calc!$L$495:$L$502</c:f>
              <c:numCache>
                <c:formatCode>#,##0.00;\(#,##0.00\);\-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B30-4C58-87B8-BAD211EFD71B}"/>
            </c:ext>
          </c:extLst>
        </c:ser>
        <c:ser>
          <c:idx val="7"/>
          <c:order val="7"/>
          <c:tx>
            <c:v>Unfav-</c:v>
          </c:tx>
          <c:spPr>
            <a:solidFill>
              <a:srgbClr val="C8372D"/>
            </a:solidFill>
            <a:ln>
              <a:solidFill>
                <a:srgbClr val="C8372D"/>
              </a:solidFill>
            </a:ln>
          </c:spPr>
          <c:invertIfNegative val="0"/>
          <c:cat>
            <c:strRef>
              <c:f>Calc!$A$495:$A$502</c:f>
              <c:strCache>
                <c:ptCount val="8"/>
                <c:pt idx="0">
                  <c:v>Budget</c:v>
                </c:pt>
                <c:pt idx="1">
                  <c:v>Volume</c:v>
                </c:pt>
                <c:pt idx="2">
                  <c:v>Price, mix, trade</c:v>
                </c:pt>
                <c:pt idx="3">
                  <c:v>COGS rate</c:v>
                </c:pt>
                <c:pt idx="4">
                  <c:v>A&amp;P</c:v>
                </c:pt>
                <c:pt idx="5">
                  <c:v>Cost to serve</c:v>
                </c:pt>
                <c:pt idx="6">
                  <c:v>Overheads</c:v>
                </c:pt>
                <c:pt idx="7">
                  <c:v>Actual</c:v>
                </c:pt>
              </c:strCache>
            </c:strRef>
          </c:cat>
          <c:val>
            <c:numRef>
              <c:f>Calc!$M$495:$M$502</c:f>
              <c:numCache>
                <c:formatCode>#,##0.00;\(#,##0.00\);\-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B30-4C58-87B8-BAD211EFD7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5"/>
        <c:overlap val="100"/>
        <c:axId val="50030001"/>
        <c:axId val="50030002"/>
      </c:barChart>
      <c:lineChart>
        <c:grouping val="standard"/>
        <c:varyColors val="0"/>
        <c:ser>
          <c:idx val="8"/>
          <c:order val="8"/>
          <c:tx>
            <c:v>lbl</c:v>
          </c:tx>
          <c:spPr>
            <a:ln>
              <a:noFill/>
            </a:ln>
          </c:spPr>
          <c:marker>
            <c:symbol val="none"/>
          </c:marker>
          <c:dLbls>
            <c:dLbl>
              <c:idx val="0"/>
              <c:tx>
                <c:strRef>
                  <c:f>Calc!$O$495</c:f>
                  <c:strCache>
                    <c:ptCount val="1"/>
                    <c:pt idx="0">
                      <c:v>85.6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{3C78402B-217E-4CC8-B105-225D6D90C623}</c15:txfldGUID>
                      <c15:f>Calc!$O$495</c15:f>
                      <c15:dlblFieldTableCache>
                        <c:ptCount val="1"/>
                        <c:pt idx="0">
                          <c:v>85.6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8-9B30-4C58-87B8-BAD211EFD71B}"/>
                </c:ext>
              </c:extLst>
            </c:dLbl>
            <c:dLbl>
              <c:idx val="1"/>
              <c:tx>
                <c:strRef>
                  <c:f>Calc!$O$496</c:f>
                  <c:strCache>
                    <c:ptCount val="1"/>
                    <c:pt idx="0">
                      <c:v>-1.7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{5438A0D7-03D0-4211-BDED-5172E59DA225}</c15:txfldGUID>
                      <c15:f>Calc!$O$496</c15:f>
                      <c15:dlblFieldTableCache>
                        <c:ptCount val="1"/>
                        <c:pt idx="0">
                          <c:v>-1.7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9B30-4C58-87B8-BAD211EFD71B}"/>
                </c:ext>
              </c:extLst>
            </c:dLbl>
            <c:dLbl>
              <c:idx val="2"/>
              <c:tx>
                <c:strRef>
                  <c:f>Calc!$O$497</c:f>
                  <c:strCache>
                    <c:ptCount val="1"/>
                    <c:pt idx="0">
                      <c:v>+2.1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{2D887420-0C58-439E-A012-B88D535C928B}</c15:txfldGUID>
                      <c15:f>Calc!$O$497</c15:f>
                      <c15:dlblFieldTableCache>
                        <c:ptCount val="1"/>
                        <c:pt idx="0">
                          <c:v>+2.1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A-9B30-4C58-87B8-BAD211EFD71B}"/>
                </c:ext>
              </c:extLst>
            </c:dLbl>
            <c:dLbl>
              <c:idx val="3"/>
              <c:tx>
                <c:strRef>
                  <c:f>Calc!$O$498</c:f>
                  <c:strCache>
                    <c:ptCount val="1"/>
                    <c:pt idx="0">
                      <c:v>-4.6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{F8094088-D31D-4CE3-823A-54027E5804BF}</c15:txfldGUID>
                      <c15:f>Calc!$O$498</c15:f>
                      <c15:dlblFieldTableCache>
                        <c:ptCount val="1"/>
                        <c:pt idx="0">
                          <c:v>-4.6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B-9B30-4C58-87B8-BAD211EFD71B}"/>
                </c:ext>
              </c:extLst>
            </c:dLbl>
            <c:dLbl>
              <c:idx val="4"/>
              <c:tx>
                <c:strRef>
                  <c:f>Calc!$O$499</c:f>
                  <c:strCache>
                    <c:ptCount val="1"/>
                    <c:pt idx="0">
                      <c:v>+1.4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{01AD18D2-8AFC-4508-A197-D408B497BC07}</c15:txfldGUID>
                      <c15:f>Calc!$O$499</c15:f>
                      <c15:dlblFieldTableCache>
                        <c:ptCount val="1"/>
                        <c:pt idx="0">
                          <c:v>+1.4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C-9B30-4C58-87B8-BAD211EFD71B}"/>
                </c:ext>
              </c:extLst>
            </c:dLbl>
            <c:dLbl>
              <c:idx val="5"/>
              <c:tx>
                <c:strRef>
                  <c:f>Calc!$O$500</c:f>
                  <c:strCache>
                    <c:ptCount val="1"/>
                    <c:pt idx="0">
                      <c:v>-1.1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{757551E5-E0F3-474A-BB8C-4BE78C0C8809}</c15:txfldGUID>
                      <c15:f>Calc!$O$500</c15:f>
                      <c15:dlblFieldTableCache>
                        <c:ptCount val="1"/>
                        <c:pt idx="0">
                          <c:v>-1.1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D-9B30-4C58-87B8-BAD211EFD71B}"/>
                </c:ext>
              </c:extLst>
            </c:dLbl>
            <c:dLbl>
              <c:idx val="6"/>
              <c:tx>
                <c:strRef>
                  <c:f>Calc!$O$501</c:f>
                  <c:strCache>
                    <c:ptCount val="1"/>
                    <c:pt idx="0">
                      <c:v>+0.2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{FF73D41C-006B-4D21-9331-23FC48C46D50}</c15:txfldGUID>
                      <c15:f>Calc!$O$501</c15:f>
                      <c15:dlblFieldTableCache>
                        <c:ptCount val="1"/>
                        <c:pt idx="0">
                          <c:v>+0.2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E-9B30-4C58-87B8-BAD211EFD71B}"/>
                </c:ext>
              </c:extLst>
            </c:dLbl>
            <c:dLbl>
              <c:idx val="7"/>
              <c:tx>
                <c:strRef>
                  <c:f>Calc!$O$502</c:f>
                  <c:strCache>
                    <c:ptCount val="1"/>
                    <c:pt idx="0">
                      <c:v>81.8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{EFF25116-957F-4B0F-94D9-AA68DCA3CC03}</c15:txfldGUID>
                      <c15:f>Calc!$O$502</c15:f>
                      <c15:dlblFieldTableCache>
                        <c:ptCount val="1"/>
                        <c:pt idx="0">
                          <c:v>81.8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F-9B30-4C58-87B8-BAD211EFD71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 baseline="0">
                    <a:solidFill>
                      <a:srgbClr val="1F2937"/>
                    </a:solidFill>
                    <a:latin typeface="Arial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Calc!$A$495:$A$502</c:f>
              <c:strCache>
                <c:ptCount val="8"/>
                <c:pt idx="0">
                  <c:v>Budget</c:v>
                </c:pt>
                <c:pt idx="1">
                  <c:v>Volume</c:v>
                </c:pt>
                <c:pt idx="2">
                  <c:v>Price, mix, trade</c:v>
                </c:pt>
                <c:pt idx="3">
                  <c:v>COGS rate</c:v>
                </c:pt>
                <c:pt idx="4">
                  <c:v>A&amp;P</c:v>
                </c:pt>
                <c:pt idx="5">
                  <c:v>Cost to serve</c:v>
                </c:pt>
                <c:pt idx="6">
                  <c:v>Overheads</c:v>
                </c:pt>
                <c:pt idx="7">
                  <c:v>Actual</c:v>
                </c:pt>
              </c:strCache>
            </c:strRef>
          </c:cat>
          <c:val>
            <c:numRef>
              <c:f>Calc!$N$495:$N$502</c:f>
              <c:numCache>
                <c:formatCode>#,##0.00;\(#,##0.00\);\-</c:formatCode>
                <c:ptCount val="8"/>
                <c:pt idx="0">
                  <c:v>11.13718365509304</c:v>
                </c:pt>
                <c:pt idx="1">
                  <c:v>11.13718365509304</c:v>
                </c:pt>
                <c:pt idx="2">
                  <c:v>11.535306091821724</c:v>
                </c:pt>
                <c:pt idx="3">
                  <c:v>11.535306091821724</c:v>
                </c:pt>
                <c:pt idx="4">
                  <c:v>8.3471836550930192</c:v>
                </c:pt>
                <c:pt idx="5">
                  <c:v>8.3471836550930192</c:v>
                </c:pt>
                <c:pt idx="6">
                  <c:v>7.383183655093049</c:v>
                </c:pt>
                <c:pt idx="7">
                  <c:v>7.3831836550930348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9B30-4C58-87B8-BAD211EFD7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030001"/>
        <c:axId val="50030002"/>
      </c:lineChart>
      <c:catAx>
        <c:axId val="50030001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low"/>
        <c:spPr>
          <a:ln>
            <a:solidFill>
              <a:srgbClr val="D5DAE1"/>
            </a:solidFill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030002"/>
        <c:crosses val="autoZero"/>
        <c:auto val="1"/>
        <c:lblAlgn val="ctr"/>
        <c:lblOffset val="100"/>
        <c:noMultiLvlLbl val="0"/>
      </c:catAx>
      <c:valAx>
        <c:axId val="50030002"/>
        <c:scaling>
          <c:orientation val="minMax"/>
        </c:scaling>
        <c:delete val="1"/>
        <c:axPos val="l"/>
        <c:numFmt formatCode="#,##0.00;\(#,##0.00\);\-" sourceLinked="1"/>
        <c:majorTickMark val="none"/>
        <c:minorTickMark val="none"/>
        <c:tickLblPos val="nextTo"/>
        <c:crossAx val="50030001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solidFill>
      <a:srgbClr val="FFFFFF"/>
    </a:solidFill>
    <a:ln>
      <a:solidFill>
        <a:srgbClr val="D5DAE1"/>
      </a:solidFill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Calc!$B$535</c:f>
          <c:strCache>
            <c:ptCount val="1"/>
            <c:pt idx="0">
              <c:v>EBITDA by month, $m</c:v>
            </c:pt>
          </c:strCache>
        </c:strRef>
      </c:tx>
      <c:layout>
        <c:manualLayout>
          <c:xMode val="edge"/>
          <c:yMode val="edge"/>
          <c:x val="0.02"/>
          <c:y val="2.5000000000000001E-2"/>
        </c:manualLayout>
      </c:layout>
      <c:overlay val="0"/>
      <c:txPr>
        <a:bodyPr/>
        <a:lstStyle/>
        <a:p>
          <a:pPr>
            <a:defRPr sz="950" b="1" baseline="0">
              <a:solidFill>
                <a:srgbClr val="0F2A47"/>
              </a:solidFill>
              <a:latin typeface="Arial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v>Actual</c:v>
          </c:tx>
          <c:spPr>
            <a:solidFill>
              <a:srgbClr val="0F2A47"/>
            </a:solidFill>
            <a:ln>
              <a:solidFill>
                <a:srgbClr val="0F2A47"/>
              </a:solidFill>
            </a:ln>
          </c:spPr>
          <c:invertIfNegative val="0"/>
          <c:cat>
            <c:strRef>
              <c:f>Calc!$D$4:$O$4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Calc!$D$294:$O$294</c:f>
              <c:numCache>
                <c:formatCode>#,##0.00;\(#,##0.00\);\-</c:formatCode>
                <c:ptCount val="12"/>
                <c:pt idx="0">
                  <c:v>5.512000000000004</c:v>
                </c:pt>
                <c:pt idx="1">
                  <c:v>5.8879999999999963</c:v>
                </c:pt>
                <c:pt idx="2">
                  <c:v>7.4700000000000033</c:v>
                </c:pt>
                <c:pt idx="3">
                  <c:v>7.83</c:v>
                </c:pt>
                <c:pt idx="4">
                  <c:v>8.2200000000000077</c:v>
                </c:pt>
                <c:pt idx="5">
                  <c:v>8.5769999999999911</c:v>
                </c:pt>
                <c:pt idx="6">
                  <c:v>8.1589999999999989</c:v>
                </c:pt>
                <c:pt idx="7">
                  <c:v>8.4949999999999939</c:v>
                </c:pt>
                <c:pt idx="8">
                  <c:v>10.060000000000009</c:v>
                </c:pt>
                <c:pt idx="9">
                  <c:v>11.598999999999997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61-4E4A-83B4-AA080015E96F}"/>
            </c:ext>
          </c:extLst>
        </c:ser>
        <c:ser>
          <c:idx val="1"/>
          <c:order val="1"/>
          <c:tx>
            <c:v>Forecast</c:v>
          </c:tx>
          <c:spPr>
            <a:pattFill prst="wdUpDiag">
              <a:fgClr>
                <a:srgbClr val="0F2A47"/>
              </a:fgClr>
              <a:bgClr>
                <a:srgbClr val="FFFFFF"/>
              </a:bgClr>
            </a:pattFill>
            <a:ln>
              <a:solidFill>
                <a:srgbClr val="0F2A47"/>
              </a:solidFill>
            </a:ln>
          </c:spPr>
          <c:invertIfNegative val="0"/>
          <c:cat>
            <c:strRef>
              <c:f>Calc!$D$4:$O$4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Calc!$D$295:$O$295</c:f>
              <c:numCache>
                <c:formatCode>#,##0.00;\(#,##0.00\);\-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12.885999999999992</c:v>
                </c:pt>
                <c:pt idx="11">
                  <c:v>11.258000000000003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61-4E4A-83B4-AA080015E9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50040001"/>
        <c:axId val="50040002"/>
      </c:barChart>
      <c:lineChart>
        <c:grouping val="standard"/>
        <c:varyColors val="0"/>
        <c:ser>
          <c:idx val="2"/>
          <c:order val="2"/>
          <c:tx>
            <c:v>Budget</c:v>
          </c:tx>
          <c:spPr>
            <a:ln>
              <a:noFill/>
            </a:ln>
          </c:spPr>
          <c:marker>
            <c:symbol val="dash"/>
            <c:size val="11"/>
            <c:spPr>
              <a:solidFill>
                <a:srgbClr val="12808A"/>
              </a:solidFill>
              <a:ln>
                <a:solidFill>
                  <a:srgbClr val="12808A"/>
                </a:solidFill>
              </a:ln>
            </c:spPr>
          </c:marker>
          <c:cat>
            <c:strRef>
              <c:f>Calc!$D$4:$O$4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Calc!$D$163:$O$163</c:f>
              <c:numCache>
                <c:formatCode>#,##0.00;\(#,##0.00\);\-</c:formatCode>
                <c:ptCount val="12"/>
                <c:pt idx="0">
                  <c:v>5.7880000000000029</c:v>
                </c:pt>
                <c:pt idx="1">
                  <c:v>6.166000000000003</c:v>
                </c:pt>
                <c:pt idx="2">
                  <c:v>7.7909999999999942</c:v>
                </c:pt>
                <c:pt idx="3">
                  <c:v>8.1800000000000033</c:v>
                </c:pt>
                <c:pt idx="4">
                  <c:v>8.5619999999999976</c:v>
                </c:pt>
                <c:pt idx="5">
                  <c:v>8.9610000000000092</c:v>
                </c:pt>
                <c:pt idx="6">
                  <c:v>8.5279999999999987</c:v>
                </c:pt>
                <c:pt idx="7">
                  <c:v>8.9280000000000079</c:v>
                </c:pt>
                <c:pt idx="8">
                  <c:v>10.519999999999996</c:v>
                </c:pt>
                <c:pt idx="9">
                  <c:v>12.139999999999997</c:v>
                </c:pt>
                <c:pt idx="10">
                  <c:v>13.322000000000003</c:v>
                </c:pt>
                <c:pt idx="11">
                  <c:v>11.697999999999997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561-4E4A-83B4-AA080015E96F}"/>
            </c:ext>
          </c:extLst>
        </c:ser>
        <c:ser>
          <c:idx val="3"/>
          <c:order val="3"/>
          <c:tx>
            <c:v>Prior year</c:v>
          </c:tx>
          <c:spPr>
            <a:ln w="19050">
              <a:solidFill>
                <a:srgbClr val="AEB6C1"/>
              </a:solidFill>
            </a:ln>
          </c:spPr>
          <c:marker>
            <c:symbol val="none"/>
          </c:marker>
          <c:cat>
            <c:strRef>
              <c:f>Calc!$D$4:$O$4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Calc!$D$187:$O$187</c:f>
              <c:numCache>
                <c:formatCode>#,##0.00;\(#,##0.00\);\-</c:formatCode>
                <c:ptCount val="12"/>
                <c:pt idx="0">
                  <c:v>5.1609999999999951</c:v>
                </c:pt>
                <c:pt idx="1">
                  <c:v>5.4559999999999986</c:v>
                </c:pt>
                <c:pt idx="2">
                  <c:v>6.9739999999999975</c:v>
                </c:pt>
                <c:pt idx="3">
                  <c:v>7.4529999999999985</c:v>
                </c:pt>
                <c:pt idx="4">
                  <c:v>7.7209999999999956</c:v>
                </c:pt>
                <c:pt idx="5">
                  <c:v>8.1750000000000007</c:v>
                </c:pt>
                <c:pt idx="6">
                  <c:v>7.7390000000000008</c:v>
                </c:pt>
                <c:pt idx="7">
                  <c:v>8.0699999999999914</c:v>
                </c:pt>
                <c:pt idx="8">
                  <c:v>9.4639999999999986</c:v>
                </c:pt>
                <c:pt idx="9">
                  <c:v>11.107999999999992</c:v>
                </c:pt>
                <c:pt idx="10">
                  <c:v>12.108999999999995</c:v>
                </c:pt>
                <c:pt idx="11">
                  <c:v>10.547000000000002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561-4E4A-83B4-AA080015E9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040001"/>
        <c:axId val="50040002"/>
      </c:lineChart>
      <c:catAx>
        <c:axId val="50040001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low"/>
        <c:spPr>
          <a:ln>
            <a:solidFill>
              <a:srgbClr val="D5DAE1"/>
            </a:solidFill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040002"/>
        <c:crosses val="autoZero"/>
        <c:auto val="1"/>
        <c:lblAlgn val="ctr"/>
        <c:lblOffset val="100"/>
        <c:noMultiLvlLbl val="0"/>
      </c:catAx>
      <c:valAx>
        <c:axId val="50040002"/>
        <c:scaling>
          <c:orientation val="minMax"/>
        </c:scaling>
        <c:delete val="0"/>
        <c:axPos val="l"/>
        <c:majorGridlines>
          <c:spPr>
            <a:ln w="9525">
              <a:solidFill>
                <a:srgbClr val="E8EBEF"/>
              </a:solidFill>
            </a:ln>
          </c:spPr>
        </c:majorGridlines>
        <c:numFmt formatCode="#,##0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040001"/>
        <c:crosses val="autoZero"/>
        <c:crossBetween val="between"/>
      </c:valAx>
      <c:spPr>
        <a:noFill/>
      </c:spPr>
    </c:plotArea>
    <c:legend>
      <c:legendPos val="b"/>
      <c:overlay val="0"/>
      <c:txPr>
        <a:bodyPr/>
        <a:lstStyle/>
        <a:p>
          <a:pPr>
            <a:defRPr sz="800" baseline="0">
              <a:solidFill>
                <a:srgbClr val="1F2937"/>
              </a:solidFill>
              <a:latin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>
      <a:solidFill>
        <a:srgbClr val="D5DAE1"/>
      </a:solidFill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Calc!$B$536</c:f>
          <c:strCache>
            <c:ptCount val="1"/>
            <c:pt idx="0">
              <c:v>Margin trend: gross margin (left), EBITDA margin (right)</c:v>
            </c:pt>
          </c:strCache>
        </c:strRef>
      </c:tx>
      <c:layout>
        <c:manualLayout>
          <c:xMode val="edge"/>
          <c:yMode val="edge"/>
          <c:x val="0.02"/>
          <c:y val="2.5000000000000001E-2"/>
        </c:manualLayout>
      </c:layout>
      <c:overlay val="0"/>
      <c:txPr>
        <a:bodyPr/>
        <a:lstStyle/>
        <a:p>
          <a:pPr>
            <a:defRPr sz="950" b="1" baseline="0">
              <a:solidFill>
                <a:srgbClr val="0F2A47"/>
              </a:solidFill>
              <a:latin typeface="Arial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Gross margin: actual / forecast</c:v>
          </c:tx>
          <c:spPr>
            <a:ln w="28575">
              <a:solidFill>
                <a:srgbClr val="0F2A47"/>
              </a:solidFill>
            </a:ln>
          </c:spPr>
          <c:marker>
            <c:symbol val="none"/>
          </c:marker>
          <c:cat>
            <c:strRef>
              <c:f>Calc!$D$4:$O$4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Calc!$D$200:$O$200</c:f>
              <c:numCache>
                <c:formatCode>0.0%;\(0.0%\);\-</c:formatCode>
                <c:ptCount val="12"/>
                <c:pt idx="0">
                  <c:v>0.56090602072900897</c:v>
                </c:pt>
                <c:pt idx="1">
                  <c:v>0.56076403605436398</c:v>
                </c:pt>
                <c:pt idx="2">
                  <c:v>0.56108975007588791</c:v>
                </c:pt>
                <c:pt idx="3">
                  <c:v>0.56054187192118232</c:v>
                </c:pt>
                <c:pt idx="4">
                  <c:v>0.56090059350746102</c:v>
                </c:pt>
                <c:pt idx="5">
                  <c:v>0.56079526782780142</c:v>
                </c:pt>
                <c:pt idx="6">
                  <c:v>0.56094332811935987</c:v>
                </c:pt>
                <c:pt idx="7">
                  <c:v>0.56090791485358105</c:v>
                </c:pt>
                <c:pt idx="8">
                  <c:v>0.56078431372549031</c:v>
                </c:pt>
                <c:pt idx="9">
                  <c:v>0.56094196472558866</c:v>
                </c:pt>
                <c:pt idx="10">
                  <c:v>0.56122052704576975</c:v>
                </c:pt>
                <c:pt idx="11">
                  <c:v>0.56111935212284003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6DC-4F2A-BA14-BE92D2250FA0}"/>
            </c:ext>
          </c:extLst>
        </c:ser>
        <c:ser>
          <c:idx val="1"/>
          <c:order val="1"/>
          <c:tx>
            <c:v>Gross margin: budget</c:v>
          </c:tx>
          <c:spPr>
            <a:ln w="15875">
              <a:solidFill>
                <a:srgbClr val="0F2A47"/>
              </a:solidFill>
              <a:prstDash val="dash"/>
            </a:ln>
          </c:spPr>
          <c:marker>
            <c:symbol val="none"/>
          </c:marker>
          <c:cat>
            <c:strRef>
              <c:f>Calc!$D$4:$O$4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Calc!$D$225:$O$225</c:f>
              <c:numCache>
                <c:formatCode>0.0%;\(0.0%\);\-</c:formatCode>
                <c:ptCount val="12"/>
                <c:pt idx="0">
                  <c:v>0.5697860573424538</c:v>
                </c:pt>
                <c:pt idx="1">
                  <c:v>0.56966460399536611</c:v>
                </c:pt>
                <c:pt idx="2">
                  <c:v>0.56983240223463671</c:v>
                </c:pt>
                <c:pt idx="3">
                  <c:v>0.56989803457957733</c:v>
                </c:pt>
                <c:pt idx="4">
                  <c:v>0.5697682795053427</c:v>
                </c:pt>
                <c:pt idx="5">
                  <c:v>0.56995947433765148</c:v>
                </c:pt>
                <c:pt idx="6">
                  <c:v>0.5697682795053427</c:v>
                </c:pt>
                <c:pt idx="7">
                  <c:v>0.56995947433765148</c:v>
                </c:pt>
                <c:pt idx="8">
                  <c:v>0.5697756334991354</c:v>
                </c:pt>
                <c:pt idx="9">
                  <c:v>0.56989647870755233</c:v>
                </c:pt>
                <c:pt idx="10">
                  <c:v>0.56966819391073009</c:v>
                </c:pt>
                <c:pt idx="11">
                  <c:v>0.56987353929886342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6DC-4F2A-BA14-BE92D2250F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050001"/>
        <c:axId val="50050002"/>
      </c:lineChart>
      <c:lineChart>
        <c:grouping val="standard"/>
        <c:varyColors val="0"/>
        <c:ser>
          <c:idx val="2"/>
          <c:order val="2"/>
          <c:tx>
            <c:v>EBITDA margin: actual / forecast</c:v>
          </c:tx>
          <c:spPr>
            <a:ln w="28575">
              <a:solidFill>
                <a:srgbClr val="12808A"/>
              </a:solidFill>
            </a:ln>
          </c:spPr>
          <c:marker>
            <c:symbol val="none"/>
          </c:marker>
          <c:cat>
            <c:strRef>
              <c:f>Calc!$D$4:$O$4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Calc!$D$202:$O$202</c:f>
              <c:numCache>
                <c:formatCode>0.0%;\(0.0%\);\-</c:formatCode>
                <c:ptCount val="12"/>
                <c:pt idx="0">
                  <c:v>0.16047513683475029</c:v>
                </c:pt>
                <c:pt idx="1">
                  <c:v>0.16636998106863318</c:v>
                </c:pt>
                <c:pt idx="2">
                  <c:v>0.18896084184964088</c:v>
                </c:pt>
                <c:pt idx="3">
                  <c:v>0.19285714285714287</c:v>
                </c:pt>
                <c:pt idx="4">
                  <c:v>0.19751543840257604</c:v>
                </c:pt>
                <c:pt idx="5">
                  <c:v>0.2013285761231865</c:v>
                </c:pt>
                <c:pt idx="6">
                  <c:v>0.19634219708819634</c:v>
                </c:pt>
                <c:pt idx="7">
                  <c:v>0.19981183111842868</c:v>
                </c:pt>
                <c:pt idx="8">
                  <c:v>0.21557912782599395</c:v>
                </c:pt>
                <c:pt idx="9">
                  <c:v>0.22857424376785884</c:v>
                </c:pt>
                <c:pt idx="10">
                  <c:v>0.23829865926953292</c:v>
                </c:pt>
                <c:pt idx="11">
                  <c:v>0.22567453794651809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6DC-4F2A-BA14-BE92D2250FA0}"/>
            </c:ext>
          </c:extLst>
        </c:ser>
        <c:ser>
          <c:idx val="3"/>
          <c:order val="3"/>
          <c:tx>
            <c:v>EBITDA margin: budget</c:v>
          </c:tx>
          <c:spPr>
            <a:ln w="15875">
              <a:solidFill>
                <a:srgbClr val="12808A"/>
              </a:solidFill>
              <a:prstDash val="dash"/>
            </a:ln>
          </c:spPr>
          <c:marker>
            <c:symbol val="none"/>
          </c:marker>
          <c:cat>
            <c:strRef>
              <c:f>Calc!$D$4:$O$4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Calc!$D$227:$O$227</c:f>
              <c:numCache>
                <c:formatCode>0.0%;\(0.0%\);\-</c:formatCode>
                <c:ptCount val="12"/>
                <c:pt idx="0">
                  <c:v>0.16847620433706892</c:v>
                </c:pt>
                <c:pt idx="1">
                  <c:v>0.17422508547370807</c:v>
                </c:pt>
                <c:pt idx="2">
                  <c:v>0.19694633332490696</c:v>
                </c:pt>
                <c:pt idx="3">
                  <c:v>0.20146790798482839</c:v>
                </c:pt>
                <c:pt idx="4">
                  <c:v>0.20559490935286345</c:v>
                </c:pt>
                <c:pt idx="5">
                  <c:v>0.20991356087048205</c:v>
                </c:pt>
                <c:pt idx="6">
                  <c:v>0.20477848481210228</c:v>
                </c:pt>
                <c:pt idx="7">
                  <c:v>0.20914052800487259</c:v>
                </c:pt>
                <c:pt idx="8">
                  <c:v>0.22457997993296749</c:v>
                </c:pt>
                <c:pt idx="9">
                  <c:v>0.23802054740804637</c:v>
                </c:pt>
                <c:pt idx="10">
                  <c:v>0.24612030741945023</c:v>
                </c:pt>
                <c:pt idx="11">
                  <c:v>0.23407235473027047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6DC-4F2A-BA14-BE92D2250F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050003"/>
        <c:axId val="50050004"/>
      </c:lineChart>
      <c:catAx>
        <c:axId val="50050001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low"/>
        <c:spPr>
          <a:ln>
            <a:solidFill>
              <a:srgbClr val="D5DAE1"/>
            </a:solidFill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050002"/>
        <c:crosses val="autoZero"/>
        <c:auto val="1"/>
        <c:lblAlgn val="ctr"/>
        <c:lblOffset val="100"/>
        <c:noMultiLvlLbl val="0"/>
      </c:catAx>
      <c:valAx>
        <c:axId val="50050002"/>
        <c:scaling>
          <c:orientation val="minMax"/>
        </c:scaling>
        <c:delete val="0"/>
        <c:axPos val="l"/>
        <c:majorGridlines>
          <c:spPr>
            <a:ln w="9525">
              <a:solidFill>
                <a:srgbClr val="E8EBEF"/>
              </a:solidFill>
            </a:ln>
          </c:spPr>
        </c:majorGridlines>
        <c:numFmt formatCode="0.0%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050001"/>
        <c:crosses val="autoZero"/>
        <c:crossBetween val="between"/>
      </c:valAx>
      <c:valAx>
        <c:axId val="50050004"/>
        <c:scaling>
          <c:orientation val="minMax"/>
        </c:scaling>
        <c:delete val="0"/>
        <c:axPos val="r"/>
        <c:numFmt formatCode="0.0%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050003"/>
        <c:crosses val="max"/>
        <c:crossBetween val="between"/>
      </c:valAx>
      <c:catAx>
        <c:axId val="5005000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50050004"/>
        <c:crosses val="autoZero"/>
        <c:auto val="1"/>
        <c:lblAlgn val="ctr"/>
        <c:lblOffset val="100"/>
        <c:noMultiLvlLbl val="0"/>
      </c:catAx>
      <c:spPr>
        <a:noFill/>
      </c:spPr>
    </c:plotArea>
    <c:legend>
      <c:legendPos val="b"/>
      <c:overlay val="0"/>
      <c:txPr>
        <a:bodyPr/>
        <a:lstStyle/>
        <a:p>
          <a:pPr>
            <a:defRPr sz="800" baseline="0">
              <a:solidFill>
                <a:srgbClr val="1F2937"/>
              </a:solidFill>
              <a:latin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>
      <a:solidFill>
        <a:srgbClr val="D5DAE1"/>
      </a:solidFill>
    </a:ln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Calc!$B$537</c:f>
          <c:strCache>
            <c:ptCount val="1"/>
            <c:pt idx="0">
              <c:v>Full-year EBITDA landing, $m</c:v>
            </c:pt>
          </c:strCache>
        </c:strRef>
      </c:tx>
      <c:layout>
        <c:manualLayout>
          <c:xMode val="edge"/>
          <c:yMode val="edge"/>
          <c:x val="0.02"/>
          <c:y val="2.5000000000000001E-2"/>
        </c:manualLayout>
      </c:layout>
      <c:overlay val="0"/>
      <c:txPr>
        <a:bodyPr/>
        <a:lstStyle/>
        <a:p>
          <a:pPr>
            <a:defRPr sz="950" b="1" baseline="0">
              <a:solidFill>
                <a:srgbClr val="0F2A47"/>
              </a:solidFill>
              <a:latin typeface="Arial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v>Scenario total / closed months</c:v>
          </c:tx>
          <c:spPr>
            <a:solidFill>
              <a:srgbClr val="0F2A47"/>
            </a:solidFill>
            <a:ln>
              <a:solidFill>
                <a:srgbClr val="0F2A47"/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AEB6C1"/>
              </a:solidFill>
              <a:ln>
                <a:solidFill>
                  <a:srgbClr val="AEB6C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0-9D7C-4B99-9587-0CDA8BCED06C}"/>
              </c:ext>
            </c:extLst>
          </c:dPt>
          <c:dPt>
            <c:idx val="1"/>
            <c:invertIfNegative val="0"/>
            <c:bubble3D val="0"/>
            <c:spPr>
              <a:solidFill>
                <a:srgbClr val="FFFFFF"/>
              </a:solidFill>
              <a:ln w="15875">
                <a:solidFill>
                  <a:srgbClr val="0F2A47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9D7C-4B99-9587-0CDA8BCED06C}"/>
              </c:ext>
            </c:extLst>
          </c:dPt>
          <c:dPt>
            <c:idx val="2"/>
            <c:invertIfNegative val="0"/>
            <c:bubble3D val="0"/>
            <c:spPr>
              <a:pattFill prst="wdUpDiag">
                <a:fgClr>
                  <a:srgbClr val="0F2A47"/>
                </a:fgClr>
                <a:bgClr>
                  <a:srgbClr val="FFFFFF"/>
                </a:bgClr>
              </a:pattFill>
              <a:ln>
                <a:solidFill>
                  <a:srgbClr val="0F2A47"/>
                </a:solidFill>
              </a:ln>
            </c:spPr>
            <c:extLst>
              <c:ext xmlns:c16="http://schemas.microsoft.com/office/drawing/2014/chart" uri="{C3380CC4-5D6E-409C-BE32-E72D297353CC}">
                <c16:uniqueId val="{00000002-9D7C-4B99-9587-0CDA8BCED06C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9D7C-4B99-9587-0CDA8BCED06C}"/>
              </c:ext>
            </c:extLst>
          </c:dPt>
          <c:cat>
            <c:strRef>
              <c:f>Calc!$A$526:$A$529</c:f>
              <c:strCache>
                <c:ptCount val="4"/>
                <c:pt idx="0">
                  <c:v>PY 2025</c:v>
                </c:pt>
                <c:pt idx="1">
                  <c:v>Budget</c:v>
                </c:pt>
                <c:pt idx="2">
                  <c:v>Forecast</c:v>
                </c:pt>
                <c:pt idx="3">
                  <c:v>Latest est.</c:v>
                </c:pt>
              </c:strCache>
            </c:strRef>
          </c:cat>
          <c:val>
            <c:numRef>
              <c:f>Calc!$B$526:$B$529</c:f>
              <c:numCache>
                <c:formatCode>#,##0.00;\(#,##0.00\);\-</c:formatCode>
                <c:ptCount val="4"/>
                <c:pt idx="0">
                  <c:v>99.976999999999961</c:v>
                </c:pt>
                <c:pt idx="1">
                  <c:v>110.584</c:v>
                </c:pt>
                <c:pt idx="2">
                  <c:v>107.083</c:v>
                </c:pt>
                <c:pt idx="3">
                  <c:v>81.81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D7C-4B99-9587-0CDA8BCED06C}"/>
            </c:ext>
          </c:extLst>
        </c:ser>
        <c:ser>
          <c:idx val="1"/>
          <c:order val="1"/>
          <c:tx>
            <c:v>Open months (forecast)</c:v>
          </c:tx>
          <c:spPr>
            <a:pattFill prst="wdUpDiag">
              <a:fgClr>
                <a:srgbClr val="0F2A47"/>
              </a:fgClr>
              <a:bgClr>
                <a:srgbClr val="FFFFFF"/>
              </a:bgClr>
            </a:pattFill>
            <a:ln>
              <a:solidFill>
                <a:srgbClr val="0F2A47"/>
              </a:solidFill>
            </a:ln>
          </c:spPr>
          <c:invertIfNegative val="0"/>
          <c:cat>
            <c:strRef>
              <c:f>Calc!$A$526:$A$529</c:f>
              <c:strCache>
                <c:ptCount val="4"/>
                <c:pt idx="0">
                  <c:v>PY 2025</c:v>
                </c:pt>
                <c:pt idx="1">
                  <c:v>Budget</c:v>
                </c:pt>
                <c:pt idx="2">
                  <c:v>Forecast</c:v>
                </c:pt>
                <c:pt idx="3">
                  <c:v>Latest est.</c:v>
                </c:pt>
              </c:strCache>
            </c:strRef>
          </c:cat>
          <c:val>
            <c:numRef>
              <c:f>Calc!$C$526:$C$529</c:f>
              <c:numCache>
                <c:formatCode>#,##0.00;\(#,##0.00\);\-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24.144000000000005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D7C-4B99-9587-0CDA8BCED0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100"/>
        <c:axId val="50060001"/>
        <c:axId val="50060002"/>
      </c:barChart>
      <c:lineChart>
        <c:grouping val="standard"/>
        <c:varyColors val="0"/>
        <c:ser>
          <c:idx val="2"/>
          <c:order val="2"/>
          <c:tx>
            <c:v>Total</c:v>
          </c:tx>
          <c:spPr>
            <a:ln>
              <a:noFill/>
            </a:ln>
          </c:spPr>
          <c:marker>
            <c:symbol val="none"/>
          </c:marker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 baseline="0">
                    <a:latin typeface="Arial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Calc!$A$526:$A$529</c:f>
              <c:strCache>
                <c:ptCount val="4"/>
                <c:pt idx="0">
                  <c:v>PY 2025</c:v>
                </c:pt>
                <c:pt idx="1">
                  <c:v>Budget</c:v>
                </c:pt>
                <c:pt idx="2">
                  <c:v>Forecast</c:v>
                </c:pt>
                <c:pt idx="3">
                  <c:v>Latest est.</c:v>
                </c:pt>
              </c:strCache>
            </c:strRef>
          </c:cat>
          <c:val>
            <c:numRef>
              <c:f>Calc!$D$526:$D$529</c:f>
              <c:numCache>
                <c:formatCode>#,##0.00;\(#,##0.00\);\-</c:formatCode>
                <c:ptCount val="4"/>
                <c:pt idx="0">
                  <c:v>99.976999999999961</c:v>
                </c:pt>
                <c:pt idx="1">
                  <c:v>110.584</c:v>
                </c:pt>
                <c:pt idx="2">
                  <c:v>107.083</c:v>
                </c:pt>
                <c:pt idx="3">
                  <c:v>105.95400000000001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9D7C-4B99-9587-0CDA8BCED0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060001"/>
        <c:axId val="50060002"/>
      </c:lineChart>
      <c:catAx>
        <c:axId val="50060001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low"/>
        <c:spPr>
          <a:ln>
            <a:solidFill>
              <a:srgbClr val="D5DAE1"/>
            </a:solidFill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060002"/>
        <c:crosses val="autoZero"/>
        <c:auto val="1"/>
        <c:lblAlgn val="ctr"/>
        <c:lblOffset val="100"/>
        <c:noMultiLvlLbl val="0"/>
      </c:catAx>
      <c:valAx>
        <c:axId val="50060002"/>
        <c:scaling>
          <c:orientation val="minMax"/>
        </c:scaling>
        <c:delete val="0"/>
        <c:axPos val="l"/>
        <c:majorGridlines>
          <c:spPr>
            <a:ln w="9525">
              <a:solidFill>
                <a:srgbClr val="E8EBEF"/>
              </a:solidFill>
            </a:ln>
          </c:spPr>
        </c:majorGridlines>
        <c:numFmt formatCode="#,##0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060001"/>
        <c:crosses val="autoZero"/>
        <c:crossBetween val="between"/>
      </c:valAx>
      <c:spPr>
        <a:noFill/>
      </c:spPr>
    </c:plotArea>
    <c:legend>
      <c:legendPos val="b"/>
      <c:legendEntry>
        <c:idx val="2"/>
        <c:delete val="1"/>
      </c:legendEntry>
      <c:overlay val="0"/>
      <c:txPr>
        <a:bodyPr/>
        <a:lstStyle/>
        <a:p>
          <a:pPr>
            <a:defRPr sz="800" baseline="0">
              <a:latin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>
      <a:solidFill>
        <a:srgbClr val="D5DAE1"/>
      </a:solidFill>
    </a:ln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Calc!$B$538</c:f>
          <c:strCache>
            <c:ptCount val="1"/>
            <c:pt idx="0">
              <c:v>Net revenue by channel, $m (YTD Oct 2026)</c:v>
            </c:pt>
          </c:strCache>
        </c:strRef>
      </c:tx>
      <c:layout>
        <c:manualLayout>
          <c:xMode val="edge"/>
          <c:yMode val="edge"/>
          <c:x val="0.02"/>
          <c:y val="2.5000000000000001E-2"/>
        </c:manualLayout>
      </c:layout>
      <c:overlay val="0"/>
      <c:txPr>
        <a:bodyPr/>
        <a:lstStyle/>
        <a:p>
          <a:pPr>
            <a:defRPr sz="950" b="1" baseline="0">
              <a:solidFill>
                <a:srgbClr val="0F2A47"/>
              </a:solidFill>
              <a:latin typeface="Arial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Actual</c:v>
          </c:tx>
          <c:spPr>
            <a:solidFill>
              <a:srgbClr val="0F2A47"/>
            </a:solidFill>
            <a:ln>
              <a:solidFill>
                <a:srgbClr val="0F2A47"/>
              </a:solidFill>
            </a:ln>
          </c:spPr>
          <c:invertIfNegative val="0"/>
          <c:cat>
            <c:strRef>
              <c:f>Channel!$B$14:$B$19</c:f>
              <c:strCache>
                <c:ptCount val="6"/>
                <c:pt idx="0">
                  <c:v>Hypermarkets</c:v>
                </c:pt>
                <c:pt idx="1">
                  <c:v>Supermarkets</c:v>
                </c:pt>
                <c:pt idx="2">
                  <c:v>Marketplaces</c:v>
                </c:pt>
                <c:pt idx="3">
                  <c:v>Discounters</c:v>
                </c:pt>
                <c:pt idx="4">
                  <c:v>Distributors</c:v>
                </c:pt>
                <c:pt idx="5">
                  <c:v>Direct to Consumer</c:v>
                </c:pt>
              </c:strCache>
            </c:strRef>
          </c:cat>
          <c:val>
            <c:numRef>
              <c:f>Channel!$E$14:$E$19</c:f>
              <c:numCache>
                <c:formatCode>#,##0.0;\(#,##0.0\);"–"</c:formatCode>
                <c:ptCount val="6"/>
                <c:pt idx="0">
                  <c:v>114.25700000000001</c:v>
                </c:pt>
                <c:pt idx="1">
                  <c:v>100.114</c:v>
                </c:pt>
                <c:pt idx="2">
                  <c:v>74.471000000000004</c:v>
                </c:pt>
                <c:pt idx="3">
                  <c:v>51.363</c:v>
                </c:pt>
                <c:pt idx="4">
                  <c:v>45.908999999999999</c:v>
                </c:pt>
                <c:pt idx="5">
                  <c:v>29.456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273-4A33-8DCE-82547E8CC52F}"/>
            </c:ext>
          </c:extLst>
        </c:ser>
        <c:ser>
          <c:idx val="1"/>
          <c:order val="1"/>
          <c:tx>
            <c:v>Budget</c:v>
          </c:tx>
          <c:spPr>
            <a:solidFill>
              <a:srgbClr val="FFFFFF"/>
            </a:solidFill>
            <a:ln w="15875">
              <a:solidFill>
                <a:srgbClr val="0F2A47"/>
              </a:solidFill>
            </a:ln>
          </c:spPr>
          <c:invertIfNegative val="0"/>
          <c:cat>
            <c:strRef>
              <c:f>Channel!$B$14:$B$19</c:f>
              <c:strCache>
                <c:ptCount val="6"/>
                <c:pt idx="0">
                  <c:v>Hypermarkets</c:v>
                </c:pt>
                <c:pt idx="1">
                  <c:v>Supermarkets</c:v>
                </c:pt>
                <c:pt idx="2">
                  <c:v>Marketplaces</c:v>
                </c:pt>
                <c:pt idx="3">
                  <c:v>Discounters</c:v>
                </c:pt>
                <c:pt idx="4">
                  <c:v>Distributors</c:v>
                </c:pt>
                <c:pt idx="5">
                  <c:v>Direct to Consumer</c:v>
                </c:pt>
              </c:strCache>
            </c:strRef>
          </c:cat>
          <c:val>
            <c:numRef>
              <c:f>Channel!$F$14:$F$19</c:f>
              <c:numCache>
                <c:formatCode>#,##0.0;\(#,##0.0\);"–"</c:formatCode>
                <c:ptCount val="6"/>
                <c:pt idx="0">
                  <c:v>120.205</c:v>
                </c:pt>
                <c:pt idx="1">
                  <c:v>100.15</c:v>
                </c:pt>
                <c:pt idx="2">
                  <c:v>68.543000000000006</c:v>
                </c:pt>
                <c:pt idx="3">
                  <c:v>54.338000000000001</c:v>
                </c:pt>
                <c:pt idx="4">
                  <c:v>45.360999999999997</c:v>
                </c:pt>
                <c:pt idx="5">
                  <c:v>27.824999999999999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273-4A33-8DCE-82547E8CC5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5"/>
        <c:axId val="50070001"/>
        <c:axId val="50070002"/>
      </c:barChart>
      <c:catAx>
        <c:axId val="50070001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low"/>
        <c:spPr>
          <a:ln>
            <a:solidFill>
              <a:srgbClr val="D5DAE1"/>
            </a:solidFill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070002"/>
        <c:crosses val="autoZero"/>
        <c:auto val="1"/>
        <c:lblAlgn val="ctr"/>
        <c:lblOffset val="100"/>
        <c:noMultiLvlLbl val="0"/>
      </c:catAx>
      <c:valAx>
        <c:axId val="50070002"/>
        <c:scaling>
          <c:orientation val="minMax"/>
        </c:scaling>
        <c:delete val="0"/>
        <c:axPos val="b"/>
        <c:majorGridlines>
          <c:spPr>
            <a:ln w="9525">
              <a:solidFill>
                <a:srgbClr val="E8EBEF"/>
              </a:solidFill>
            </a:ln>
          </c:spPr>
        </c:majorGridlines>
        <c:numFmt formatCode="#,##0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070001"/>
        <c:crosses val="max"/>
        <c:crossBetween val="between"/>
      </c:valAx>
      <c:spPr>
        <a:noFill/>
      </c:spPr>
    </c:plotArea>
    <c:legend>
      <c:legendPos val="b"/>
      <c:overlay val="0"/>
      <c:txPr>
        <a:bodyPr/>
        <a:lstStyle/>
        <a:p>
          <a:pPr>
            <a:defRPr sz="800" baseline="0">
              <a:solidFill>
                <a:srgbClr val="1F2937"/>
              </a:solidFill>
              <a:latin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>
      <a:solidFill>
        <a:srgbClr val="D5DAE1"/>
      </a:solidFill>
    </a:ln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Calc!$B$539</c:f>
          <c:strCache>
            <c:ptCount val="1"/>
            <c:pt idx="0">
              <c:v>Contribution margin by brand, $m (YTD Oct 2026)</c:v>
            </c:pt>
          </c:strCache>
        </c:strRef>
      </c:tx>
      <c:layout>
        <c:manualLayout>
          <c:xMode val="edge"/>
          <c:yMode val="edge"/>
          <c:x val="0.02"/>
          <c:y val="2.5000000000000001E-2"/>
        </c:manualLayout>
      </c:layout>
      <c:overlay val="0"/>
      <c:txPr>
        <a:bodyPr/>
        <a:lstStyle/>
        <a:p>
          <a:pPr>
            <a:defRPr sz="950" b="1" baseline="0">
              <a:solidFill>
                <a:srgbClr val="0F2A47"/>
              </a:solidFill>
              <a:latin typeface="Arial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Actual</c:v>
          </c:tx>
          <c:spPr>
            <a:solidFill>
              <a:srgbClr val="0F2A47"/>
            </a:solidFill>
            <a:ln>
              <a:solidFill>
                <a:srgbClr val="0F2A47"/>
              </a:solidFill>
            </a:ln>
          </c:spPr>
          <c:invertIfNegative val="0"/>
          <c:cat>
            <c:strRef>
              <c:f>Brand!$B$14:$B$19</c:f>
              <c:strCache>
                <c:ptCount val="6"/>
                <c:pt idx="0">
                  <c:v>Aurelia</c:v>
                </c:pt>
                <c:pt idx="1">
                  <c:v>Novara</c:v>
                </c:pt>
                <c:pt idx="2">
                  <c:v>Kestrel</c:v>
                </c:pt>
                <c:pt idx="3">
                  <c:v>Lumio</c:v>
                </c:pt>
                <c:pt idx="4">
                  <c:v>Everwood</c:v>
                </c:pt>
                <c:pt idx="5">
                  <c:v>Tindra</c:v>
                </c:pt>
              </c:strCache>
            </c:strRef>
          </c:cat>
          <c:val>
            <c:numRef>
              <c:f>Brand!$O$14:$O$19</c:f>
              <c:numCache>
                <c:formatCode>#,##0.0;\(#,##0.0\);"–"</c:formatCode>
                <c:ptCount val="6"/>
                <c:pt idx="0">
                  <c:v>52.487000000000002</c:v>
                </c:pt>
                <c:pt idx="1">
                  <c:v>39.265000000000001</c:v>
                </c:pt>
                <c:pt idx="2">
                  <c:v>26.920999999999999</c:v>
                </c:pt>
                <c:pt idx="3">
                  <c:v>22.03</c:v>
                </c:pt>
                <c:pt idx="4">
                  <c:v>12.433</c:v>
                </c:pt>
                <c:pt idx="5">
                  <c:v>5.4589999999999996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224-4126-BD5E-6D67672D1B70}"/>
            </c:ext>
          </c:extLst>
        </c:ser>
        <c:ser>
          <c:idx val="1"/>
          <c:order val="1"/>
          <c:tx>
            <c:v>Budget</c:v>
          </c:tx>
          <c:spPr>
            <a:solidFill>
              <a:srgbClr val="FFFFFF"/>
            </a:solidFill>
            <a:ln w="15875">
              <a:solidFill>
                <a:srgbClr val="0F2A47"/>
              </a:solidFill>
            </a:ln>
          </c:spPr>
          <c:invertIfNegative val="0"/>
          <c:cat>
            <c:strRef>
              <c:f>Brand!$B$14:$B$19</c:f>
              <c:strCache>
                <c:ptCount val="6"/>
                <c:pt idx="0">
                  <c:v>Aurelia</c:v>
                </c:pt>
                <c:pt idx="1">
                  <c:v>Novara</c:v>
                </c:pt>
                <c:pt idx="2">
                  <c:v>Kestrel</c:v>
                </c:pt>
                <c:pt idx="3">
                  <c:v>Lumio</c:v>
                </c:pt>
                <c:pt idx="4">
                  <c:v>Everwood</c:v>
                </c:pt>
                <c:pt idx="5">
                  <c:v>Tindra</c:v>
                </c:pt>
              </c:strCache>
            </c:strRef>
          </c:cat>
          <c:val>
            <c:numRef>
              <c:f>Brand!$P$14:$P$19</c:f>
              <c:numCache>
                <c:formatCode>#,##0.0;\(#,##0.0\);"–"</c:formatCode>
                <c:ptCount val="6"/>
                <c:pt idx="0">
                  <c:v>51.006</c:v>
                </c:pt>
                <c:pt idx="1">
                  <c:v>40.091000000000001</c:v>
                </c:pt>
                <c:pt idx="2">
                  <c:v>28.251999999999999</c:v>
                </c:pt>
                <c:pt idx="3">
                  <c:v>21.965</c:v>
                </c:pt>
                <c:pt idx="4">
                  <c:v>14.202999999999999</c:v>
                </c:pt>
                <c:pt idx="5">
                  <c:v>6.9939999999999998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224-4126-BD5E-6D67672D1B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5"/>
        <c:axId val="50080001"/>
        <c:axId val="50080002"/>
      </c:barChart>
      <c:catAx>
        <c:axId val="50080001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low"/>
        <c:spPr>
          <a:ln>
            <a:solidFill>
              <a:srgbClr val="D5DAE1"/>
            </a:solidFill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080002"/>
        <c:crosses val="autoZero"/>
        <c:auto val="1"/>
        <c:lblAlgn val="ctr"/>
        <c:lblOffset val="100"/>
        <c:noMultiLvlLbl val="0"/>
      </c:catAx>
      <c:valAx>
        <c:axId val="50080002"/>
        <c:scaling>
          <c:orientation val="minMax"/>
        </c:scaling>
        <c:delete val="0"/>
        <c:axPos val="b"/>
        <c:majorGridlines>
          <c:spPr>
            <a:ln w="9525">
              <a:solidFill>
                <a:srgbClr val="E8EBEF"/>
              </a:solidFill>
            </a:ln>
          </c:spPr>
        </c:majorGridlines>
        <c:numFmt formatCode="#,##0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080001"/>
        <c:crosses val="max"/>
        <c:crossBetween val="between"/>
      </c:valAx>
      <c:spPr>
        <a:noFill/>
      </c:spPr>
    </c:plotArea>
    <c:legend>
      <c:legendPos val="b"/>
      <c:overlay val="0"/>
      <c:txPr>
        <a:bodyPr/>
        <a:lstStyle/>
        <a:p>
          <a:pPr>
            <a:defRPr sz="800" baseline="0">
              <a:solidFill>
                <a:srgbClr val="1F2937"/>
              </a:solidFill>
              <a:latin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>
      <a:solidFill>
        <a:srgbClr val="D5DAE1"/>
      </a:solidFill>
    </a:ln>
  </c:sp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Calc!$B$540</c:f>
          <c:strCache>
            <c:ptCount val="1"/>
            <c:pt idx="0">
              <c:v>Channel mix, share of net revenue (YTD Oct 2026)</c:v>
            </c:pt>
          </c:strCache>
        </c:strRef>
      </c:tx>
      <c:layout>
        <c:manualLayout>
          <c:xMode val="edge"/>
          <c:yMode val="edge"/>
          <c:x val="0.02"/>
          <c:y val="2.5000000000000001E-2"/>
        </c:manualLayout>
      </c:layout>
      <c:overlay val="0"/>
      <c:txPr>
        <a:bodyPr/>
        <a:lstStyle/>
        <a:p>
          <a:pPr>
            <a:defRPr sz="950" b="1" baseline="0">
              <a:solidFill>
                <a:srgbClr val="0F2A47"/>
              </a:solidFill>
              <a:latin typeface="Arial"/>
            </a:defRPr>
          </a:pPr>
          <a:endParaRPr lang="en-US"/>
        </a:p>
      </c:txPr>
    </c:title>
    <c:autoTitleDeleted val="0"/>
    <c:plotArea>
      <c:layout/>
      <c:doughnutChart>
        <c:varyColors val="1"/>
        <c:ser>
          <c:idx val="0"/>
          <c:order val="0"/>
          <c:tx>
            <c:v>Mix</c:v>
          </c:tx>
          <c:dPt>
            <c:idx val="0"/>
            <c:bubble3D val="0"/>
            <c:spPr>
              <a:solidFill>
                <a:srgbClr val="0F2A47"/>
              </a:solidFill>
              <a:ln>
                <a:solidFill>
                  <a:srgbClr val="FFFFFF"/>
                </a:solidFill>
              </a:ln>
            </c:spPr>
            <c:extLst>
              <c:ext xmlns:c16="http://schemas.microsoft.com/office/drawing/2014/chart" uri="{C3380CC4-5D6E-409C-BE32-E72D297353CC}">
                <c16:uniqueId val="{00000000-FB61-42F6-A071-6E76F7EBD86D}"/>
              </c:ext>
            </c:extLst>
          </c:dPt>
          <c:dPt>
            <c:idx val="1"/>
            <c:bubble3D val="0"/>
            <c:spPr>
              <a:solidFill>
                <a:srgbClr val="12808A"/>
              </a:solidFill>
              <a:ln>
                <a:solidFill>
                  <a:srgbClr val="FFFFFF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FB61-42F6-A071-6E76F7EBD86D}"/>
              </c:ext>
            </c:extLst>
          </c:dPt>
          <c:dPt>
            <c:idx val="2"/>
            <c:bubble3D val="0"/>
            <c:spPr>
              <a:solidFill>
                <a:srgbClr val="6FA8C7"/>
              </a:solidFill>
              <a:ln>
                <a:solidFill>
                  <a:srgbClr val="FFFFFF"/>
                </a:solidFill>
              </a:ln>
            </c:spPr>
            <c:extLst>
              <c:ext xmlns:c16="http://schemas.microsoft.com/office/drawing/2014/chart" uri="{C3380CC4-5D6E-409C-BE32-E72D297353CC}">
                <c16:uniqueId val="{00000002-FB61-42F6-A071-6E76F7EBD86D}"/>
              </c:ext>
            </c:extLst>
          </c:dPt>
          <c:dPt>
            <c:idx val="3"/>
            <c:bubble3D val="0"/>
            <c:spPr>
              <a:solidFill>
                <a:srgbClr val="D9B26F"/>
              </a:solidFill>
              <a:ln>
                <a:solidFill>
                  <a:srgbClr val="FFFFFF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FB61-42F6-A071-6E76F7EBD86D}"/>
              </c:ext>
            </c:extLst>
          </c:dPt>
          <c:dPt>
            <c:idx val="4"/>
            <c:bubble3D val="0"/>
            <c:spPr>
              <a:solidFill>
                <a:srgbClr val="7C6AA6"/>
              </a:solidFill>
              <a:ln>
                <a:solidFill>
                  <a:srgbClr val="FFFFFF"/>
                </a:solidFill>
              </a:ln>
            </c:spPr>
            <c:extLst>
              <c:ext xmlns:c16="http://schemas.microsoft.com/office/drawing/2014/chart" uri="{C3380CC4-5D6E-409C-BE32-E72D297353CC}">
                <c16:uniqueId val="{00000004-FB61-42F6-A071-6E76F7EBD86D}"/>
              </c:ext>
            </c:extLst>
          </c:dPt>
          <c:dPt>
            <c:idx val="5"/>
            <c:bubble3D val="0"/>
            <c:spPr>
              <a:solidFill>
                <a:srgbClr val="AEB6C1"/>
              </a:solidFill>
              <a:ln>
                <a:solidFill>
                  <a:srgbClr val="FFFFFF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FB61-42F6-A071-6E76F7EBD86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 baseline="0">
                    <a:solidFill>
                      <a:srgbClr val="FFFFFF"/>
                    </a:solidFill>
                    <a:latin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Channel!$B$14:$B$19</c:f>
              <c:strCache>
                <c:ptCount val="6"/>
                <c:pt idx="0">
                  <c:v>Hypermarkets</c:v>
                </c:pt>
                <c:pt idx="1">
                  <c:v>Supermarkets</c:v>
                </c:pt>
                <c:pt idx="2">
                  <c:v>Marketplaces</c:v>
                </c:pt>
                <c:pt idx="3">
                  <c:v>Discounters</c:v>
                </c:pt>
                <c:pt idx="4">
                  <c:v>Distributors</c:v>
                </c:pt>
                <c:pt idx="5">
                  <c:v>Direct to Consumer</c:v>
                </c:pt>
              </c:strCache>
            </c:strRef>
          </c:cat>
          <c:val>
            <c:numRef>
              <c:f>Channel!$E$14:$E$19</c:f>
              <c:numCache>
                <c:formatCode>#,##0.0;\(#,##0.0\);"–"</c:formatCode>
                <c:ptCount val="6"/>
                <c:pt idx="0">
                  <c:v>114.25700000000001</c:v>
                </c:pt>
                <c:pt idx="1">
                  <c:v>100.114</c:v>
                </c:pt>
                <c:pt idx="2">
                  <c:v>74.471000000000004</c:v>
                </c:pt>
                <c:pt idx="3">
                  <c:v>51.363</c:v>
                </c:pt>
                <c:pt idx="4">
                  <c:v>45.908999999999999</c:v>
                </c:pt>
                <c:pt idx="5">
                  <c:v>29.456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B61-42F6-A071-6E76F7EBD8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5"/>
      </c:doughnutChart>
      <c:spPr>
        <a:noFill/>
      </c:spPr>
    </c:plotArea>
    <c:legend>
      <c:legendPos val="r"/>
      <c:overlay val="0"/>
      <c:txPr>
        <a:bodyPr/>
        <a:lstStyle/>
        <a:p>
          <a:pPr rtl="0">
            <a:defRPr sz="800" baseline="0">
              <a:latin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>
      <a:solidFill>
        <a:srgbClr val="D5DAE1"/>
      </a:solidFill>
    </a:ln>
  </c:sp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Calc!$B$541</c:f>
          <c:strCache>
            <c:ptCount val="1"/>
            <c:pt idx="0">
              <c:v>Cumulative free cash flow, $m</c:v>
            </c:pt>
          </c:strCache>
        </c:strRef>
      </c:tx>
      <c:layout>
        <c:manualLayout>
          <c:xMode val="edge"/>
          <c:yMode val="edge"/>
          <c:x val="0.02"/>
          <c:y val="2.5000000000000001E-2"/>
        </c:manualLayout>
      </c:layout>
      <c:overlay val="0"/>
      <c:txPr>
        <a:bodyPr/>
        <a:lstStyle/>
        <a:p>
          <a:pPr>
            <a:defRPr sz="950" b="1" baseline="0">
              <a:solidFill>
                <a:srgbClr val="0F2A47"/>
              </a:solidFill>
              <a:latin typeface="Arial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Actual / forecast</c:v>
          </c:tx>
          <c:spPr>
            <a:ln w="31750">
              <a:solidFill>
                <a:srgbClr val="0F2A47"/>
              </a:solidFill>
            </a:ln>
          </c:spPr>
          <c:marker>
            <c:symbol val="none"/>
          </c:marker>
          <c:cat>
            <c:strRef>
              <c:f>Calc!$D$4:$O$4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Calc!$D$216:$O$216</c:f>
              <c:numCache>
                <c:formatCode>#,##0.00;\(#,##0.00\);\-</c:formatCode>
                <c:ptCount val="12"/>
                <c:pt idx="0">
                  <c:v>22.932999999999993</c:v>
                </c:pt>
                <c:pt idx="1">
                  <c:v>25.364000000000004</c:v>
                </c:pt>
                <c:pt idx="2">
                  <c:v>28.189000000000011</c:v>
                </c:pt>
                <c:pt idx="3">
                  <c:v>27.281000000000006</c:v>
                </c:pt>
                <c:pt idx="4">
                  <c:v>26.500000000000021</c:v>
                </c:pt>
                <c:pt idx="5">
                  <c:v>29.122000000000007</c:v>
                </c:pt>
                <c:pt idx="6">
                  <c:v>31.976999999999993</c:v>
                </c:pt>
                <c:pt idx="7">
                  <c:v>36.778999999999989</c:v>
                </c:pt>
                <c:pt idx="8">
                  <c:v>42.02200000000002</c:v>
                </c:pt>
                <c:pt idx="9">
                  <c:v>43.160000000000004</c:v>
                </c:pt>
                <c:pt idx="10">
                  <c:v>42.28899999999998</c:v>
                </c:pt>
                <c:pt idx="11">
                  <c:v>42.52200000000002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438-4EA7-9B87-D626991CE777}"/>
            </c:ext>
          </c:extLst>
        </c:ser>
        <c:ser>
          <c:idx val="1"/>
          <c:order val="1"/>
          <c:tx>
            <c:v>Budget</c:v>
          </c:tx>
          <c:spPr>
            <a:ln w="22225">
              <a:solidFill>
                <a:srgbClr val="12808A"/>
              </a:solidFill>
              <a:prstDash val="dash"/>
            </a:ln>
          </c:spPr>
          <c:marker>
            <c:symbol val="none"/>
          </c:marker>
          <c:cat>
            <c:strRef>
              <c:f>Calc!$D$4:$O$4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Calc!$D$241:$O$241</c:f>
              <c:numCache>
                <c:formatCode>#,##0.00;\(#,##0.00\);\-</c:formatCode>
                <c:ptCount val="12"/>
                <c:pt idx="0">
                  <c:v>30.63</c:v>
                </c:pt>
                <c:pt idx="1">
                  <c:v>33.397999999999996</c:v>
                </c:pt>
                <c:pt idx="2">
                  <c:v>36.934000000000012</c:v>
                </c:pt>
                <c:pt idx="3">
                  <c:v>36.723000000000006</c:v>
                </c:pt>
                <c:pt idx="4">
                  <c:v>36.765000000000008</c:v>
                </c:pt>
                <c:pt idx="5">
                  <c:v>39.970000000000027</c:v>
                </c:pt>
                <c:pt idx="6">
                  <c:v>43.103000000000016</c:v>
                </c:pt>
                <c:pt idx="7">
                  <c:v>48.216000000000022</c:v>
                </c:pt>
                <c:pt idx="8">
                  <c:v>54.062000000000026</c:v>
                </c:pt>
                <c:pt idx="9">
                  <c:v>56.182000000000023</c:v>
                </c:pt>
                <c:pt idx="10">
                  <c:v>56.302000000000007</c:v>
                </c:pt>
                <c:pt idx="11">
                  <c:v>57.071000000000026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438-4EA7-9B87-D626991CE777}"/>
            </c:ext>
          </c:extLst>
        </c:ser>
        <c:ser>
          <c:idx val="2"/>
          <c:order val="2"/>
          <c:tx>
            <c:v>Prior year</c:v>
          </c:tx>
          <c:spPr>
            <a:ln w="19050">
              <a:solidFill>
                <a:srgbClr val="AEB6C1"/>
              </a:solidFill>
            </a:ln>
          </c:spPr>
          <c:marker>
            <c:symbol val="none"/>
          </c:marker>
          <c:cat>
            <c:strRef>
              <c:f>Calc!$D$4:$O$4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Calc!$D$291:$O$291</c:f>
              <c:numCache>
                <c:formatCode>#,##0.00;\(#,##0.00\);\-</c:formatCode>
                <c:ptCount val="12"/>
                <c:pt idx="0">
                  <c:v>-1.2700000000000102</c:v>
                </c:pt>
                <c:pt idx="1">
                  <c:v>1.1539999999999906</c:v>
                </c:pt>
                <c:pt idx="2">
                  <c:v>4.2199999999999953</c:v>
                </c:pt>
                <c:pt idx="3">
                  <c:v>3.8969999999999883</c:v>
                </c:pt>
                <c:pt idx="4">
                  <c:v>3.5469999999999935</c:v>
                </c:pt>
                <c:pt idx="5">
                  <c:v>6.350999999999984</c:v>
                </c:pt>
                <c:pt idx="6">
                  <c:v>9.1329999999999849</c:v>
                </c:pt>
                <c:pt idx="7">
                  <c:v>13.58499999999998</c:v>
                </c:pt>
                <c:pt idx="8">
                  <c:v>18.828999999999979</c:v>
                </c:pt>
                <c:pt idx="9">
                  <c:v>20.720999999999979</c:v>
                </c:pt>
                <c:pt idx="10">
                  <c:v>20.622999999999948</c:v>
                </c:pt>
                <c:pt idx="11">
                  <c:v>21.141999999999967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438-4EA7-9B87-D626991CE7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100001"/>
        <c:axId val="50100002"/>
      </c:lineChart>
      <c:catAx>
        <c:axId val="50100001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low"/>
        <c:spPr>
          <a:ln>
            <a:solidFill>
              <a:srgbClr val="D5DAE1"/>
            </a:solidFill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100002"/>
        <c:crosses val="autoZero"/>
        <c:auto val="1"/>
        <c:lblAlgn val="ctr"/>
        <c:lblOffset val="100"/>
        <c:noMultiLvlLbl val="0"/>
      </c:catAx>
      <c:valAx>
        <c:axId val="50100002"/>
        <c:scaling>
          <c:orientation val="minMax"/>
        </c:scaling>
        <c:delete val="0"/>
        <c:axPos val="l"/>
        <c:majorGridlines>
          <c:spPr>
            <a:ln w="9525">
              <a:solidFill>
                <a:srgbClr val="E8EBEF"/>
              </a:solidFill>
            </a:ln>
          </c:spPr>
        </c:majorGridlines>
        <c:numFmt formatCode="#,##0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100001"/>
        <c:crosses val="autoZero"/>
        <c:crossBetween val="between"/>
      </c:valAx>
      <c:spPr>
        <a:noFill/>
      </c:spPr>
    </c:plotArea>
    <c:legend>
      <c:legendPos val="b"/>
      <c:overlay val="0"/>
      <c:txPr>
        <a:bodyPr/>
        <a:lstStyle/>
        <a:p>
          <a:pPr>
            <a:defRPr sz="800" baseline="0">
              <a:solidFill>
                <a:srgbClr val="1F2937"/>
              </a:solidFill>
              <a:latin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>
      <a:solidFill>
        <a:srgbClr val="D5DAE1"/>
      </a:solidFill>
    </a:ln>
  </c:sp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Calc!$B$542</c:f>
          <c:strCache>
            <c:ptCount val="1"/>
            <c:pt idx="0">
              <c:v>Net debt, $m, and leverage (x LTM EBITDA)</c:v>
            </c:pt>
          </c:strCache>
        </c:strRef>
      </c:tx>
      <c:layout>
        <c:manualLayout>
          <c:xMode val="edge"/>
          <c:yMode val="edge"/>
          <c:x val="0.02"/>
          <c:y val="2.5000000000000001E-2"/>
        </c:manualLayout>
      </c:layout>
      <c:overlay val="0"/>
      <c:txPr>
        <a:bodyPr/>
        <a:lstStyle/>
        <a:p>
          <a:pPr>
            <a:defRPr sz="950" b="1" baseline="0">
              <a:solidFill>
                <a:srgbClr val="0F2A47"/>
              </a:solidFill>
              <a:latin typeface="Arial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Net debt</c:v>
          </c:tx>
          <c:spPr>
            <a:solidFill>
              <a:srgbClr val="0F2A47"/>
            </a:solidFill>
            <a:ln>
              <a:solidFill>
                <a:srgbClr val="0F2A47"/>
              </a:solidFill>
            </a:ln>
          </c:spPr>
          <c:invertIfNegative val="0"/>
          <c:cat>
            <c:strRef>
              <c:f>Calc!$D$4:$O$4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Calc!$D$193:$O$193</c:f>
              <c:numCache>
                <c:formatCode>#,##0.00;\(#,##0.00\);\-</c:formatCode>
                <c:ptCount val="12"/>
                <c:pt idx="0">
                  <c:v>127.922</c:v>
                </c:pt>
                <c:pt idx="1">
                  <c:v>125.48699999999999</c:v>
                </c:pt>
                <c:pt idx="2">
                  <c:v>122.664</c:v>
                </c:pt>
                <c:pt idx="3">
                  <c:v>123.562</c:v>
                </c:pt>
                <c:pt idx="4">
                  <c:v>142.33799999999999</c:v>
                </c:pt>
                <c:pt idx="5">
                  <c:v>139.72499999999999</c:v>
                </c:pt>
                <c:pt idx="6">
                  <c:v>136.85900000000001</c:v>
                </c:pt>
                <c:pt idx="7">
                  <c:v>132.06100000000001</c:v>
                </c:pt>
                <c:pt idx="8">
                  <c:v>126.813</c:v>
                </c:pt>
                <c:pt idx="9">
                  <c:v>125.675</c:v>
                </c:pt>
                <c:pt idx="10">
                  <c:v>125.63200000000001</c:v>
                </c:pt>
                <c:pt idx="11">
                  <c:v>125.396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ABF-44C2-8C71-C9B0A285E0D9}"/>
            </c:ext>
          </c:extLst>
        </c:ser>
        <c:ser>
          <c:idx val="1"/>
          <c:order val="1"/>
          <c:tx>
            <c:v>Budget</c:v>
          </c:tx>
          <c:spPr>
            <a:solidFill>
              <a:srgbClr val="FFFFFF"/>
            </a:solidFill>
            <a:ln w="15875">
              <a:solidFill>
                <a:srgbClr val="0F2A47"/>
              </a:solidFill>
            </a:ln>
          </c:spPr>
          <c:invertIfNegative val="0"/>
          <c:cat>
            <c:strRef>
              <c:f>Calc!$D$4:$O$4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Calc!$D$218:$O$218</c:f>
              <c:numCache>
                <c:formatCode>#,##0.00;\(#,##0.00\);\-</c:formatCode>
                <c:ptCount val="12"/>
                <c:pt idx="0">
                  <c:v>120.226</c:v>
                </c:pt>
                <c:pt idx="1">
                  <c:v>117.44799999999999</c:v>
                </c:pt>
                <c:pt idx="2">
                  <c:v>113.923</c:v>
                </c:pt>
                <c:pt idx="3">
                  <c:v>114.139</c:v>
                </c:pt>
                <c:pt idx="4">
                  <c:v>132.096</c:v>
                </c:pt>
                <c:pt idx="5">
                  <c:v>128.9</c:v>
                </c:pt>
                <c:pt idx="6">
                  <c:v>125.76300000000001</c:v>
                </c:pt>
                <c:pt idx="7">
                  <c:v>120.65600000000001</c:v>
                </c:pt>
                <c:pt idx="8">
                  <c:v>114.80200000000001</c:v>
                </c:pt>
                <c:pt idx="9">
                  <c:v>112.685</c:v>
                </c:pt>
                <c:pt idx="10">
                  <c:v>112.54600000000001</c:v>
                </c:pt>
                <c:pt idx="11">
                  <c:v>111.776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ABF-44C2-8C71-C9B0A285E0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axId val="50110001"/>
        <c:axId val="50110002"/>
      </c:barChart>
      <c:lineChart>
        <c:grouping val="standard"/>
        <c:varyColors val="0"/>
        <c:ser>
          <c:idx val="2"/>
          <c:order val="2"/>
          <c:tx>
            <c:v>Leverage (x)</c:v>
          </c:tx>
          <c:spPr>
            <a:ln w="25400">
              <a:solidFill>
                <a:srgbClr val="12808A"/>
              </a:solidFill>
            </a:ln>
          </c:spPr>
          <c:marker>
            <c:symbol val="none"/>
          </c:marker>
          <c:cat>
            <c:strRef>
              <c:f>Calc!$D$4:$O$4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Calc!$D$212:$O$212</c:f>
              <c:numCache>
                <c:formatCode>#,##0.00;\(#,##0.00\);\-</c:formatCode>
                <c:ptCount val="12"/>
                <c:pt idx="0">
                  <c:v>1.275037875767483</c:v>
                </c:pt>
                <c:pt idx="1">
                  <c:v>1.245404922588329</c:v>
                </c:pt>
                <c:pt idx="2">
                  <c:v>1.2114245081772936</c:v>
                </c:pt>
                <c:pt idx="3">
                  <c:v>1.2157665325238853</c:v>
                </c:pt>
                <c:pt idx="4">
                  <c:v>1.3936670191516862</c:v>
                </c:pt>
                <c:pt idx="5">
                  <c:v>1.3627187079407808</c:v>
                </c:pt>
                <c:pt idx="6">
                  <c:v>1.3293218330516545</c:v>
                </c:pt>
                <c:pt idx="7">
                  <c:v>1.2774451290881128</c:v>
                </c:pt>
                <c:pt idx="8">
                  <c:v>1.2196489540754991</c:v>
                </c:pt>
                <c:pt idx="9">
                  <c:v>1.2030229931269503</c:v>
                </c:pt>
                <c:pt idx="10">
                  <c:v>1.1937325997928605</c:v>
                </c:pt>
                <c:pt idx="11">
                  <c:v>1.1834947241255638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ABF-44C2-8C71-C9B0A285E0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110001"/>
        <c:axId val="60110002"/>
      </c:lineChart>
      <c:catAx>
        <c:axId val="50110001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low"/>
        <c:spPr>
          <a:ln>
            <a:solidFill>
              <a:srgbClr val="D5DAE1"/>
            </a:solidFill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110002"/>
        <c:crosses val="autoZero"/>
        <c:auto val="1"/>
        <c:lblAlgn val="ctr"/>
        <c:lblOffset val="100"/>
        <c:noMultiLvlLbl val="0"/>
      </c:catAx>
      <c:valAx>
        <c:axId val="50110002"/>
        <c:scaling>
          <c:orientation val="minMax"/>
        </c:scaling>
        <c:delete val="0"/>
        <c:axPos val="l"/>
        <c:majorGridlines>
          <c:spPr>
            <a:ln w="9525">
              <a:solidFill>
                <a:srgbClr val="E8EBEF"/>
              </a:solidFill>
            </a:ln>
          </c:spPr>
        </c:majorGridlines>
        <c:numFmt formatCode="#,##0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110001"/>
        <c:crosses val="autoZero"/>
        <c:crossBetween val="between"/>
      </c:valAx>
      <c:valAx>
        <c:axId val="60110002"/>
        <c:scaling>
          <c:orientation val="minMax"/>
          <c:min val="0"/>
        </c:scaling>
        <c:delete val="0"/>
        <c:axPos val="r"/>
        <c:numFmt formatCode="0.0&quot;x&quot;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60110001"/>
        <c:crosses val="max"/>
        <c:crossBetween val="between"/>
      </c:valAx>
      <c:catAx>
        <c:axId val="6011000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60110002"/>
        <c:crosses val="autoZero"/>
        <c:auto val="1"/>
        <c:lblAlgn val="ctr"/>
        <c:lblOffset val="100"/>
        <c:noMultiLvlLbl val="0"/>
      </c:catAx>
      <c:spPr>
        <a:noFill/>
      </c:spPr>
    </c:plotArea>
    <c:legend>
      <c:legendPos val="b"/>
      <c:overlay val="0"/>
      <c:txPr>
        <a:bodyPr/>
        <a:lstStyle/>
        <a:p>
          <a:pPr>
            <a:defRPr sz="800" baseline="0">
              <a:solidFill>
                <a:srgbClr val="1F2937"/>
              </a:solidFill>
              <a:latin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>
      <a:solidFill>
        <a:srgbClr val="D5DAE1"/>
      </a:solidFill>
    </a:ln>
  </c:sp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Calc!$B$543</c:f>
          <c:strCache>
            <c:ptCount val="1"/>
            <c:pt idx="0">
              <c:v>Working capital days: DSO, DIO, DPO, CCC</c:v>
            </c:pt>
          </c:strCache>
        </c:strRef>
      </c:tx>
      <c:layout>
        <c:manualLayout>
          <c:xMode val="edge"/>
          <c:yMode val="edge"/>
          <c:x val="0.02"/>
          <c:y val="2.5000000000000001E-2"/>
        </c:manualLayout>
      </c:layout>
      <c:overlay val="0"/>
      <c:txPr>
        <a:bodyPr/>
        <a:lstStyle/>
        <a:p>
          <a:pPr>
            <a:defRPr sz="950" b="1" baseline="0">
              <a:solidFill>
                <a:srgbClr val="0F2A47"/>
              </a:solidFill>
              <a:latin typeface="Arial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DSO</c:v>
          </c:tx>
          <c:spPr>
            <a:ln w="19050">
              <a:solidFill>
                <a:srgbClr val="6FA8C7"/>
              </a:solidFill>
            </a:ln>
          </c:spPr>
          <c:marker>
            <c:symbol val="none"/>
          </c:marker>
          <c:cat>
            <c:strRef>
              <c:f>Calc!$D$4:$O$4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Calc!$D$196:$O$196</c:f>
              <c:numCache>
                <c:formatCode>#,##0.00;\(#,##0.00\);\-</c:formatCode>
                <c:ptCount val="12"/>
                <c:pt idx="0">
                  <c:v>48.132153254920219</c:v>
                </c:pt>
                <c:pt idx="1">
                  <c:v>48.131553363254412</c:v>
                </c:pt>
                <c:pt idx="2">
                  <c:v>48.148518820181003</c:v>
                </c:pt>
                <c:pt idx="3">
                  <c:v>48.147170693281865</c:v>
                </c:pt>
                <c:pt idx="4">
                  <c:v>48.152497351107598</c:v>
                </c:pt>
                <c:pt idx="5">
                  <c:v>48.156206987718221</c:v>
                </c:pt>
                <c:pt idx="6">
                  <c:v>48.176316249781351</c:v>
                </c:pt>
                <c:pt idx="7">
                  <c:v>48.168851837817357</c:v>
                </c:pt>
                <c:pt idx="8">
                  <c:v>48.166798485485899</c:v>
                </c:pt>
                <c:pt idx="9">
                  <c:v>48.148776844738244</c:v>
                </c:pt>
                <c:pt idx="10">
                  <c:v>48.338980097039311</c:v>
                </c:pt>
                <c:pt idx="11">
                  <c:v>48.25984771114242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6D-4567-9A9B-9271019F64EF}"/>
            </c:ext>
          </c:extLst>
        </c:ser>
        <c:ser>
          <c:idx val="1"/>
          <c:order val="1"/>
          <c:tx>
            <c:v>DIO</c:v>
          </c:tx>
          <c:spPr>
            <a:ln w="19050">
              <a:solidFill>
                <a:srgbClr val="D9B26F"/>
              </a:solidFill>
            </a:ln>
          </c:spPr>
          <c:marker>
            <c:symbol val="none"/>
          </c:marker>
          <c:cat>
            <c:strRef>
              <c:f>Calc!$D$4:$O$4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Calc!$D$197:$O$197</c:f>
              <c:numCache>
                <c:formatCode>#,##0.00;\(#,##0.00\);\-</c:formatCode>
                <c:ptCount val="12"/>
                <c:pt idx="0">
                  <c:v>96.938549264023337</c:v>
                </c:pt>
                <c:pt idx="1">
                  <c:v>96.809116139354146</c:v>
                </c:pt>
                <c:pt idx="2">
                  <c:v>96.794264037683917</c:v>
                </c:pt>
                <c:pt idx="3">
                  <c:v>96.720028381095034</c:v>
                </c:pt>
                <c:pt idx="4">
                  <c:v>96.758957861858732</c:v>
                </c:pt>
                <c:pt idx="5">
                  <c:v>96.729188173710043</c:v>
                </c:pt>
                <c:pt idx="6">
                  <c:v>96.749940249864196</c:v>
                </c:pt>
                <c:pt idx="7">
                  <c:v>96.74833884654106</c:v>
                </c:pt>
                <c:pt idx="8">
                  <c:v>96.796641641554473</c:v>
                </c:pt>
                <c:pt idx="9">
                  <c:v>96.834320682247238</c:v>
                </c:pt>
                <c:pt idx="10">
                  <c:v>96.701923221508821</c:v>
                </c:pt>
                <c:pt idx="11">
                  <c:v>96.784742492746773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6D-4567-9A9B-9271019F64EF}"/>
            </c:ext>
          </c:extLst>
        </c:ser>
        <c:ser>
          <c:idx val="2"/>
          <c:order val="2"/>
          <c:tx>
            <c:v>DPO</c:v>
          </c:tx>
          <c:spPr>
            <a:ln w="19050">
              <a:solidFill>
                <a:srgbClr val="AEB6C1"/>
              </a:solidFill>
            </a:ln>
          </c:spPr>
          <c:marker>
            <c:symbol val="none"/>
          </c:marker>
          <c:cat>
            <c:strRef>
              <c:f>Calc!$D$4:$O$4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Calc!$D$198:$O$198</c:f>
              <c:numCache>
                <c:formatCode>#,##0.00;\(#,##0.00\);\-</c:formatCode>
                <c:ptCount val="12"/>
                <c:pt idx="0">
                  <c:v>56.002758254873349</c:v>
                </c:pt>
                <c:pt idx="1">
                  <c:v>56.835602572893187</c:v>
                </c:pt>
                <c:pt idx="2">
                  <c:v>60.74614198174163</c:v>
                </c:pt>
                <c:pt idx="3">
                  <c:v>59.070235326579677</c:v>
                </c:pt>
                <c:pt idx="4">
                  <c:v>57.412998672078089</c:v>
                </c:pt>
                <c:pt idx="5">
                  <c:v>57.324573658963658</c:v>
                </c:pt>
                <c:pt idx="6">
                  <c:v>55.499402498642027</c:v>
                </c:pt>
                <c:pt idx="7">
                  <c:v>56.385157485977274</c:v>
                </c:pt>
                <c:pt idx="8">
                  <c:v>59.974456966677707</c:v>
                </c:pt>
                <c:pt idx="9">
                  <c:v>60.917752750471976</c:v>
                </c:pt>
                <c:pt idx="10">
                  <c:v>60.36481963219704</c:v>
                </c:pt>
                <c:pt idx="11">
                  <c:v>54.552645763685355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F6D-4567-9A9B-9271019F64EF}"/>
            </c:ext>
          </c:extLst>
        </c:ser>
        <c:ser>
          <c:idx val="3"/>
          <c:order val="3"/>
          <c:tx>
            <c:v>CCC</c:v>
          </c:tx>
          <c:spPr>
            <a:ln w="31750">
              <a:solidFill>
                <a:srgbClr val="0F2A47"/>
              </a:solidFill>
            </a:ln>
          </c:spPr>
          <c:marker>
            <c:symbol val="none"/>
          </c:marker>
          <c:cat>
            <c:strRef>
              <c:f>Calc!$D$4:$O$4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Calc!$D$199:$O$199</c:f>
              <c:numCache>
                <c:formatCode>#,##0.00;\(#,##0.00\);\-</c:formatCode>
                <c:ptCount val="12"/>
                <c:pt idx="0">
                  <c:v>89.067944264070206</c:v>
                </c:pt>
                <c:pt idx="1">
                  <c:v>88.105066929715377</c:v>
                </c:pt>
                <c:pt idx="2">
                  <c:v>84.196640876123297</c:v>
                </c:pt>
                <c:pt idx="3">
                  <c:v>85.796963747797236</c:v>
                </c:pt>
                <c:pt idx="4">
                  <c:v>87.498456540888242</c:v>
                </c:pt>
                <c:pt idx="5">
                  <c:v>87.56082150246462</c:v>
                </c:pt>
                <c:pt idx="6">
                  <c:v>89.42685400100352</c:v>
                </c:pt>
                <c:pt idx="7">
                  <c:v>88.532033198381143</c:v>
                </c:pt>
                <c:pt idx="8">
                  <c:v>84.988983160362665</c:v>
                </c:pt>
                <c:pt idx="9">
                  <c:v>84.065344776513513</c:v>
                </c:pt>
                <c:pt idx="10">
                  <c:v>84.676083686351106</c:v>
                </c:pt>
                <c:pt idx="11">
                  <c:v>90.491944440203838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F6D-4567-9A9B-9271019F64EF}"/>
            </c:ext>
          </c:extLst>
        </c:ser>
        <c:ser>
          <c:idx val="4"/>
          <c:order val="4"/>
          <c:tx>
            <c:v>CCC budget</c:v>
          </c:tx>
          <c:spPr>
            <a:ln w="15875">
              <a:solidFill>
                <a:srgbClr val="0F2A47"/>
              </a:solidFill>
              <a:prstDash val="dash"/>
            </a:ln>
          </c:spPr>
          <c:marker>
            <c:symbol val="none"/>
          </c:marker>
          <c:cat>
            <c:strRef>
              <c:f>Calc!$D$4:$O$4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Calc!$D$224:$O$224</c:f>
              <c:numCache>
                <c:formatCode>#,##0.00;\(#,##0.00\);\-</c:formatCode>
                <c:ptCount val="12"/>
                <c:pt idx="0">
                  <c:v>77.822050692945922</c:v>
                </c:pt>
                <c:pt idx="1">
                  <c:v>76.959188962266126</c:v>
                </c:pt>
                <c:pt idx="2">
                  <c:v>72.851510103502989</c:v>
                </c:pt>
                <c:pt idx="3">
                  <c:v>74.6878806042089</c:v>
                </c:pt>
                <c:pt idx="4">
                  <c:v>76.332200190179975</c:v>
                </c:pt>
                <c:pt idx="5">
                  <c:v>76.367294503883457</c:v>
                </c:pt>
                <c:pt idx="6">
                  <c:v>78.293127430218078</c:v>
                </c:pt>
                <c:pt idx="7">
                  <c:v>77.3431200087837</c:v>
                </c:pt>
                <c:pt idx="8">
                  <c:v>73.679559428165973</c:v>
                </c:pt>
                <c:pt idx="9">
                  <c:v>72.675093828926265</c:v>
                </c:pt>
                <c:pt idx="10">
                  <c:v>73.861174311868552</c:v>
                </c:pt>
                <c:pt idx="11">
                  <c:v>79.779399474885651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F6D-4567-9A9B-9271019F64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120001"/>
        <c:axId val="50120002"/>
      </c:lineChart>
      <c:catAx>
        <c:axId val="50120001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low"/>
        <c:spPr>
          <a:ln>
            <a:solidFill>
              <a:srgbClr val="D5DAE1"/>
            </a:solidFill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120002"/>
        <c:crosses val="autoZero"/>
        <c:auto val="1"/>
        <c:lblAlgn val="ctr"/>
        <c:lblOffset val="100"/>
        <c:noMultiLvlLbl val="0"/>
      </c:catAx>
      <c:valAx>
        <c:axId val="50120002"/>
        <c:scaling>
          <c:orientation val="minMax"/>
        </c:scaling>
        <c:delete val="0"/>
        <c:axPos val="l"/>
        <c:majorGridlines>
          <c:spPr>
            <a:ln w="9525">
              <a:solidFill>
                <a:srgbClr val="E8EBEF"/>
              </a:solidFill>
            </a:ln>
          </c:spPr>
        </c:majorGridlines>
        <c:numFmt formatCode="0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120001"/>
        <c:crosses val="autoZero"/>
        <c:crossBetween val="between"/>
      </c:valAx>
      <c:spPr>
        <a:noFill/>
      </c:spPr>
    </c:plotArea>
    <c:legend>
      <c:legendPos val="b"/>
      <c:overlay val="0"/>
      <c:txPr>
        <a:bodyPr/>
        <a:lstStyle/>
        <a:p>
          <a:pPr>
            <a:defRPr sz="800" baseline="0">
              <a:solidFill>
                <a:srgbClr val="1F2937"/>
              </a:solidFill>
              <a:latin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>
      <a:solidFill>
        <a:srgbClr val="D5DAE1"/>
      </a:solidFill>
    </a:ln>
  </c:sp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Calc!$B$544</c:f>
          <c:strCache>
            <c:ptCount val="1"/>
            <c:pt idx="0">
              <c:v>Cost ratios, % of net revenue</c:v>
            </c:pt>
          </c:strCache>
        </c:strRef>
      </c:tx>
      <c:layout>
        <c:manualLayout>
          <c:xMode val="edge"/>
          <c:yMode val="edge"/>
          <c:x val="0.02"/>
          <c:y val="2.5000000000000001E-2"/>
        </c:manualLayout>
      </c:layout>
      <c:overlay val="0"/>
      <c:txPr>
        <a:bodyPr/>
        <a:lstStyle/>
        <a:p>
          <a:pPr>
            <a:defRPr sz="950" b="1" baseline="0">
              <a:solidFill>
                <a:srgbClr val="0F2A47"/>
              </a:solidFill>
              <a:latin typeface="Arial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v>A&amp;P</c:v>
          </c:tx>
          <c:spPr>
            <a:solidFill>
              <a:srgbClr val="6FA8C7"/>
            </a:solidFill>
            <a:ln>
              <a:noFill/>
            </a:ln>
          </c:spPr>
          <c:invertIfNegative val="0"/>
          <c:cat>
            <c:strRef>
              <c:f>Calc!$D$4:$O$4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Calc!$D$205:$O$205</c:f>
              <c:numCache>
                <c:formatCode>0.0%;\(0.0%\);\-</c:formatCode>
                <c:ptCount val="12"/>
                <c:pt idx="0">
                  <c:v>8.5652730872248742E-2</c:v>
                </c:pt>
                <c:pt idx="1">
                  <c:v>8.5756265717272767E-2</c:v>
                </c:pt>
                <c:pt idx="2">
                  <c:v>8.5677425882829089E-2</c:v>
                </c:pt>
                <c:pt idx="3">
                  <c:v>8.5665024630541861E-2</c:v>
                </c:pt>
                <c:pt idx="4">
                  <c:v>8.56861378763486E-2</c:v>
                </c:pt>
                <c:pt idx="5">
                  <c:v>8.5723674944838277E-2</c:v>
                </c:pt>
                <c:pt idx="6">
                  <c:v>8.5813981470340514E-2</c:v>
                </c:pt>
                <c:pt idx="7">
                  <c:v>8.5899094437257462E-2</c:v>
                </c:pt>
                <c:pt idx="8">
                  <c:v>8.5974499089253184E-2</c:v>
                </c:pt>
                <c:pt idx="9">
                  <c:v>8.6097152428810719E-2</c:v>
                </c:pt>
                <c:pt idx="10">
                  <c:v>8.5825242718446604E-2</c:v>
                </c:pt>
                <c:pt idx="11">
                  <c:v>8.5875796816742164E-2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7F6-4107-929F-5EB68637A049}"/>
            </c:ext>
          </c:extLst>
        </c:ser>
        <c:ser>
          <c:idx val="1"/>
          <c:order val="1"/>
          <c:tx>
            <c:v>Cost to serve</c:v>
          </c:tx>
          <c:spPr>
            <a:solidFill>
              <a:srgbClr val="D9B26F"/>
            </a:solidFill>
            <a:ln>
              <a:noFill/>
            </a:ln>
          </c:spPr>
          <c:invertIfNegative val="0"/>
          <c:cat>
            <c:strRef>
              <c:f>Calc!$D$4:$O$4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Calc!$D$206:$O$206</c:f>
              <c:numCache>
                <c:formatCode>0.0%;\(0.0%\);\-</c:formatCode>
                <c:ptCount val="12"/>
                <c:pt idx="0">
                  <c:v>9.3455223011529032E-2</c:v>
                </c:pt>
                <c:pt idx="1">
                  <c:v>9.335706818117602E-2</c:v>
                </c:pt>
                <c:pt idx="2">
                  <c:v>9.3291510674896286E-2</c:v>
                </c:pt>
                <c:pt idx="3">
                  <c:v>9.3522167487684729E-2</c:v>
                </c:pt>
                <c:pt idx="4">
                  <c:v>9.3399332003748475E-2</c:v>
                </c:pt>
                <c:pt idx="5">
                  <c:v>9.3305478616027421E-2</c:v>
                </c:pt>
                <c:pt idx="6">
                  <c:v>9.3394296715196737E-2</c:v>
                </c:pt>
                <c:pt idx="7">
                  <c:v>9.3590497471480669E-2</c:v>
                </c:pt>
                <c:pt idx="8">
                  <c:v>9.3410478945676612E-2</c:v>
                </c:pt>
                <c:pt idx="9">
                  <c:v>9.3447630308404778E-2</c:v>
                </c:pt>
                <c:pt idx="10">
                  <c:v>9.3314840499306537E-2</c:v>
                </c:pt>
                <c:pt idx="11">
                  <c:v>9.3392935893837944E-2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7F6-4107-929F-5EB68637A049}"/>
            </c:ext>
          </c:extLst>
        </c:ser>
        <c:ser>
          <c:idx val="2"/>
          <c:order val="2"/>
          <c:tx>
            <c:v>Overheads</c:v>
          </c:tx>
          <c:spPr>
            <a:solidFill>
              <a:srgbClr val="0F2A47"/>
            </a:solidFill>
            <a:ln>
              <a:noFill/>
            </a:ln>
          </c:spPr>
          <c:invertIfNegative val="0"/>
          <c:cat>
            <c:strRef>
              <c:f>Calc!$D$4:$O$4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Calc!$D$207:$O$207</c:f>
              <c:numCache>
                <c:formatCode>0.0%;\(0.0%\);\-</c:formatCode>
                <c:ptCount val="12"/>
                <c:pt idx="0">
                  <c:v>0.22132293001048092</c:v>
                </c:pt>
                <c:pt idx="1">
                  <c:v>0.21528072108728208</c:v>
                </c:pt>
                <c:pt idx="2">
                  <c:v>0.1931599716685217</c:v>
                </c:pt>
                <c:pt idx="3">
                  <c:v>0.18849753694581281</c:v>
                </c:pt>
                <c:pt idx="4">
                  <c:v>0.18429968522478793</c:v>
                </c:pt>
                <c:pt idx="5">
                  <c:v>0.18043753814374913</c:v>
                </c:pt>
                <c:pt idx="6">
                  <c:v>0.18539285284562629</c:v>
                </c:pt>
                <c:pt idx="7">
                  <c:v>0.18160649182641422</c:v>
                </c:pt>
                <c:pt idx="8">
                  <c:v>0.16582020786456658</c:v>
                </c:pt>
                <c:pt idx="9">
                  <c:v>0.15282293822051435</c:v>
                </c:pt>
                <c:pt idx="10">
                  <c:v>0.14378178455848362</c:v>
                </c:pt>
                <c:pt idx="11">
                  <c:v>0.15617608146574191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7F6-4107-929F-5EB68637A0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50130001"/>
        <c:axId val="50130002"/>
      </c:barChart>
      <c:catAx>
        <c:axId val="50130001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low"/>
        <c:spPr>
          <a:ln>
            <a:solidFill>
              <a:srgbClr val="D5DAE1"/>
            </a:solidFill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130002"/>
        <c:crosses val="autoZero"/>
        <c:auto val="1"/>
        <c:lblAlgn val="ctr"/>
        <c:lblOffset val="100"/>
        <c:noMultiLvlLbl val="0"/>
      </c:catAx>
      <c:valAx>
        <c:axId val="50130002"/>
        <c:scaling>
          <c:orientation val="minMax"/>
        </c:scaling>
        <c:delete val="0"/>
        <c:axPos val="l"/>
        <c:majorGridlines>
          <c:spPr>
            <a:ln w="9525">
              <a:solidFill>
                <a:srgbClr val="E8EBEF"/>
              </a:solidFill>
            </a:ln>
          </c:spPr>
        </c:majorGridlines>
        <c:numFmt formatCode="0%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130001"/>
        <c:crosses val="autoZero"/>
        <c:crossBetween val="between"/>
      </c:valAx>
      <c:spPr>
        <a:noFill/>
      </c:spPr>
    </c:plotArea>
    <c:legend>
      <c:legendPos val="b"/>
      <c:overlay val="0"/>
      <c:txPr>
        <a:bodyPr/>
        <a:lstStyle/>
        <a:p>
          <a:pPr>
            <a:defRPr sz="800" baseline="0">
              <a:solidFill>
                <a:srgbClr val="1F2937"/>
              </a:solidFill>
              <a:latin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>
      <a:solidFill>
        <a:srgbClr val="D5DAE1"/>
      </a:solidFill>
    </a:ln>
  </c:sp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Calc!$B$545</c:f>
          <c:strCache>
            <c:ptCount val="1"/>
            <c:pt idx="0">
              <c:v>Trade and returns rate, % of gross sales</c:v>
            </c:pt>
          </c:strCache>
        </c:strRef>
      </c:tx>
      <c:layout>
        <c:manualLayout>
          <c:xMode val="edge"/>
          <c:yMode val="edge"/>
          <c:x val="0.02"/>
          <c:y val="2.5000000000000001E-2"/>
        </c:manualLayout>
      </c:layout>
      <c:overlay val="0"/>
      <c:txPr>
        <a:bodyPr/>
        <a:lstStyle/>
        <a:p>
          <a:pPr>
            <a:defRPr sz="950" b="1" baseline="0">
              <a:solidFill>
                <a:srgbClr val="0F2A47"/>
              </a:solidFill>
              <a:latin typeface="Arial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Actual / forecast</c:v>
          </c:tx>
          <c:spPr>
            <a:ln w="31750">
              <a:solidFill>
                <a:srgbClr val="0F2A47"/>
              </a:solidFill>
            </a:ln>
          </c:spPr>
          <c:marker>
            <c:symbol val="none"/>
          </c:marker>
          <c:cat>
            <c:strRef>
              <c:f>Calc!$D$4:$O$4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Calc!$D$209:$O$209</c:f>
              <c:numCache>
                <c:formatCode>0.0%;\(0.0%\);\-</c:formatCode>
                <c:ptCount val="12"/>
                <c:pt idx="0">
                  <c:v>0.17571394288456924</c:v>
                </c:pt>
                <c:pt idx="1">
                  <c:v>0.17599534342258438</c:v>
                </c:pt>
                <c:pt idx="2">
                  <c:v>0.17581569894714894</c:v>
                </c:pt>
                <c:pt idx="3">
                  <c:v>0.17581859889161811</c:v>
                </c:pt>
                <c:pt idx="4">
                  <c:v>0.17578674271681222</c:v>
                </c:pt>
                <c:pt idx="5">
                  <c:v>0.17581737279938092</c:v>
                </c:pt>
                <c:pt idx="6">
                  <c:v>0.17572499702463601</c:v>
                </c:pt>
                <c:pt idx="7">
                  <c:v>0.17589020915311404</c:v>
                </c:pt>
                <c:pt idx="8">
                  <c:v>0.17561742571458858</c:v>
                </c:pt>
                <c:pt idx="9">
                  <c:v>0.17585630065125946</c:v>
                </c:pt>
                <c:pt idx="10">
                  <c:v>0.17564827659801516</c:v>
                </c:pt>
                <c:pt idx="11">
                  <c:v>0.17572412881479155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BA4-47F1-8D97-D4130337841B}"/>
            </c:ext>
          </c:extLst>
        </c:ser>
        <c:ser>
          <c:idx val="1"/>
          <c:order val="1"/>
          <c:tx>
            <c:v>Budget</c:v>
          </c:tx>
          <c:spPr>
            <a:ln w="22225">
              <a:solidFill>
                <a:srgbClr val="12808A"/>
              </a:solidFill>
              <a:prstDash val="dash"/>
            </a:ln>
          </c:spPr>
          <c:marker>
            <c:symbol val="none"/>
          </c:marker>
          <c:cat>
            <c:strRef>
              <c:f>Calc!$D$4:$O$4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Calc!$D$234:$O$234</c:f>
              <c:numCache>
                <c:formatCode>0.0%;\(0.0%\);\-</c:formatCode>
                <c:ptCount val="12"/>
                <c:pt idx="0">
                  <c:v>0.17372167973447494</c:v>
                </c:pt>
                <c:pt idx="1">
                  <c:v>0.17387955182072828</c:v>
                </c:pt>
                <c:pt idx="2">
                  <c:v>0.1737713820255227</c:v>
                </c:pt>
                <c:pt idx="3">
                  <c:v>0.17376528764168414</c:v>
                </c:pt>
                <c:pt idx="4">
                  <c:v>0.17371031746031745</c:v>
                </c:pt>
                <c:pt idx="5">
                  <c:v>0.17371864354289251</c:v>
                </c:pt>
                <c:pt idx="6">
                  <c:v>0.17371031746031745</c:v>
                </c:pt>
                <c:pt idx="7">
                  <c:v>0.17371864354289251</c:v>
                </c:pt>
                <c:pt idx="8">
                  <c:v>0.17381565487318779</c:v>
                </c:pt>
                <c:pt idx="9">
                  <c:v>0.1738503652590829</c:v>
                </c:pt>
                <c:pt idx="10">
                  <c:v>0.17380752499427612</c:v>
                </c:pt>
                <c:pt idx="11">
                  <c:v>0.17371823487591556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BA4-47F1-8D97-D4130337841B}"/>
            </c:ext>
          </c:extLst>
        </c:ser>
        <c:ser>
          <c:idx val="2"/>
          <c:order val="2"/>
          <c:tx>
            <c:v>Prior year</c:v>
          </c:tx>
          <c:spPr>
            <a:ln w="19050">
              <a:solidFill>
                <a:srgbClr val="AEB6C1"/>
              </a:solidFill>
            </a:ln>
          </c:spPr>
          <c:marker>
            <c:symbol val="none"/>
          </c:marker>
          <c:cat>
            <c:strRef>
              <c:f>Calc!$D$4:$O$4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Calc!$D$284:$O$284</c:f>
              <c:numCache>
                <c:formatCode>0.0%;\(0.0%\);\-</c:formatCode>
                <c:ptCount val="12"/>
                <c:pt idx="0">
                  <c:v>0.17027288663300283</c:v>
                </c:pt>
                <c:pt idx="1">
                  <c:v>0.17018782333902496</c:v>
                </c:pt>
                <c:pt idx="2">
                  <c:v>0.17025538307461194</c:v>
                </c:pt>
                <c:pt idx="3">
                  <c:v>0.1700968389473452</c:v>
                </c:pt>
                <c:pt idx="4">
                  <c:v>0.17020633034460411</c:v>
                </c:pt>
                <c:pt idx="5">
                  <c:v>0.17036757459478727</c:v>
                </c:pt>
                <c:pt idx="6">
                  <c:v>0.17005541301019861</c:v>
                </c:pt>
                <c:pt idx="7">
                  <c:v>0.17021724486359044</c:v>
                </c:pt>
                <c:pt idx="8">
                  <c:v>0.17023529864828438</c:v>
                </c:pt>
                <c:pt idx="9">
                  <c:v>0.17022137042181706</c:v>
                </c:pt>
                <c:pt idx="10">
                  <c:v>0.17004674996256675</c:v>
                </c:pt>
                <c:pt idx="11">
                  <c:v>0.17008007808969472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BA4-47F1-8D97-D413033784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140001"/>
        <c:axId val="50140002"/>
      </c:lineChart>
      <c:catAx>
        <c:axId val="50140001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low"/>
        <c:spPr>
          <a:ln>
            <a:solidFill>
              <a:srgbClr val="D5DAE1"/>
            </a:solidFill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140002"/>
        <c:crosses val="autoZero"/>
        <c:auto val="1"/>
        <c:lblAlgn val="ctr"/>
        <c:lblOffset val="100"/>
        <c:noMultiLvlLbl val="0"/>
      </c:catAx>
      <c:valAx>
        <c:axId val="50140002"/>
        <c:scaling>
          <c:orientation val="minMax"/>
        </c:scaling>
        <c:delete val="0"/>
        <c:axPos val="l"/>
        <c:majorGridlines>
          <c:spPr>
            <a:ln w="9525">
              <a:solidFill>
                <a:srgbClr val="E8EBEF"/>
              </a:solidFill>
            </a:ln>
          </c:spPr>
        </c:majorGridlines>
        <c:numFmt formatCode="0.0%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140001"/>
        <c:crosses val="autoZero"/>
        <c:crossBetween val="between"/>
      </c:valAx>
      <c:spPr>
        <a:noFill/>
      </c:spPr>
    </c:plotArea>
    <c:legend>
      <c:legendPos val="b"/>
      <c:overlay val="0"/>
      <c:txPr>
        <a:bodyPr/>
        <a:lstStyle/>
        <a:p>
          <a:pPr>
            <a:defRPr sz="800" baseline="0">
              <a:solidFill>
                <a:srgbClr val="1F2937"/>
              </a:solidFill>
              <a:latin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>
      <a:solidFill>
        <a:srgbClr val="D5DAE1"/>
      </a:solidFill>
    </a:ln>
  </c:sp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Calc!$B$546</c:f>
          <c:strCache>
            <c:ptCount val="1"/>
            <c:pt idx="0">
              <c:v>Headcount (FTE) and LTM net revenue per FTE (k)</c:v>
            </c:pt>
          </c:strCache>
        </c:strRef>
      </c:tx>
      <c:layout>
        <c:manualLayout>
          <c:xMode val="edge"/>
          <c:yMode val="edge"/>
          <c:x val="0.02"/>
          <c:y val="2.5000000000000001E-2"/>
        </c:manualLayout>
      </c:layout>
      <c:overlay val="0"/>
      <c:txPr>
        <a:bodyPr/>
        <a:lstStyle/>
        <a:p>
          <a:pPr>
            <a:defRPr sz="950" b="1" baseline="0">
              <a:solidFill>
                <a:srgbClr val="0F2A47"/>
              </a:solidFill>
              <a:latin typeface="Arial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Headcount: actual / forecast</c:v>
          </c:tx>
          <c:spPr>
            <a:ln w="31750">
              <a:solidFill>
                <a:srgbClr val="0F2A47"/>
              </a:solidFill>
            </a:ln>
          </c:spPr>
          <c:marker>
            <c:symbol val="none"/>
          </c:marker>
          <c:cat>
            <c:strRef>
              <c:f>Calc!$D$4:$O$4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Calc!$D$142:$O$142</c:f>
              <c:numCache>
                <c:formatCode>#,##0.00;\(#,##0.00\);\-</c:formatCode>
                <c:ptCount val="12"/>
                <c:pt idx="0">
                  <c:v>1173</c:v>
                </c:pt>
                <c:pt idx="1">
                  <c:v>1176</c:v>
                </c:pt>
                <c:pt idx="2">
                  <c:v>1178</c:v>
                </c:pt>
                <c:pt idx="3">
                  <c:v>1181</c:v>
                </c:pt>
                <c:pt idx="4">
                  <c:v>1184</c:v>
                </c:pt>
                <c:pt idx="5">
                  <c:v>1186</c:v>
                </c:pt>
                <c:pt idx="6">
                  <c:v>1189</c:v>
                </c:pt>
                <c:pt idx="7">
                  <c:v>1192</c:v>
                </c:pt>
                <c:pt idx="8">
                  <c:v>1195</c:v>
                </c:pt>
                <c:pt idx="9">
                  <c:v>1197</c:v>
                </c:pt>
                <c:pt idx="10">
                  <c:v>1200</c:v>
                </c:pt>
                <c:pt idx="11">
                  <c:v>1202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30A-4756-BB92-CACB30A07666}"/>
            </c:ext>
          </c:extLst>
        </c:ser>
        <c:ser>
          <c:idx val="1"/>
          <c:order val="1"/>
          <c:tx>
            <c:v>Headcount: budget</c:v>
          </c:tx>
          <c:spPr>
            <a:ln w="15875">
              <a:solidFill>
                <a:srgbClr val="0F2A47"/>
              </a:solidFill>
              <a:prstDash val="dash"/>
            </a:ln>
          </c:spPr>
          <c:marker>
            <c:symbol val="none"/>
          </c:marker>
          <c:cat>
            <c:strRef>
              <c:f>Calc!$D$4:$O$4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Calc!$D$67:$O$67</c:f>
              <c:numCache>
                <c:formatCode>#,##0.00;\(#,##0.00\);\-</c:formatCode>
                <c:ptCount val="12"/>
                <c:pt idx="0">
                  <c:v>1182</c:v>
                </c:pt>
                <c:pt idx="1">
                  <c:v>1184</c:v>
                </c:pt>
                <c:pt idx="2">
                  <c:v>1185</c:v>
                </c:pt>
                <c:pt idx="3">
                  <c:v>1187</c:v>
                </c:pt>
                <c:pt idx="4">
                  <c:v>1188</c:v>
                </c:pt>
                <c:pt idx="5">
                  <c:v>1190</c:v>
                </c:pt>
                <c:pt idx="6">
                  <c:v>1192</c:v>
                </c:pt>
                <c:pt idx="7">
                  <c:v>1193</c:v>
                </c:pt>
                <c:pt idx="8">
                  <c:v>1195</c:v>
                </c:pt>
                <c:pt idx="9">
                  <c:v>1196</c:v>
                </c:pt>
                <c:pt idx="10">
                  <c:v>1198</c:v>
                </c:pt>
                <c:pt idx="11">
                  <c:v>1200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30A-4756-BB92-CACB30A076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50001"/>
        <c:axId val="50150002"/>
      </c:lineChart>
      <c:lineChart>
        <c:grouping val="standard"/>
        <c:varyColors val="0"/>
        <c:ser>
          <c:idx val="2"/>
          <c:order val="2"/>
          <c:tx>
            <c:v>Net revenue per FTE (k, right)</c:v>
          </c:tx>
          <c:spPr>
            <a:ln w="25400">
              <a:solidFill>
                <a:srgbClr val="12808A"/>
              </a:solidFill>
            </a:ln>
          </c:spPr>
          <c:marker>
            <c:symbol val="none"/>
          </c:marker>
          <c:cat>
            <c:strRef>
              <c:f>Calc!$D$4:$O$4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Calc!$D$213:$O$213</c:f>
              <c:numCache>
                <c:formatCode>#,##0.00;\(#,##0.00\);\-</c:formatCode>
                <c:ptCount val="12"/>
                <c:pt idx="0">
                  <c:v>411.7229326513214</c:v>
                </c:pt>
                <c:pt idx="1">
                  <c:v>413.07908163265301</c:v>
                </c:pt>
                <c:pt idx="2">
                  <c:v>414.99066213921895</c:v>
                </c:pt>
                <c:pt idx="3">
                  <c:v>416.45808636748518</c:v>
                </c:pt>
                <c:pt idx="4">
                  <c:v>418.11402027027015</c:v>
                </c:pt>
                <c:pt idx="5">
                  <c:v>419.968802698145</c:v>
                </c:pt>
                <c:pt idx="6">
                  <c:v>421.48528174936916</c:v>
                </c:pt>
                <c:pt idx="7">
                  <c:v>423.02265100671138</c:v>
                </c:pt>
                <c:pt idx="8">
                  <c:v>424.94979079497904</c:v>
                </c:pt>
                <c:pt idx="9">
                  <c:v>427.2080200501253</c:v>
                </c:pt>
                <c:pt idx="10">
                  <c:v>429.63083333333333</c:v>
                </c:pt>
                <c:pt idx="11">
                  <c:v>432.22212978369379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30A-4756-BB92-CACB30A076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50003"/>
        <c:axId val="50150004"/>
      </c:lineChart>
      <c:catAx>
        <c:axId val="50150001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low"/>
        <c:spPr>
          <a:ln>
            <a:solidFill>
              <a:srgbClr val="D5DAE1"/>
            </a:solidFill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150002"/>
        <c:crosses val="autoZero"/>
        <c:auto val="1"/>
        <c:lblAlgn val="ctr"/>
        <c:lblOffset val="100"/>
        <c:noMultiLvlLbl val="0"/>
      </c:catAx>
      <c:valAx>
        <c:axId val="50150002"/>
        <c:scaling>
          <c:orientation val="minMax"/>
        </c:scaling>
        <c:delete val="0"/>
        <c:axPos val="l"/>
        <c:majorGridlines>
          <c:spPr>
            <a:ln w="9525">
              <a:solidFill>
                <a:srgbClr val="E8EBEF"/>
              </a:solidFill>
            </a:ln>
          </c:spPr>
        </c:majorGridlines>
        <c:numFmt formatCode="#,##0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150001"/>
        <c:crosses val="autoZero"/>
        <c:crossBetween val="between"/>
      </c:valAx>
      <c:valAx>
        <c:axId val="50150004"/>
        <c:scaling>
          <c:orientation val="minMax"/>
        </c:scaling>
        <c:delete val="0"/>
        <c:axPos val="r"/>
        <c:numFmt formatCode="#,##0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150003"/>
        <c:crosses val="max"/>
        <c:crossBetween val="between"/>
      </c:valAx>
      <c:catAx>
        <c:axId val="5015000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50150004"/>
        <c:crosses val="autoZero"/>
        <c:auto val="1"/>
        <c:lblAlgn val="ctr"/>
        <c:lblOffset val="100"/>
        <c:noMultiLvlLbl val="0"/>
      </c:catAx>
      <c:spPr>
        <a:noFill/>
      </c:spPr>
    </c:plotArea>
    <c:legend>
      <c:legendPos val="b"/>
      <c:overlay val="0"/>
      <c:txPr>
        <a:bodyPr/>
        <a:lstStyle/>
        <a:p>
          <a:pPr>
            <a:defRPr sz="800" baseline="0">
              <a:solidFill>
                <a:srgbClr val="1F2937"/>
              </a:solidFill>
              <a:latin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>
      <a:solidFill>
        <a:srgbClr val="D5DAE1"/>
      </a:solidFill>
    </a:ln>
  </c:sp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Calc!$B$547</c:f>
          <c:strCache>
            <c:ptCount val="1"/>
            <c:pt idx="0">
              <c:v>YTD variance to budget by P&amp;L line, $m (positive = favourable)</c:v>
            </c:pt>
          </c:strCache>
        </c:strRef>
      </c:tx>
      <c:layout>
        <c:manualLayout>
          <c:xMode val="edge"/>
          <c:yMode val="edge"/>
          <c:x val="0.02"/>
          <c:y val="2.5000000000000001E-2"/>
        </c:manualLayout>
      </c:layout>
      <c:overlay val="0"/>
      <c:txPr>
        <a:bodyPr/>
        <a:lstStyle/>
        <a:p>
          <a:pPr>
            <a:defRPr sz="950" b="1" baseline="0">
              <a:solidFill>
                <a:srgbClr val="0F2A47"/>
              </a:solidFill>
              <a:latin typeface="Arial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YTD variance</c:v>
          </c:tx>
          <c:spPr>
            <a:solidFill>
              <a:srgbClr val="1E8E5A"/>
            </a:solidFill>
            <a:ln>
              <a:noFill/>
            </a:ln>
          </c:spPr>
          <c:invertIfNegative val="1"/>
          <c:dLbls>
            <c:numFmt formatCode="\+#,##0.0;\-#,##0.0;&quot;–&quot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700" baseline="0">
                    <a:latin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Calc!$A$611:$A$627</c:f>
              <c:strCache>
                <c:ptCount val="17"/>
                <c:pt idx="0">
                  <c:v>Gross sales</c:v>
                </c:pt>
                <c:pt idx="1">
                  <c:v>Trade discounts</c:v>
                </c:pt>
                <c:pt idx="2">
                  <c:v>Returns</c:v>
                </c:pt>
                <c:pt idx="3">
                  <c:v>Material cost</c:v>
                </c:pt>
                <c:pt idx="4">
                  <c:v>Conversion cost</c:v>
                </c:pt>
                <c:pt idx="5">
                  <c:v>Inbound freight</c:v>
                </c:pt>
                <c:pt idx="6">
                  <c:v>Advertising</c:v>
                </c:pt>
                <c:pt idx="7">
                  <c:v>Promotions</c:v>
                </c:pt>
                <c:pt idx="8">
                  <c:v>Outbound logistics</c:v>
                </c:pt>
                <c:pt idx="9">
                  <c:v>Direct selling</c:v>
                </c:pt>
                <c:pt idx="10">
                  <c:v>Personnel</c:v>
                </c:pt>
                <c:pt idx="11">
                  <c:v>Research and development</c:v>
                </c:pt>
                <c:pt idx="12">
                  <c:v>IT and facilities</c:v>
                </c:pt>
                <c:pt idx="13">
                  <c:v>Other admin</c:v>
                </c:pt>
                <c:pt idx="14">
                  <c:v>Depreciation and amortisation</c:v>
                </c:pt>
                <c:pt idx="15">
                  <c:v>Net interest</c:v>
                </c:pt>
                <c:pt idx="16">
                  <c:v>Tax</c:v>
                </c:pt>
              </c:strCache>
            </c:strRef>
          </c:cat>
          <c:val>
            <c:numRef>
              <c:f>Calc!$B$611:$B$627</c:f>
              <c:numCache>
                <c:formatCode>#,##0.00;\(#,##0.00\);\-</c:formatCode>
                <c:ptCount val="17"/>
                <c:pt idx="0">
                  <c:v>0.20999999999997954</c:v>
                </c:pt>
                <c:pt idx="1">
                  <c:v>-0.81200000000001182</c:v>
                </c:pt>
                <c:pt idx="2">
                  <c:v>-0.24999999999999822</c:v>
                </c:pt>
                <c:pt idx="3">
                  <c:v>-1.4120000000000061</c:v>
                </c:pt>
                <c:pt idx="4">
                  <c:v>0.12600000000000477</c:v>
                </c:pt>
                <c:pt idx="5">
                  <c:v>-2.078000000000003</c:v>
                </c:pt>
                <c:pt idx="6">
                  <c:v>1.6959999999999944</c:v>
                </c:pt>
                <c:pt idx="7">
                  <c:v>-0.27000000000000135</c:v>
                </c:pt>
                <c:pt idx="8">
                  <c:v>-1.1580000000000048</c:v>
                </c:pt>
                <c:pt idx="9">
                  <c:v>3.2000000000001805E-2</c:v>
                </c:pt>
                <c:pt idx="10">
                  <c:v>-0.88799999999999812</c:v>
                </c:pt>
                <c:pt idx="11">
                  <c:v>0.19999999999999751</c:v>
                </c:pt>
                <c:pt idx="12">
                  <c:v>0.40000000000000213</c:v>
                </c:pt>
                <c:pt idx="13">
                  <c:v>0.44999999999999574</c:v>
                </c:pt>
                <c:pt idx="14">
                  <c:v>0</c:v>
                </c:pt>
                <c:pt idx="15">
                  <c:v>0</c:v>
                </c:pt>
                <c:pt idx="16">
                  <c:v>0.93200000000000038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C8372D"/>
                  </a:solidFill>
                  <a:ln>
                    <a:noFill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AC57-4C77-925A-5BC03EC7F8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axId val="50160001"/>
        <c:axId val="50160002"/>
      </c:barChart>
      <c:catAx>
        <c:axId val="50160001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low"/>
        <c:spPr>
          <a:ln>
            <a:solidFill>
              <a:srgbClr val="D5DAE1"/>
            </a:solidFill>
          </a:ln>
        </c:spPr>
        <c:txPr>
          <a:bodyPr/>
          <a:lstStyle/>
          <a:p>
            <a:pPr>
              <a:defRPr sz="750" baseline="0">
                <a:solidFill>
                  <a:srgbClr val="1F2937"/>
                </a:solidFill>
                <a:latin typeface="Arial"/>
              </a:defRPr>
            </a:pPr>
            <a:endParaRPr lang="en-US"/>
          </a:p>
        </c:txPr>
        <c:crossAx val="50160002"/>
        <c:crosses val="autoZero"/>
        <c:auto val="1"/>
        <c:lblAlgn val="ctr"/>
        <c:lblOffset val="100"/>
        <c:noMultiLvlLbl val="0"/>
      </c:catAx>
      <c:valAx>
        <c:axId val="50160002"/>
        <c:scaling>
          <c:orientation val="minMax"/>
        </c:scaling>
        <c:delete val="1"/>
        <c:axPos val="b"/>
        <c:numFmt formatCode="#,##0.00;\(#,##0.00\);\-" sourceLinked="1"/>
        <c:majorTickMark val="out"/>
        <c:minorTickMark val="none"/>
        <c:tickLblPos val="nextTo"/>
        <c:crossAx val="50160001"/>
        <c:crosses val="max"/>
        <c:crossBetween val="between"/>
      </c:valAx>
      <c:spPr>
        <a:noFill/>
      </c:spPr>
    </c:plotArea>
    <c:plotVisOnly val="1"/>
    <c:dispBlanksAs val="gap"/>
    <c:showDLblsOverMax val="0"/>
  </c:chart>
  <c:spPr>
    <a:solidFill>
      <a:srgbClr val="FFFFFF"/>
    </a:solidFill>
    <a:ln>
      <a:solidFill>
        <a:srgbClr val="D5DAE1"/>
      </a:solidFill>
    </a:ln>
  </c:sp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Calc!$B$548</c:f>
          <c:strCache>
            <c:ptCount val="1"/>
            <c:pt idx="0">
              <c:v>EBITDA bridge vs budget, $m (axis truncated)</c:v>
            </c:pt>
          </c:strCache>
        </c:strRef>
      </c:tx>
      <c:layout>
        <c:manualLayout>
          <c:xMode val="edge"/>
          <c:yMode val="edge"/>
          <c:x val="0.02"/>
          <c:y val="2.5000000000000001E-2"/>
        </c:manualLayout>
      </c:layout>
      <c:overlay val="0"/>
      <c:txPr>
        <a:bodyPr/>
        <a:lstStyle/>
        <a:p>
          <a:pPr>
            <a:defRPr sz="950" b="1" baseline="0">
              <a:solidFill>
                <a:srgbClr val="0F2A47"/>
              </a:solidFill>
              <a:latin typeface="Arial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v>b</c:v>
          </c:tx>
          <c:spPr>
            <a:noFill/>
            <a:ln>
              <a:noFill/>
            </a:ln>
          </c:spPr>
          <c:invertIfNegative val="0"/>
          <c:cat>
            <c:strRef>
              <c:f>Calc!$A$495:$A$502</c:f>
              <c:strCache>
                <c:ptCount val="8"/>
                <c:pt idx="0">
                  <c:v>Budget</c:v>
                </c:pt>
                <c:pt idx="1">
                  <c:v>Volume</c:v>
                </c:pt>
                <c:pt idx="2">
                  <c:v>Price, mix, trade</c:v>
                </c:pt>
                <c:pt idx="3">
                  <c:v>COGS rate</c:v>
                </c:pt>
                <c:pt idx="4">
                  <c:v>A&amp;P</c:v>
                </c:pt>
                <c:pt idx="5">
                  <c:v>Cost to serve</c:v>
                </c:pt>
                <c:pt idx="6">
                  <c:v>Overheads</c:v>
                </c:pt>
                <c:pt idx="7">
                  <c:v>Actual</c:v>
                </c:pt>
              </c:strCache>
            </c:strRef>
          </c:cat>
          <c:val>
            <c:numRef>
              <c:f>Calc!$F$495:$F$502</c:f>
              <c:numCache>
                <c:formatCode>#,##0.00;\(#,##0.00\);\-</c:formatCode>
                <c:ptCount val="8"/>
                <c:pt idx="0">
                  <c:v>0</c:v>
                </c:pt>
                <c:pt idx="1">
                  <c:v>9.4811570082095358</c:v>
                </c:pt>
                <c:pt idx="2">
                  <c:v>9.4811570082095358</c:v>
                </c:pt>
                <c:pt idx="3">
                  <c:v>6.9211836550930315</c:v>
                </c:pt>
                <c:pt idx="4">
                  <c:v>6.9211836550930315</c:v>
                </c:pt>
                <c:pt idx="5">
                  <c:v>7.2211836550930286</c:v>
                </c:pt>
                <c:pt idx="6">
                  <c:v>7.2211836550930286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5C8-4AD4-8980-AAD876DBA0F5}"/>
            </c:ext>
          </c:extLst>
        </c:ser>
        <c:ser>
          <c:idx val="1"/>
          <c:order val="1"/>
          <c:tx>
            <c:v>Total</c:v>
          </c:tx>
          <c:spPr>
            <a:solidFill>
              <a:srgbClr val="0F2A47"/>
            </a:solidFill>
            <a:ln>
              <a:solidFill>
                <a:srgbClr val="0F2A47"/>
              </a:solidFill>
            </a:ln>
          </c:spPr>
          <c:invertIfNegative val="0"/>
          <c:cat>
            <c:strRef>
              <c:f>Calc!$A$495:$A$502</c:f>
              <c:strCache>
                <c:ptCount val="8"/>
                <c:pt idx="0">
                  <c:v>Budget</c:v>
                </c:pt>
                <c:pt idx="1">
                  <c:v>Volume</c:v>
                </c:pt>
                <c:pt idx="2">
                  <c:v>Price, mix, trade</c:v>
                </c:pt>
                <c:pt idx="3">
                  <c:v>COGS rate</c:v>
                </c:pt>
                <c:pt idx="4">
                  <c:v>A&amp;P</c:v>
                </c:pt>
                <c:pt idx="5">
                  <c:v>Cost to serve</c:v>
                </c:pt>
                <c:pt idx="6">
                  <c:v>Overheads</c:v>
                </c:pt>
                <c:pt idx="7">
                  <c:v>Actual</c:v>
                </c:pt>
              </c:strCache>
            </c:strRef>
          </c:cat>
          <c:val>
            <c:numRef>
              <c:f>Calc!$G$495:$G$502</c:f>
              <c:numCache>
                <c:formatCode>#,##0.00;\(#,##0.00\);\-</c:formatCode>
                <c:ptCount val="8"/>
                <c:pt idx="0">
                  <c:v>11.13718365509304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7.3831836550930348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5C8-4AD4-8980-AAD876DBA0F5}"/>
            </c:ext>
          </c:extLst>
        </c:ser>
        <c:ser>
          <c:idx val="2"/>
          <c:order val="2"/>
          <c:tx>
            <c:v>Favourable</c:v>
          </c:tx>
          <c:spPr>
            <a:solidFill>
              <a:srgbClr val="1E8E5A"/>
            </a:solidFill>
            <a:ln>
              <a:solidFill>
                <a:srgbClr val="1E8E5A"/>
              </a:solidFill>
            </a:ln>
          </c:spPr>
          <c:invertIfNegative val="0"/>
          <c:cat>
            <c:strRef>
              <c:f>Calc!$A$495:$A$502</c:f>
              <c:strCache>
                <c:ptCount val="8"/>
                <c:pt idx="0">
                  <c:v>Budget</c:v>
                </c:pt>
                <c:pt idx="1">
                  <c:v>Volume</c:v>
                </c:pt>
                <c:pt idx="2">
                  <c:v>Price, mix, trade</c:v>
                </c:pt>
                <c:pt idx="3">
                  <c:v>COGS rate</c:v>
                </c:pt>
                <c:pt idx="4">
                  <c:v>A&amp;P</c:v>
                </c:pt>
                <c:pt idx="5">
                  <c:v>Cost to serve</c:v>
                </c:pt>
                <c:pt idx="6">
                  <c:v>Overheads</c:v>
                </c:pt>
                <c:pt idx="7">
                  <c:v>Actual</c:v>
                </c:pt>
              </c:strCache>
            </c:strRef>
          </c:cat>
          <c:val>
            <c:numRef>
              <c:f>Calc!$H$495:$H$502</c:f>
              <c:numCache>
                <c:formatCode>#,##0.00;\(#,##0.00\);\-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2.0541490836121881</c:v>
                </c:pt>
                <c:pt idx="3">
                  <c:v>0</c:v>
                </c:pt>
                <c:pt idx="4">
                  <c:v>1.4259999999999877</c:v>
                </c:pt>
                <c:pt idx="5">
                  <c:v>0</c:v>
                </c:pt>
                <c:pt idx="6">
                  <c:v>0.16200000000002035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C8-4AD4-8980-AAD876DBA0F5}"/>
            </c:ext>
          </c:extLst>
        </c:ser>
        <c:ser>
          <c:idx val="3"/>
          <c:order val="3"/>
          <c:tx>
            <c:v>Unfavourable</c:v>
          </c:tx>
          <c:spPr>
            <a:solidFill>
              <a:srgbClr val="C8372D"/>
            </a:solidFill>
            <a:ln>
              <a:solidFill>
                <a:srgbClr val="C8372D"/>
              </a:solidFill>
            </a:ln>
          </c:spPr>
          <c:invertIfNegative val="0"/>
          <c:cat>
            <c:strRef>
              <c:f>Calc!$A$495:$A$502</c:f>
              <c:strCache>
                <c:ptCount val="8"/>
                <c:pt idx="0">
                  <c:v>Budget</c:v>
                </c:pt>
                <c:pt idx="1">
                  <c:v>Volume</c:v>
                </c:pt>
                <c:pt idx="2">
                  <c:v>Price, mix, trade</c:v>
                </c:pt>
                <c:pt idx="3">
                  <c:v>COGS rate</c:v>
                </c:pt>
                <c:pt idx="4">
                  <c:v>A&amp;P</c:v>
                </c:pt>
                <c:pt idx="5">
                  <c:v>Cost to serve</c:v>
                </c:pt>
                <c:pt idx="6">
                  <c:v>Overheads</c:v>
                </c:pt>
                <c:pt idx="7">
                  <c:v>Actual</c:v>
                </c:pt>
              </c:strCache>
            </c:strRef>
          </c:cat>
          <c:val>
            <c:numRef>
              <c:f>Calc!$I$495:$I$502</c:f>
              <c:numCache>
                <c:formatCode>#,##0.00;\(#,##0.00\);\-</c:formatCode>
                <c:ptCount val="8"/>
                <c:pt idx="0">
                  <c:v>0</c:v>
                </c:pt>
                <c:pt idx="1">
                  <c:v>1.6560266468835039</c:v>
                </c:pt>
                <c:pt idx="2">
                  <c:v>0</c:v>
                </c:pt>
                <c:pt idx="3">
                  <c:v>4.6141224367286924</c:v>
                </c:pt>
                <c:pt idx="4">
                  <c:v>0</c:v>
                </c:pt>
                <c:pt idx="5">
                  <c:v>1.1259999999999906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5C8-4AD4-8980-AAD876DBA0F5}"/>
            </c:ext>
          </c:extLst>
        </c:ser>
        <c:ser>
          <c:idx val="4"/>
          <c:order val="4"/>
          <c:tx>
            <c:v>bn</c:v>
          </c:tx>
          <c:spPr>
            <a:noFill/>
            <a:ln>
              <a:noFill/>
            </a:ln>
          </c:spPr>
          <c:invertIfNegative val="0"/>
          <c:cat>
            <c:strRef>
              <c:f>Calc!$A$495:$A$502</c:f>
              <c:strCache>
                <c:ptCount val="8"/>
                <c:pt idx="0">
                  <c:v>Budget</c:v>
                </c:pt>
                <c:pt idx="1">
                  <c:v>Volume</c:v>
                </c:pt>
                <c:pt idx="2">
                  <c:v>Price, mix, trade</c:v>
                </c:pt>
                <c:pt idx="3">
                  <c:v>COGS rate</c:v>
                </c:pt>
                <c:pt idx="4">
                  <c:v>A&amp;P</c:v>
                </c:pt>
                <c:pt idx="5">
                  <c:v>Cost to serve</c:v>
                </c:pt>
                <c:pt idx="6">
                  <c:v>Overheads</c:v>
                </c:pt>
                <c:pt idx="7">
                  <c:v>Actual</c:v>
                </c:pt>
              </c:strCache>
            </c:strRef>
          </c:cat>
          <c:val>
            <c:numRef>
              <c:f>Calc!$J$495:$J$502</c:f>
              <c:numCache>
                <c:formatCode>#,##0.00;\(#,##0.00\);\-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5C8-4AD4-8980-AAD876DBA0F5}"/>
            </c:ext>
          </c:extLst>
        </c:ser>
        <c:ser>
          <c:idx val="5"/>
          <c:order val="5"/>
          <c:tx>
            <c:v>Total-</c:v>
          </c:tx>
          <c:spPr>
            <a:solidFill>
              <a:srgbClr val="0F2A47"/>
            </a:solidFill>
            <a:ln>
              <a:solidFill>
                <a:srgbClr val="0F2A47"/>
              </a:solidFill>
            </a:ln>
          </c:spPr>
          <c:invertIfNegative val="0"/>
          <c:cat>
            <c:strRef>
              <c:f>Calc!$A$495:$A$502</c:f>
              <c:strCache>
                <c:ptCount val="8"/>
                <c:pt idx="0">
                  <c:v>Budget</c:v>
                </c:pt>
                <c:pt idx="1">
                  <c:v>Volume</c:v>
                </c:pt>
                <c:pt idx="2">
                  <c:v>Price, mix, trade</c:v>
                </c:pt>
                <c:pt idx="3">
                  <c:v>COGS rate</c:v>
                </c:pt>
                <c:pt idx="4">
                  <c:v>A&amp;P</c:v>
                </c:pt>
                <c:pt idx="5">
                  <c:v>Cost to serve</c:v>
                </c:pt>
                <c:pt idx="6">
                  <c:v>Overheads</c:v>
                </c:pt>
                <c:pt idx="7">
                  <c:v>Actual</c:v>
                </c:pt>
              </c:strCache>
            </c:strRef>
          </c:cat>
          <c:val>
            <c:numRef>
              <c:f>Calc!$K$495:$K$502</c:f>
              <c:numCache>
                <c:formatCode>#,##0.00;\(#,##0.00\);\-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5C8-4AD4-8980-AAD876DBA0F5}"/>
            </c:ext>
          </c:extLst>
        </c:ser>
        <c:ser>
          <c:idx val="6"/>
          <c:order val="6"/>
          <c:tx>
            <c:v>Fav-</c:v>
          </c:tx>
          <c:spPr>
            <a:solidFill>
              <a:srgbClr val="1E8E5A"/>
            </a:solidFill>
            <a:ln>
              <a:solidFill>
                <a:srgbClr val="1E8E5A"/>
              </a:solidFill>
            </a:ln>
          </c:spPr>
          <c:invertIfNegative val="0"/>
          <c:cat>
            <c:strRef>
              <c:f>Calc!$A$495:$A$502</c:f>
              <c:strCache>
                <c:ptCount val="8"/>
                <c:pt idx="0">
                  <c:v>Budget</c:v>
                </c:pt>
                <c:pt idx="1">
                  <c:v>Volume</c:v>
                </c:pt>
                <c:pt idx="2">
                  <c:v>Price, mix, trade</c:v>
                </c:pt>
                <c:pt idx="3">
                  <c:v>COGS rate</c:v>
                </c:pt>
                <c:pt idx="4">
                  <c:v>A&amp;P</c:v>
                </c:pt>
                <c:pt idx="5">
                  <c:v>Cost to serve</c:v>
                </c:pt>
                <c:pt idx="6">
                  <c:v>Overheads</c:v>
                </c:pt>
                <c:pt idx="7">
                  <c:v>Actual</c:v>
                </c:pt>
              </c:strCache>
            </c:strRef>
          </c:cat>
          <c:val>
            <c:numRef>
              <c:f>Calc!$L$495:$L$502</c:f>
              <c:numCache>
                <c:formatCode>#,##0.00;\(#,##0.00\);\-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5C8-4AD4-8980-AAD876DBA0F5}"/>
            </c:ext>
          </c:extLst>
        </c:ser>
        <c:ser>
          <c:idx val="7"/>
          <c:order val="7"/>
          <c:tx>
            <c:v>Unfav-</c:v>
          </c:tx>
          <c:spPr>
            <a:solidFill>
              <a:srgbClr val="C8372D"/>
            </a:solidFill>
            <a:ln>
              <a:solidFill>
                <a:srgbClr val="C8372D"/>
              </a:solidFill>
            </a:ln>
          </c:spPr>
          <c:invertIfNegative val="0"/>
          <c:cat>
            <c:strRef>
              <c:f>Calc!$A$495:$A$502</c:f>
              <c:strCache>
                <c:ptCount val="8"/>
                <c:pt idx="0">
                  <c:v>Budget</c:v>
                </c:pt>
                <c:pt idx="1">
                  <c:v>Volume</c:v>
                </c:pt>
                <c:pt idx="2">
                  <c:v>Price, mix, trade</c:v>
                </c:pt>
                <c:pt idx="3">
                  <c:v>COGS rate</c:v>
                </c:pt>
                <c:pt idx="4">
                  <c:v>A&amp;P</c:v>
                </c:pt>
                <c:pt idx="5">
                  <c:v>Cost to serve</c:v>
                </c:pt>
                <c:pt idx="6">
                  <c:v>Overheads</c:v>
                </c:pt>
                <c:pt idx="7">
                  <c:v>Actual</c:v>
                </c:pt>
              </c:strCache>
            </c:strRef>
          </c:cat>
          <c:val>
            <c:numRef>
              <c:f>Calc!$M$495:$M$502</c:f>
              <c:numCache>
                <c:formatCode>#,##0.00;\(#,##0.00\);\-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5C8-4AD4-8980-AAD876DBA0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5"/>
        <c:overlap val="100"/>
        <c:axId val="50170001"/>
        <c:axId val="50170002"/>
      </c:barChart>
      <c:lineChart>
        <c:grouping val="standard"/>
        <c:varyColors val="0"/>
        <c:ser>
          <c:idx val="8"/>
          <c:order val="8"/>
          <c:tx>
            <c:v>lbl</c:v>
          </c:tx>
          <c:spPr>
            <a:ln>
              <a:noFill/>
            </a:ln>
          </c:spPr>
          <c:marker>
            <c:symbol val="none"/>
          </c:marker>
          <c:dLbls>
            <c:dLbl>
              <c:idx val="0"/>
              <c:tx>
                <c:strRef>
                  <c:f>Calc!$O$495</c:f>
                  <c:strCache>
                    <c:ptCount val="1"/>
                    <c:pt idx="0">
                      <c:v>85.6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{9C8055FA-7B19-4406-8217-B61BC2666474}</c15:txfldGUID>
                      <c15:f>Calc!$O$495</c15:f>
                      <c15:dlblFieldTableCache>
                        <c:ptCount val="1"/>
                        <c:pt idx="0">
                          <c:v>85.6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8-15C8-4AD4-8980-AAD876DBA0F5}"/>
                </c:ext>
              </c:extLst>
            </c:dLbl>
            <c:dLbl>
              <c:idx val="1"/>
              <c:tx>
                <c:strRef>
                  <c:f>Calc!$O$496</c:f>
                  <c:strCache>
                    <c:ptCount val="1"/>
                    <c:pt idx="0">
                      <c:v>-1.7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{E9F70E06-2FBA-48F4-8DCC-963295363E8A}</c15:txfldGUID>
                      <c15:f>Calc!$O$496</c15:f>
                      <c15:dlblFieldTableCache>
                        <c:ptCount val="1"/>
                        <c:pt idx="0">
                          <c:v>-1.7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15C8-4AD4-8980-AAD876DBA0F5}"/>
                </c:ext>
              </c:extLst>
            </c:dLbl>
            <c:dLbl>
              <c:idx val="2"/>
              <c:tx>
                <c:strRef>
                  <c:f>Calc!$O$497</c:f>
                  <c:strCache>
                    <c:ptCount val="1"/>
                    <c:pt idx="0">
                      <c:v>+2.1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{92BF79E7-B02E-4821-A4E8-6B45DEBA4B0C}</c15:txfldGUID>
                      <c15:f>Calc!$O$497</c15:f>
                      <c15:dlblFieldTableCache>
                        <c:ptCount val="1"/>
                        <c:pt idx="0">
                          <c:v>+2.1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A-15C8-4AD4-8980-AAD876DBA0F5}"/>
                </c:ext>
              </c:extLst>
            </c:dLbl>
            <c:dLbl>
              <c:idx val="3"/>
              <c:tx>
                <c:strRef>
                  <c:f>Calc!$O$498</c:f>
                  <c:strCache>
                    <c:ptCount val="1"/>
                    <c:pt idx="0">
                      <c:v>-4.6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{442AA0D7-9C2D-4549-8A95-625525522010}</c15:txfldGUID>
                      <c15:f>Calc!$O$498</c15:f>
                      <c15:dlblFieldTableCache>
                        <c:ptCount val="1"/>
                        <c:pt idx="0">
                          <c:v>-4.6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B-15C8-4AD4-8980-AAD876DBA0F5}"/>
                </c:ext>
              </c:extLst>
            </c:dLbl>
            <c:dLbl>
              <c:idx val="4"/>
              <c:tx>
                <c:strRef>
                  <c:f>Calc!$O$499</c:f>
                  <c:strCache>
                    <c:ptCount val="1"/>
                    <c:pt idx="0">
                      <c:v>+1.4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{CE83971B-9FA5-4C1F-A01A-55A3BF7AE8B7}</c15:txfldGUID>
                      <c15:f>Calc!$O$499</c15:f>
                      <c15:dlblFieldTableCache>
                        <c:ptCount val="1"/>
                        <c:pt idx="0">
                          <c:v>+1.4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C-15C8-4AD4-8980-AAD876DBA0F5}"/>
                </c:ext>
              </c:extLst>
            </c:dLbl>
            <c:dLbl>
              <c:idx val="5"/>
              <c:tx>
                <c:strRef>
                  <c:f>Calc!$O$500</c:f>
                  <c:strCache>
                    <c:ptCount val="1"/>
                    <c:pt idx="0">
                      <c:v>-1.1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{1B5C9D34-7DAA-4FA3-B056-51E965F1F065}</c15:txfldGUID>
                      <c15:f>Calc!$O$500</c15:f>
                      <c15:dlblFieldTableCache>
                        <c:ptCount val="1"/>
                        <c:pt idx="0">
                          <c:v>-1.1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D-15C8-4AD4-8980-AAD876DBA0F5}"/>
                </c:ext>
              </c:extLst>
            </c:dLbl>
            <c:dLbl>
              <c:idx val="6"/>
              <c:tx>
                <c:strRef>
                  <c:f>Calc!$O$501</c:f>
                  <c:strCache>
                    <c:ptCount val="1"/>
                    <c:pt idx="0">
                      <c:v>+0.2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{0BA7A303-8543-42FF-BD53-BE27676C13A5}</c15:txfldGUID>
                      <c15:f>Calc!$O$501</c15:f>
                      <c15:dlblFieldTableCache>
                        <c:ptCount val="1"/>
                        <c:pt idx="0">
                          <c:v>+0.2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E-15C8-4AD4-8980-AAD876DBA0F5}"/>
                </c:ext>
              </c:extLst>
            </c:dLbl>
            <c:dLbl>
              <c:idx val="7"/>
              <c:tx>
                <c:strRef>
                  <c:f>Calc!$O$502</c:f>
                  <c:strCache>
                    <c:ptCount val="1"/>
                    <c:pt idx="0">
                      <c:v>81.8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{9F777E09-4D98-4A82-8C79-981F147E28CD}</c15:txfldGUID>
                      <c15:f>Calc!$O$502</c15:f>
                      <c15:dlblFieldTableCache>
                        <c:ptCount val="1"/>
                        <c:pt idx="0">
                          <c:v>81.8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F-15C8-4AD4-8980-AAD876DBA0F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 baseline="0">
                    <a:solidFill>
                      <a:srgbClr val="1F2937"/>
                    </a:solidFill>
                    <a:latin typeface="Arial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Calc!$A$495:$A$502</c:f>
              <c:strCache>
                <c:ptCount val="8"/>
                <c:pt idx="0">
                  <c:v>Budget</c:v>
                </c:pt>
                <c:pt idx="1">
                  <c:v>Volume</c:v>
                </c:pt>
                <c:pt idx="2">
                  <c:v>Price, mix, trade</c:v>
                </c:pt>
                <c:pt idx="3">
                  <c:v>COGS rate</c:v>
                </c:pt>
                <c:pt idx="4">
                  <c:v>A&amp;P</c:v>
                </c:pt>
                <c:pt idx="5">
                  <c:v>Cost to serve</c:v>
                </c:pt>
                <c:pt idx="6">
                  <c:v>Overheads</c:v>
                </c:pt>
                <c:pt idx="7">
                  <c:v>Actual</c:v>
                </c:pt>
              </c:strCache>
            </c:strRef>
          </c:cat>
          <c:val>
            <c:numRef>
              <c:f>Calc!$N$495:$N$502</c:f>
              <c:numCache>
                <c:formatCode>#,##0.00;\(#,##0.00\);\-</c:formatCode>
                <c:ptCount val="8"/>
                <c:pt idx="0">
                  <c:v>11.13718365509304</c:v>
                </c:pt>
                <c:pt idx="1">
                  <c:v>11.13718365509304</c:v>
                </c:pt>
                <c:pt idx="2">
                  <c:v>11.535306091821724</c:v>
                </c:pt>
                <c:pt idx="3">
                  <c:v>11.535306091821724</c:v>
                </c:pt>
                <c:pt idx="4">
                  <c:v>8.3471836550930192</c:v>
                </c:pt>
                <c:pt idx="5">
                  <c:v>8.3471836550930192</c:v>
                </c:pt>
                <c:pt idx="6">
                  <c:v>7.383183655093049</c:v>
                </c:pt>
                <c:pt idx="7">
                  <c:v>7.3831836550930348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15C8-4AD4-8980-AAD876DBA0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70001"/>
        <c:axId val="50170002"/>
      </c:lineChart>
      <c:catAx>
        <c:axId val="50170001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low"/>
        <c:spPr>
          <a:ln>
            <a:solidFill>
              <a:srgbClr val="D5DAE1"/>
            </a:solidFill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170002"/>
        <c:crosses val="autoZero"/>
        <c:auto val="1"/>
        <c:lblAlgn val="ctr"/>
        <c:lblOffset val="100"/>
        <c:noMultiLvlLbl val="0"/>
      </c:catAx>
      <c:valAx>
        <c:axId val="50170002"/>
        <c:scaling>
          <c:orientation val="minMax"/>
        </c:scaling>
        <c:delete val="1"/>
        <c:axPos val="l"/>
        <c:numFmt formatCode="#,##0.00;\(#,##0.00\);\-" sourceLinked="1"/>
        <c:majorTickMark val="none"/>
        <c:minorTickMark val="none"/>
        <c:tickLblPos val="nextTo"/>
        <c:crossAx val="50170001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solidFill>
      <a:srgbClr val="FFFFFF"/>
    </a:solidFill>
    <a:ln>
      <a:solidFill>
        <a:srgbClr val="D5DAE1"/>
      </a:solidFill>
    </a:ln>
  </c:sp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Calc!$B$549</c:f>
          <c:strCache>
            <c:ptCount val="1"/>
            <c:pt idx="0">
              <c:v>EBITDA variance to budget by month, $m (open months use forecast)</c:v>
            </c:pt>
          </c:strCache>
        </c:strRef>
      </c:tx>
      <c:layout>
        <c:manualLayout>
          <c:xMode val="edge"/>
          <c:yMode val="edge"/>
          <c:x val="0.02"/>
          <c:y val="2.5000000000000001E-2"/>
        </c:manualLayout>
      </c:layout>
      <c:overlay val="0"/>
      <c:txPr>
        <a:bodyPr/>
        <a:lstStyle/>
        <a:p>
          <a:pPr>
            <a:defRPr sz="950" b="1" baseline="0">
              <a:solidFill>
                <a:srgbClr val="0F2A47"/>
              </a:solidFill>
              <a:latin typeface="Arial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EBITDA variance</c:v>
          </c:tx>
          <c:spPr>
            <a:solidFill>
              <a:srgbClr val="1E8E5A"/>
            </a:solidFill>
            <a:ln>
              <a:noFill/>
            </a:ln>
          </c:spPr>
          <c:invertIfNegative val="1"/>
          <c:dLbls>
            <c:numFmt formatCode="\+#,##0.0;\-#,##0.0;&quot;–&quot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aseline="0">
                    <a:latin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Calc!$D$4:$O$4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Calc!$D$296:$O$296</c:f>
              <c:numCache>
                <c:formatCode>#,##0.00;\(#,##0.00\);\-</c:formatCode>
                <c:ptCount val="12"/>
                <c:pt idx="0">
                  <c:v>-0.27599999999999891</c:v>
                </c:pt>
                <c:pt idx="1">
                  <c:v>-0.27800000000000669</c:v>
                </c:pt>
                <c:pt idx="2">
                  <c:v>-0.32099999999999085</c:v>
                </c:pt>
                <c:pt idx="3">
                  <c:v>-0.3500000000000032</c:v>
                </c:pt>
                <c:pt idx="4">
                  <c:v>-0.34199999999998987</c:v>
                </c:pt>
                <c:pt idx="5">
                  <c:v>-0.3840000000000181</c:v>
                </c:pt>
                <c:pt idx="6">
                  <c:v>-0.36899999999999977</c:v>
                </c:pt>
                <c:pt idx="7">
                  <c:v>-0.43300000000001404</c:v>
                </c:pt>
                <c:pt idx="8">
                  <c:v>-0.45999999999998664</c:v>
                </c:pt>
                <c:pt idx="9">
                  <c:v>-0.54100000000000037</c:v>
                </c:pt>
                <c:pt idx="10">
                  <c:v>-0.4360000000000106</c:v>
                </c:pt>
                <c:pt idx="11">
                  <c:v>-0.43999999999999417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C8372D"/>
                  </a:solidFill>
                  <a:ln>
                    <a:noFill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D367-409B-B5C7-A3E6CE8905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5"/>
        <c:axId val="50180001"/>
        <c:axId val="50180002"/>
      </c:barChart>
      <c:catAx>
        <c:axId val="50180001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low"/>
        <c:spPr>
          <a:ln>
            <a:solidFill>
              <a:srgbClr val="D5DAE1"/>
            </a:solidFill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180002"/>
        <c:crosses val="autoZero"/>
        <c:auto val="1"/>
        <c:lblAlgn val="ctr"/>
        <c:lblOffset val="100"/>
        <c:noMultiLvlLbl val="0"/>
      </c:catAx>
      <c:valAx>
        <c:axId val="50180002"/>
        <c:scaling>
          <c:orientation val="minMax"/>
        </c:scaling>
        <c:delete val="1"/>
        <c:axPos val="l"/>
        <c:numFmt formatCode="#,##0.00;\(#,##0.00\);\-" sourceLinked="1"/>
        <c:majorTickMark val="none"/>
        <c:minorTickMark val="none"/>
        <c:tickLblPos val="nextTo"/>
        <c:crossAx val="50180001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solidFill>
      <a:srgbClr val="FFFFFF"/>
    </a:solidFill>
    <a:ln>
      <a:solidFill>
        <a:srgbClr val="D5DAE1"/>
      </a:solidFill>
    </a:ln>
  </c:sp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Calc!$B$550</c:f>
          <c:strCache>
            <c:ptCount val="1"/>
            <c:pt idx="0">
              <c:v>Net revenue by channel, $m (YTD Oct 2026)</c:v>
            </c:pt>
          </c:strCache>
        </c:strRef>
      </c:tx>
      <c:layout>
        <c:manualLayout>
          <c:xMode val="edge"/>
          <c:yMode val="edge"/>
          <c:x val="0.02"/>
          <c:y val="2.5000000000000001E-2"/>
        </c:manualLayout>
      </c:layout>
      <c:overlay val="0"/>
      <c:txPr>
        <a:bodyPr/>
        <a:lstStyle/>
        <a:p>
          <a:pPr>
            <a:defRPr sz="950" b="1" baseline="0">
              <a:solidFill>
                <a:srgbClr val="0F2A47"/>
              </a:solidFill>
              <a:latin typeface="Arial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Actual</c:v>
          </c:tx>
          <c:spPr>
            <a:solidFill>
              <a:srgbClr val="0F2A47"/>
            </a:solidFill>
            <a:ln>
              <a:solidFill>
                <a:srgbClr val="0F2A47"/>
              </a:solidFill>
            </a:ln>
          </c:spPr>
          <c:invertIfNegative val="0"/>
          <c:cat>
            <c:strRef>
              <c:f>Channel!$B$14:$B$19</c:f>
              <c:strCache>
                <c:ptCount val="6"/>
                <c:pt idx="0">
                  <c:v>Hypermarkets</c:v>
                </c:pt>
                <c:pt idx="1">
                  <c:v>Supermarkets</c:v>
                </c:pt>
                <c:pt idx="2">
                  <c:v>Marketplaces</c:v>
                </c:pt>
                <c:pt idx="3">
                  <c:v>Discounters</c:v>
                </c:pt>
                <c:pt idx="4">
                  <c:v>Distributors</c:v>
                </c:pt>
                <c:pt idx="5">
                  <c:v>Direct to Consumer</c:v>
                </c:pt>
              </c:strCache>
            </c:strRef>
          </c:cat>
          <c:val>
            <c:numRef>
              <c:f>Channel!$E$14:$E$19</c:f>
              <c:numCache>
                <c:formatCode>#,##0.0;\(#,##0.0\);"–"</c:formatCode>
                <c:ptCount val="6"/>
                <c:pt idx="0">
                  <c:v>114.25700000000001</c:v>
                </c:pt>
                <c:pt idx="1">
                  <c:v>100.114</c:v>
                </c:pt>
                <c:pt idx="2">
                  <c:v>74.471000000000004</c:v>
                </c:pt>
                <c:pt idx="3">
                  <c:v>51.363</c:v>
                </c:pt>
                <c:pt idx="4">
                  <c:v>45.908999999999999</c:v>
                </c:pt>
                <c:pt idx="5">
                  <c:v>29.456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DF1-46B6-9CC0-C6FE5ECB1D85}"/>
            </c:ext>
          </c:extLst>
        </c:ser>
        <c:ser>
          <c:idx val="1"/>
          <c:order val="1"/>
          <c:tx>
            <c:v>Forecast</c:v>
          </c:tx>
          <c:spPr>
            <a:pattFill prst="wdUpDiag">
              <a:fgClr>
                <a:srgbClr val="0F2A47"/>
              </a:fgClr>
              <a:bgClr>
                <a:srgbClr val="FFFFFF"/>
              </a:bgClr>
            </a:pattFill>
            <a:ln>
              <a:solidFill>
                <a:srgbClr val="0F2A47"/>
              </a:solidFill>
            </a:ln>
          </c:spPr>
          <c:invertIfNegative val="0"/>
          <c:cat>
            <c:strRef>
              <c:f>Channel!$B$14:$B$19</c:f>
              <c:strCache>
                <c:ptCount val="6"/>
                <c:pt idx="0">
                  <c:v>Hypermarkets</c:v>
                </c:pt>
                <c:pt idx="1">
                  <c:v>Supermarkets</c:v>
                </c:pt>
                <c:pt idx="2">
                  <c:v>Marketplaces</c:v>
                </c:pt>
                <c:pt idx="3">
                  <c:v>Discounters</c:v>
                </c:pt>
                <c:pt idx="4">
                  <c:v>Distributors</c:v>
                </c:pt>
                <c:pt idx="5">
                  <c:v>Direct to Consumer</c:v>
                </c:pt>
              </c:strCache>
            </c:strRef>
          </c:cat>
          <c:val>
            <c:numRef>
              <c:f>Calc!$B$575:$B$580</c:f>
              <c:numCache>
                <c:formatCode>#,##0.00;\(#,##0.00\);\-</c:formatCode>
                <c:ptCount val="6"/>
                <c:pt idx="0">
                  <c:v>115.649</c:v>
                </c:pt>
                <c:pt idx="1">
                  <c:v>100.496</c:v>
                </c:pt>
                <c:pt idx="2">
                  <c:v>72.897000000000006</c:v>
                </c:pt>
                <c:pt idx="3">
                  <c:v>52.261000000000003</c:v>
                </c:pt>
                <c:pt idx="4">
                  <c:v>45.652000000000001</c:v>
                </c:pt>
                <c:pt idx="5">
                  <c:v>29.052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DF1-46B6-9CC0-C6FE5ECB1D85}"/>
            </c:ext>
          </c:extLst>
        </c:ser>
        <c:ser>
          <c:idx val="2"/>
          <c:order val="2"/>
          <c:tx>
            <c:v>Budget</c:v>
          </c:tx>
          <c:spPr>
            <a:solidFill>
              <a:srgbClr val="FFFFFF"/>
            </a:solidFill>
            <a:ln w="15875">
              <a:solidFill>
                <a:srgbClr val="0F2A47"/>
              </a:solidFill>
            </a:ln>
          </c:spPr>
          <c:invertIfNegative val="0"/>
          <c:cat>
            <c:strRef>
              <c:f>Channel!$B$14:$B$19</c:f>
              <c:strCache>
                <c:ptCount val="6"/>
                <c:pt idx="0">
                  <c:v>Hypermarkets</c:v>
                </c:pt>
                <c:pt idx="1">
                  <c:v>Supermarkets</c:v>
                </c:pt>
                <c:pt idx="2">
                  <c:v>Marketplaces</c:v>
                </c:pt>
                <c:pt idx="3">
                  <c:v>Discounters</c:v>
                </c:pt>
                <c:pt idx="4">
                  <c:v>Distributors</c:v>
                </c:pt>
                <c:pt idx="5">
                  <c:v>Direct to Consumer</c:v>
                </c:pt>
              </c:strCache>
            </c:strRef>
          </c:cat>
          <c:val>
            <c:numRef>
              <c:f>Channel!$F$14:$F$19</c:f>
              <c:numCache>
                <c:formatCode>#,##0.0;\(#,##0.0\);"–"</c:formatCode>
                <c:ptCount val="6"/>
                <c:pt idx="0">
                  <c:v>120.205</c:v>
                </c:pt>
                <c:pt idx="1">
                  <c:v>100.15</c:v>
                </c:pt>
                <c:pt idx="2">
                  <c:v>68.543000000000006</c:v>
                </c:pt>
                <c:pt idx="3">
                  <c:v>54.338000000000001</c:v>
                </c:pt>
                <c:pt idx="4">
                  <c:v>45.360999999999997</c:v>
                </c:pt>
                <c:pt idx="5">
                  <c:v>27.824999999999999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DF1-46B6-9CC0-C6FE5ECB1D85}"/>
            </c:ext>
          </c:extLst>
        </c:ser>
        <c:ser>
          <c:idx val="3"/>
          <c:order val="3"/>
          <c:tx>
            <c:v>Prior year</c:v>
          </c:tx>
          <c:spPr>
            <a:solidFill>
              <a:srgbClr val="AEB6C1"/>
            </a:solidFill>
            <a:ln>
              <a:solidFill>
                <a:srgbClr val="AEB6C1"/>
              </a:solidFill>
            </a:ln>
          </c:spPr>
          <c:invertIfNegative val="0"/>
          <c:cat>
            <c:strRef>
              <c:f>Channel!$B$14:$B$19</c:f>
              <c:strCache>
                <c:ptCount val="6"/>
                <c:pt idx="0">
                  <c:v>Hypermarkets</c:v>
                </c:pt>
                <c:pt idx="1">
                  <c:v>Supermarkets</c:v>
                </c:pt>
                <c:pt idx="2">
                  <c:v>Marketplaces</c:v>
                </c:pt>
                <c:pt idx="3">
                  <c:v>Discounters</c:v>
                </c:pt>
                <c:pt idx="4">
                  <c:v>Distributors</c:v>
                </c:pt>
                <c:pt idx="5">
                  <c:v>Direct to Consumer</c:v>
                </c:pt>
              </c:strCache>
            </c:strRef>
          </c:cat>
          <c:val>
            <c:numRef>
              <c:f>Calc!$C$575:$C$580</c:f>
              <c:numCache>
                <c:formatCode>#,##0.00;\(#,##0.00\);\-</c:formatCode>
                <c:ptCount val="6"/>
                <c:pt idx="0">
                  <c:v>112.702</c:v>
                </c:pt>
                <c:pt idx="1">
                  <c:v>94.081999999999994</c:v>
                </c:pt>
                <c:pt idx="2">
                  <c:v>58.344000000000001</c:v>
                </c:pt>
                <c:pt idx="3">
                  <c:v>51.155999999999999</c:v>
                </c:pt>
                <c:pt idx="4">
                  <c:v>42.167999999999999</c:v>
                </c:pt>
                <c:pt idx="5">
                  <c:v>26.065999999999999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DF1-46B6-9CC0-C6FE5ECB1D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-5"/>
        <c:axId val="50190001"/>
        <c:axId val="50190002"/>
      </c:barChart>
      <c:catAx>
        <c:axId val="5019000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ln>
            <a:solidFill>
              <a:srgbClr val="D5DAE1"/>
            </a:solidFill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190002"/>
        <c:crosses val="autoZero"/>
        <c:auto val="1"/>
        <c:lblAlgn val="ctr"/>
        <c:lblOffset val="100"/>
        <c:noMultiLvlLbl val="0"/>
      </c:catAx>
      <c:valAx>
        <c:axId val="50190002"/>
        <c:scaling>
          <c:orientation val="minMax"/>
        </c:scaling>
        <c:delete val="0"/>
        <c:axPos val="l"/>
        <c:majorGridlines>
          <c:spPr>
            <a:ln w="9525">
              <a:solidFill>
                <a:srgbClr val="E8EBEF"/>
              </a:solidFill>
            </a:ln>
          </c:spPr>
        </c:majorGridlines>
        <c:numFmt formatCode="#,##0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190001"/>
        <c:crosses val="autoZero"/>
        <c:crossBetween val="between"/>
      </c:valAx>
      <c:spPr>
        <a:noFill/>
      </c:spPr>
    </c:plotArea>
    <c:legend>
      <c:legendPos val="b"/>
      <c:overlay val="0"/>
      <c:txPr>
        <a:bodyPr/>
        <a:lstStyle/>
        <a:p>
          <a:pPr>
            <a:defRPr sz="800" baseline="0">
              <a:solidFill>
                <a:srgbClr val="1F2937"/>
              </a:solidFill>
              <a:latin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>
      <a:solidFill>
        <a:srgbClr val="D5DAE1"/>
      </a:solidFill>
    </a:ln>
  </c:sp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Calc!$B$551</c:f>
          <c:strCache>
            <c:ptCount val="1"/>
            <c:pt idx="0">
              <c:v>Net revenue variance to budget by channel, $m</c:v>
            </c:pt>
          </c:strCache>
        </c:strRef>
      </c:tx>
      <c:layout>
        <c:manualLayout>
          <c:xMode val="edge"/>
          <c:yMode val="edge"/>
          <c:x val="0.02"/>
          <c:y val="2.5000000000000001E-2"/>
        </c:manualLayout>
      </c:layout>
      <c:overlay val="0"/>
      <c:txPr>
        <a:bodyPr/>
        <a:lstStyle/>
        <a:p>
          <a:pPr>
            <a:defRPr sz="950" b="1" baseline="0">
              <a:solidFill>
                <a:srgbClr val="0F2A47"/>
              </a:solidFill>
              <a:latin typeface="Arial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Var vs budget</c:v>
          </c:tx>
          <c:spPr>
            <a:solidFill>
              <a:srgbClr val="1E8E5A"/>
            </a:solidFill>
            <a:ln>
              <a:noFill/>
            </a:ln>
          </c:spPr>
          <c:invertIfNegative val="1"/>
          <c:dLbls>
            <c:numFmt formatCode="\+#,##0.0;\-#,##0.0;&quot;–&quot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aseline="0">
                    <a:latin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Channel!$B$14:$B$19</c:f>
              <c:strCache>
                <c:ptCount val="6"/>
                <c:pt idx="0">
                  <c:v>Hypermarkets</c:v>
                </c:pt>
                <c:pt idx="1">
                  <c:v>Supermarkets</c:v>
                </c:pt>
                <c:pt idx="2">
                  <c:v>Marketplaces</c:v>
                </c:pt>
                <c:pt idx="3">
                  <c:v>Discounters</c:v>
                </c:pt>
                <c:pt idx="4">
                  <c:v>Distributors</c:v>
                </c:pt>
                <c:pt idx="5">
                  <c:v>Direct to Consumer</c:v>
                </c:pt>
              </c:strCache>
            </c:strRef>
          </c:cat>
          <c:val>
            <c:numRef>
              <c:f>Channel!$G$14:$G$19</c:f>
              <c:numCache>
                <c:formatCode>\+#,##0.0;\-#,##0.0;"–"</c:formatCode>
                <c:ptCount val="6"/>
                <c:pt idx="0">
                  <c:v>-5.9479999999999933</c:v>
                </c:pt>
                <c:pt idx="1">
                  <c:v>-3.6000000000001364E-2</c:v>
                </c:pt>
                <c:pt idx="2">
                  <c:v>5.9279999999999973</c:v>
                </c:pt>
                <c:pt idx="3">
                  <c:v>-2.9750000000000014</c:v>
                </c:pt>
                <c:pt idx="4">
                  <c:v>0.54800000000000182</c:v>
                </c:pt>
                <c:pt idx="5">
                  <c:v>1.6310000000000002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C8372D"/>
                  </a:solidFill>
                  <a:ln>
                    <a:noFill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754B-4C7F-B064-20935E3DF1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5"/>
        <c:axId val="50200001"/>
        <c:axId val="50200002"/>
      </c:barChart>
      <c:catAx>
        <c:axId val="50200001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low"/>
        <c:spPr>
          <a:ln>
            <a:solidFill>
              <a:srgbClr val="D5DAE1"/>
            </a:solidFill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200002"/>
        <c:crosses val="autoZero"/>
        <c:auto val="1"/>
        <c:lblAlgn val="ctr"/>
        <c:lblOffset val="100"/>
        <c:noMultiLvlLbl val="0"/>
      </c:catAx>
      <c:valAx>
        <c:axId val="50200002"/>
        <c:scaling>
          <c:orientation val="minMax"/>
        </c:scaling>
        <c:delete val="1"/>
        <c:axPos val="b"/>
        <c:numFmt formatCode="\+#,##0.0;\-#,##0.0;&quot;–&quot;" sourceLinked="1"/>
        <c:majorTickMark val="out"/>
        <c:minorTickMark val="none"/>
        <c:tickLblPos val="nextTo"/>
        <c:crossAx val="50200001"/>
        <c:crosses val="max"/>
        <c:crossBetween val="between"/>
      </c:valAx>
      <c:spPr>
        <a:noFill/>
      </c:spPr>
    </c:plotArea>
    <c:plotVisOnly val="1"/>
    <c:dispBlanksAs val="gap"/>
    <c:showDLblsOverMax val="0"/>
  </c:chart>
  <c:spPr>
    <a:solidFill>
      <a:srgbClr val="FFFFFF"/>
    </a:solidFill>
    <a:ln>
      <a:solidFill>
        <a:srgbClr val="D5DAE1"/>
      </a:solidFill>
    </a:ln>
  </c:sp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Calc!$B$552</c:f>
          <c:strCache>
            <c:ptCount val="1"/>
            <c:pt idx="0">
              <c:v>Contribution margin % by channel: actual vs budget</c:v>
            </c:pt>
          </c:strCache>
        </c:strRef>
      </c:tx>
      <c:layout>
        <c:manualLayout>
          <c:xMode val="edge"/>
          <c:yMode val="edge"/>
          <c:x val="0.02"/>
          <c:y val="2.5000000000000001E-2"/>
        </c:manualLayout>
      </c:layout>
      <c:overlay val="0"/>
      <c:txPr>
        <a:bodyPr/>
        <a:lstStyle/>
        <a:p>
          <a:pPr>
            <a:defRPr sz="950" b="1" baseline="0">
              <a:solidFill>
                <a:srgbClr val="0F2A47"/>
              </a:solidFill>
              <a:latin typeface="Arial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CM %</c:v>
          </c:tx>
          <c:spPr>
            <a:solidFill>
              <a:srgbClr val="0F2A47"/>
            </a:solidFill>
            <a:ln>
              <a:solidFill>
                <a:srgbClr val="0F2A47"/>
              </a:solidFill>
            </a:ln>
          </c:spPr>
          <c:invertIfNegative val="0"/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 baseline="0">
                    <a:solidFill>
                      <a:srgbClr val="FFFFFF"/>
                    </a:solidFill>
                    <a:latin typeface="Arial"/>
                  </a:defRPr>
                </a:pPr>
                <a:endParaRPr lang="en-US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Channel!$B$14:$B$19</c:f>
              <c:strCache>
                <c:ptCount val="6"/>
                <c:pt idx="0">
                  <c:v>Hypermarkets</c:v>
                </c:pt>
                <c:pt idx="1">
                  <c:v>Supermarkets</c:v>
                </c:pt>
                <c:pt idx="2">
                  <c:v>Marketplaces</c:v>
                </c:pt>
                <c:pt idx="3">
                  <c:v>Discounters</c:v>
                </c:pt>
                <c:pt idx="4">
                  <c:v>Distributors</c:v>
                </c:pt>
                <c:pt idx="5">
                  <c:v>Direct to Consumer</c:v>
                </c:pt>
              </c:strCache>
            </c:strRef>
          </c:cat>
          <c:val>
            <c:numRef>
              <c:f>Channel!$R$14:$R$19</c:f>
              <c:numCache>
                <c:formatCode>0.0%;\(0.0%\);"–"</c:formatCode>
                <c:ptCount val="6"/>
                <c:pt idx="0">
                  <c:v>0.35742230235346628</c:v>
                </c:pt>
                <c:pt idx="1">
                  <c:v>0.39008530275485942</c:v>
                </c:pt>
                <c:pt idx="2">
                  <c:v>0.38435095540545983</c:v>
                </c:pt>
                <c:pt idx="3">
                  <c:v>0.35153709868971827</c:v>
                </c:pt>
                <c:pt idx="4">
                  <c:v>0.46908013679235011</c:v>
                </c:pt>
                <c:pt idx="5">
                  <c:v>0.35612438891906573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323-4BC5-9652-878CF76F83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50210001"/>
        <c:axId val="50210002"/>
      </c:barChart>
      <c:lineChart>
        <c:grouping val="standard"/>
        <c:varyColors val="0"/>
        <c:ser>
          <c:idx val="1"/>
          <c:order val="1"/>
          <c:tx>
            <c:v>Budget CM %</c:v>
          </c:tx>
          <c:spPr>
            <a:ln>
              <a:noFill/>
            </a:ln>
          </c:spPr>
          <c:marker>
            <c:symbol val="dash"/>
            <c:size val="11"/>
            <c:spPr>
              <a:solidFill>
                <a:srgbClr val="12808A"/>
              </a:solidFill>
              <a:ln>
                <a:solidFill>
                  <a:srgbClr val="12808A"/>
                </a:solidFill>
              </a:ln>
            </c:spPr>
          </c:marker>
          <c:cat>
            <c:strRef>
              <c:f>Channel!$B$14:$B$19</c:f>
              <c:strCache>
                <c:ptCount val="6"/>
                <c:pt idx="0">
                  <c:v>Hypermarkets</c:v>
                </c:pt>
                <c:pt idx="1">
                  <c:v>Supermarkets</c:v>
                </c:pt>
                <c:pt idx="2">
                  <c:v>Marketplaces</c:v>
                </c:pt>
                <c:pt idx="3">
                  <c:v>Discounters</c:v>
                </c:pt>
                <c:pt idx="4">
                  <c:v>Distributors</c:v>
                </c:pt>
                <c:pt idx="5">
                  <c:v>Direct to Consumer</c:v>
                </c:pt>
              </c:strCache>
            </c:strRef>
          </c:cat>
          <c:val>
            <c:numRef>
              <c:f>Channel!$S$14:$S$19</c:f>
              <c:numCache>
                <c:formatCode>0.0%;\(0.0%\);"–"</c:formatCode>
                <c:ptCount val="6"/>
                <c:pt idx="0">
                  <c:v>0.37233892100994131</c:v>
                </c:pt>
                <c:pt idx="1">
                  <c:v>0.39735396904643033</c:v>
                </c:pt>
                <c:pt idx="2">
                  <c:v>0.38351108063551342</c:v>
                </c:pt>
                <c:pt idx="3">
                  <c:v>0.37150796864073027</c:v>
                </c:pt>
                <c:pt idx="4">
                  <c:v>0.47344635259363771</c:v>
                </c:pt>
                <c:pt idx="5">
                  <c:v>0.35971248876909256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323-4BC5-9652-878CF76F83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210001"/>
        <c:axId val="50210002"/>
      </c:lineChart>
      <c:catAx>
        <c:axId val="5021000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ln>
            <a:solidFill>
              <a:srgbClr val="D5DAE1"/>
            </a:solidFill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210002"/>
        <c:crosses val="autoZero"/>
        <c:auto val="1"/>
        <c:lblAlgn val="ctr"/>
        <c:lblOffset val="100"/>
        <c:noMultiLvlLbl val="0"/>
      </c:catAx>
      <c:valAx>
        <c:axId val="50210002"/>
        <c:scaling>
          <c:orientation val="minMax"/>
        </c:scaling>
        <c:delete val="0"/>
        <c:axPos val="l"/>
        <c:majorGridlines>
          <c:spPr>
            <a:ln w="9525">
              <a:solidFill>
                <a:srgbClr val="E8EBEF"/>
              </a:solidFill>
            </a:ln>
          </c:spPr>
        </c:majorGridlines>
        <c:numFmt formatCode="0%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210001"/>
        <c:crosses val="autoZero"/>
        <c:crossBetween val="between"/>
      </c:valAx>
      <c:spPr>
        <a:noFill/>
      </c:spPr>
    </c:plotArea>
    <c:legend>
      <c:legendPos val="b"/>
      <c:overlay val="0"/>
      <c:txPr>
        <a:bodyPr/>
        <a:lstStyle/>
        <a:p>
          <a:pPr>
            <a:defRPr sz="800" baseline="0">
              <a:solidFill>
                <a:srgbClr val="1F2937"/>
              </a:solidFill>
              <a:latin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>
      <a:solidFill>
        <a:srgbClr val="D5DAE1"/>
      </a:solidFill>
    </a:ln>
  </c:sp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Calc!$B$553</c:f>
          <c:strCache>
            <c:ptCount val="1"/>
            <c:pt idx="0">
              <c:v>Where gross sales go, by channel (% of gross sales)</c:v>
            </c:pt>
          </c:strCache>
        </c:strRef>
      </c:tx>
      <c:layout>
        <c:manualLayout>
          <c:xMode val="edge"/>
          <c:yMode val="edge"/>
          <c:x val="0.02"/>
          <c:y val="2.5000000000000001E-2"/>
        </c:manualLayout>
      </c:layout>
      <c:overlay val="0"/>
      <c:txPr>
        <a:bodyPr/>
        <a:lstStyle/>
        <a:p>
          <a:pPr>
            <a:defRPr sz="950" b="1" baseline="0">
              <a:solidFill>
                <a:srgbClr val="0F2A47"/>
              </a:solidFill>
              <a:latin typeface="Arial"/>
            </a:defRPr>
          </a:pPr>
          <a:endParaRPr lang="en-US"/>
        </a:p>
      </c:txPr>
    </c:title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v>Contribution</c:v>
          </c:tx>
          <c:spPr>
            <a:solidFill>
              <a:srgbClr val="12808A"/>
            </a:solidFill>
            <a:ln w="6350">
              <a:solidFill>
                <a:srgbClr val="FFFFFF"/>
              </a:solidFill>
            </a:ln>
          </c:spPr>
          <c:invertIfNegative val="0"/>
          <c:cat>
            <c:strRef>
              <c:f>Calc!$A$575:$A$580</c:f>
              <c:strCache>
                <c:ptCount val="6"/>
                <c:pt idx="0">
                  <c:v>Hypermarkets</c:v>
                </c:pt>
                <c:pt idx="1">
                  <c:v>Supermarkets</c:v>
                </c:pt>
                <c:pt idx="2">
                  <c:v>Marketplaces</c:v>
                </c:pt>
                <c:pt idx="3">
                  <c:v>Discounters</c:v>
                </c:pt>
                <c:pt idx="4">
                  <c:v>Distributors</c:v>
                </c:pt>
                <c:pt idx="5">
                  <c:v>Direct to Consumer</c:v>
                </c:pt>
              </c:strCache>
            </c:strRef>
          </c:cat>
          <c:val>
            <c:numRef>
              <c:f>Calc!$H$575:$H$580</c:f>
              <c:numCache>
                <c:formatCode>#,##0.00;\(#,##0.00\);\-</c:formatCode>
                <c:ptCount val="6"/>
                <c:pt idx="0">
                  <c:v>40.838000000000001</c:v>
                </c:pt>
                <c:pt idx="1">
                  <c:v>39.052999999999997</c:v>
                </c:pt>
                <c:pt idx="2">
                  <c:v>28.623000000000001</c:v>
                </c:pt>
                <c:pt idx="3">
                  <c:v>18.056000000000001</c:v>
                </c:pt>
                <c:pt idx="4">
                  <c:v>21.535</c:v>
                </c:pt>
                <c:pt idx="5">
                  <c:v>10.49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D1-4B2D-A890-177F7AE0D453}"/>
            </c:ext>
          </c:extLst>
        </c:ser>
        <c:ser>
          <c:idx val="1"/>
          <c:order val="1"/>
          <c:tx>
            <c:v>COGS</c:v>
          </c:tx>
          <c:spPr>
            <a:solidFill>
              <a:srgbClr val="0F2A47"/>
            </a:solidFill>
            <a:ln w="6350">
              <a:solidFill>
                <a:srgbClr val="FFFFFF"/>
              </a:solidFill>
            </a:ln>
          </c:spPr>
          <c:invertIfNegative val="0"/>
          <c:cat>
            <c:strRef>
              <c:f>Calc!$A$575:$A$580</c:f>
              <c:strCache>
                <c:ptCount val="6"/>
                <c:pt idx="0">
                  <c:v>Hypermarkets</c:v>
                </c:pt>
                <c:pt idx="1">
                  <c:v>Supermarkets</c:v>
                </c:pt>
                <c:pt idx="2">
                  <c:v>Marketplaces</c:v>
                </c:pt>
                <c:pt idx="3">
                  <c:v>Discounters</c:v>
                </c:pt>
                <c:pt idx="4">
                  <c:v>Distributors</c:v>
                </c:pt>
                <c:pt idx="5">
                  <c:v>Direct to Consumer</c:v>
                </c:pt>
              </c:strCache>
            </c:strRef>
          </c:cat>
          <c:val>
            <c:numRef>
              <c:f>Calc!$D$575:$D$580</c:f>
              <c:numCache>
                <c:formatCode>#,##0.00;\(#,##0.00\);\-</c:formatCode>
                <c:ptCount val="6"/>
                <c:pt idx="0">
                  <c:v>52.405000000000001</c:v>
                </c:pt>
                <c:pt idx="1">
                  <c:v>43.875999999999998</c:v>
                </c:pt>
                <c:pt idx="2">
                  <c:v>31.640999999999998</c:v>
                </c:pt>
                <c:pt idx="3">
                  <c:v>24.521000000000001</c:v>
                </c:pt>
                <c:pt idx="4">
                  <c:v>18.466000000000001</c:v>
                </c:pt>
                <c:pt idx="5">
                  <c:v>11.585000000000001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D1-4B2D-A890-177F7AE0D453}"/>
            </c:ext>
          </c:extLst>
        </c:ser>
        <c:ser>
          <c:idx val="2"/>
          <c:order val="2"/>
          <c:tx>
            <c:v>Trade and returns</c:v>
          </c:tx>
          <c:spPr>
            <a:solidFill>
              <a:srgbClr val="D9B26F"/>
            </a:solidFill>
            <a:ln w="6350">
              <a:solidFill>
                <a:srgbClr val="FFFFFF"/>
              </a:solidFill>
            </a:ln>
          </c:spPr>
          <c:invertIfNegative val="0"/>
          <c:cat>
            <c:strRef>
              <c:f>Calc!$A$575:$A$580</c:f>
              <c:strCache>
                <c:ptCount val="6"/>
                <c:pt idx="0">
                  <c:v>Hypermarkets</c:v>
                </c:pt>
                <c:pt idx="1">
                  <c:v>Supermarkets</c:v>
                </c:pt>
                <c:pt idx="2">
                  <c:v>Marketplaces</c:v>
                </c:pt>
                <c:pt idx="3">
                  <c:v>Discounters</c:v>
                </c:pt>
                <c:pt idx="4">
                  <c:v>Distributors</c:v>
                </c:pt>
                <c:pt idx="5">
                  <c:v>Direct to Consumer</c:v>
                </c:pt>
              </c:strCache>
            </c:strRef>
          </c:cat>
          <c:val>
            <c:numRef>
              <c:f>Calc!$E$575:$E$580</c:f>
              <c:numCache>
                <c:formatCode>#,##0.00;\(#,##0.00\);\-</c:formatCode>
                <c:ptCount val="6"/>
                <c:pt idx="0">
                  <c:v>30.560000000000002</c:v>
                </c:pt>
                <c:pt idx="1">
                  <c:v>21.088000000000001</c:v>
                </c:pt>
                <c:pt idx="2">
                  <c:v>12.936</c:v>
                </c:pt>
                <c:pt idx="3">
                  <c:v>16.396000000000001</c:v>
                </c:pt>
                <c:pt idx="4">
                  <c:v>5.0979999999999999</c:v>
                </c:pt>
                <c:pt idx="5">
                  <c:v>2.5630000000000002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D1-4B2D-A890-177F7AE0D453}"/>
            </c:ext>
          </c:extLst>
        </c:ser>
        <c:ser>
          <c:idx val="3"/>
          <c:order val="3"/>
          <c:tx>
            <c:v>A&amp;P</c:v>
          </c:tx>
          <c:spPr>
            <a:solidFill>
              <a:srgbClr val="6FA8C7"/>
            </a:solidFill>
            <a:ln w="6350">
              <a:solidFill>
                <a:srgbClr val="FFFFFF"/>
              </a:solidFill>
            </a:ln>
          </c:spPr>
          <c:invertIfNegative val="0"/>
          <c:cat>
            <c:strRef>
              <c:f>Calc!$A$575:$A$580</c:f>
              <c:strCache>
                <c:ptCount val="6"/>
                <c:pt idx="0">
                  <c:v>Hypermarkets</c:v>
                </c:pt>
                <c:pt idx="1">
                  <c:v>Supermarkets</c:v>
                </c:pt>
                <c:pt idx="2">
                  <c:v>Marketplaces</c:v>
                </c:pt>
                <c:pt idx="3">
                  <c:v>Discounters</c:v>
                </c:pt>
                <c:pt idx="4">
                  <c:v>Distributors</c:v>
                </c:pt>
                <c:pt idx="5">
                  <c:v>Direct to Consumer</c:v>
                </c:pt>
              </c:strCache>
            </c:strRef>
          </c:cat>
          <c:val>
            <c:numRef>
              <c:f>Calc!$F$575:$F$580</c:f>
              <c:numCache>
                <c:formatCode>#,##0.00;\(#,##0.00\);\-</c:formatCode>
                <c:ptCount val="6"/>
                <c:pt idx="0">
                  <c:v>10.701000000000001</c:v>
                </c:pt>
                <c:pt idx="1">
                  <c:v>8.5579999999999998</c:v>
                </c:pt>
                <c:pt idx="2">
                  <c:v>5.7039999999999997</c:v>
                </c:pt>
                <c:pt idx="3">
                  <c:v>4.99</c:v>
                </c:pt>
                <c:pt idx="4">
                  <c:v>3.5659999999999998</c:v>
                </c:pt>
                <c:pt idx="5">
                  <c:v>2.14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D1-4B2D-A890-177F7AE0D453}"/>
            </c:ext>
          </c:extLst>
        </c:ser>
        <c:ser>
          <c:idx val="4"/>
          <c:order val="4"/>
          <c:tx>
            <c:v>Cost to serve</c:v>
          </c:tx>
          <c:spPr>
            <a:solidFill>
              <a:srgbClr val="AEB6C1"/>
            </a:solidFill>
            <a:ln w="6350">
              <a:solidFill>
                <a:srgbClr val="FFFFFF"/>
              </a:solidFill>
            </a:ln>
          </c:spPr>
          <c:invertIfNegative val="0"/>
          <c:cat>
            <c:strRef>
              <c:f>Calc!$A$575:$A$580</c:f>
              <c:strCache>
                <c:ptCount val="6"/>
                <c:pt idx="0">
                  <c:v>Hypermarkets</c:v>
                </c:pt>
                <c:pt idx="1">
                  <c:v>Supermarkets</c:v>
                </c:pt>
                <c:pt idx="2">
                  <c:v>Marketplaces</c:v>
                </c:pt>
                <c:pt idx="3">
                  <c:v>Discounters</c:v>
                </c:pt>
                <c:pt idx="4">
                  <c:v>Distributors</c:v>
                </c:pt>
                <c:pt idx="5">
                  <c:v>Direct to Consumer</c:v>
                </c:pt>
              </c:strCache>
            </c:strRef>
          </c:cat>
          <c:val>
            <c:numRef>
              <c:f>Calc!$G$575:$G$580</c:f>
              <c:numCache>
                <c:formatCode>#,##0.00;\(#,##0.00\);\-</c:formatCode>
                <c:ptCount val="6"/>
                <c:pt idx="0">
                  <c:v>10.313000000000001</c:v>
                </c:pt>
                <c:pt idx="1">
                  <c:v>8.6270000000000007</c:v>
                </c:pt>
                <c:pt idx="2">
                  <c:v>8.5030000000000001</c:v>
                </c:pt>
                <c:pt idx="3">
                  <c:v>3.7959999999999998</c:v>
                </c:pt>
                <c:pt idx="4">
                  <c:v>2.3420000000000001</c:v>
                </c:pt>
                <c:pt idx="5">
                  <c:v>5.2409999999999997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D1-4B2D-A890-177F7AE0D4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50220001"/>
        <c:axId val="50220002"/>
      </c:barChart>
      <c:catAx>
        <c:axId val="5022000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ln>
            <a:solidFill>
              <a:srgbClr val="D5DAE1"/>
            </a:solidFill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220002"/>
        <c:crosses val="autoZero"/>
        <c:auto val="1"/>
        <c:lblAlgn val="ctr"/>
        <c:lblOffset val="100"/>
        <c:noMultiLvlLbl val="0"/>
      </c:catAx>
      <c:valAx>
        <c:axId val="50220002"/>
        <c:scaling>
          <c:orientation val="minMax"/>
        </c:scaling>
        <c:delete val="0"/>
        <c:axPos val="l"/>
        <c:majorGridlines>
          <c:spPr>
            <a:ln w="9525">
              <a:solidFill>
                <a:srgbClr val="E8EBEF"/>
              </a:solidFill>
            </a:ln>
          </c:spPr>
        </c:majorGridlines>
        <c:numFmt formatCode="0%" sourceLinked="1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220001"/>
        <c:crosses val="autoZero"/>
        <c:crossBetween val="between"/>
      </c:valAx>
      <c:spPr>
        <a:noFill/>
      </c:spPr>
    </c:plotArea>
    <c:legend>
      <c:legendPos val="b"/>
      <c:overlay val="0"/>
      <c:txPr>
        <a:bodyPr/>
        <a:lstStyle/>
        <a:p>
          <a:pPr>
            <a:defRPr sz="800" baseline="0">
              <a:solidFill>
                <a:srgbClr val="1F2937"/>
              </a:solidFill>
              <a:latin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>
      <a:solidFill>
        <a:srgbClr val="D5DAE1"/>
      </a:solidFill>
    </a:ln>
  </c:sp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Calc!$B$554</c:f>
          <c:strCache>
            <c:ptCount val="1"/>
            <c:pt idx="0">
              <c:v>Growth on PY (x) vs contribution margin % (y)</c:v>
            </c:pt>
          </c:strCache>
        </c:strRef>
      </c:tx>
      <c:layout>
        <c:manualLayout>
          <c:xMode val="edge"/>
          <c:yMode val="edge"/>
          <c:x val="0.02"/>
          <c:y val="2.5000000000000001E-2"/>
        </c:manualLayout>
      </c:layout>
      <c:overlay val="0"/>
      <c:txPr>
        <a:bodyPr/>
        <a:lstStyle/>
        <a:p>
          <a:pPr>
            <a:defRPr sz="950" b="1" baseline="0">
              <a:solidFill>
                <a:srgbClr val="0F2A47"/>
              </a:solidFill>
              <a:latin typeface="Arial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Channel!$B$14</c:f>
              <c:strCache>
                <c:ptCount val="1"/>
                <c:pt idx="0">
                  <c:v>Hypermarkets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11"/>
            <c:spPr>
              <a:solidFill>
                <a:srgbClr val="0F2A47"/>
              </a:solidFill>
              <a:ln>
                <a:solidFill>
                  <a:srgbClr val="FFFFFF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aseline="0">
                    <a:latin typeface="Arial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Channel!$J$14:$J$14</c:f>
              <c:numCache>
                <c:formatCode>\+0.0%;\-0.0%;"–"</c:formatCode>
                <c:ptCount val="1"/>
                <c:pt idx="0">
                  <c:v>1.3797448137566448E-2</c:v>
                </c:pt>
              </c:numCache>
            </c:numRef>
          </c:xVal>
          <c:yVal>
            <c:numRef>
              <c:f>Channel!$R$14:$R$14</c:f>
              <c:numCache>
                <c:formatCode>0.0%;\(0.0%\);"–"</c:formatCode>
                <c:ptCount val="1"/>
                <c:pt idx="0">
                  <c:v>0.35742230235346628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C90-47D3-AFA4-AFFAEA6BD82A}"/>
            </c:ext>
          </c:extLst>
        </c:ser>
        <c:ser>
          <c:idx val="1"/>
          <c:order val="1"/>
          <c:tx>
            <c:strRef>
              <c:f>Channel!$B$15</c:f>
              <c:strCache>
                <c:ptCount val="1"/>
                <c:pt idx="0">
                  <c:v>Supermarkets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11"/>
            <c:spPr>
              <a:solidFill>
                <a:srgbClr val="12808A"/>
              </a:solidFill>
              <a:ln>
                <a:solidFill>
                  <a:srgbClr val="FFFFFF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aseline="0">
                    <a:latin typeface="Arial"/>
                  </a:defRPr>
                </a:pPr>
                <a:endParaRPr lang="en-US"/>
              </a:p>
            </c:txPr>
            <c:dLblPos val="b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Channel!$J$15:$J$15</c:f>
              <c:numCache>
                <c:formatCode>\+0.0%;\-0.0%;"–"</c:formatCode>
                <c:ptCount val="1"/>
                <c:pt idx="0">
                  <c:v>6.4114283284794293E-2</c:v>
                </c:pt>
              </c:numCache>
            </c:numRef>
          </c:xVal>
          <c:yVal>
            <c:numRef>
              <c:f>Channel!$R$15:$R$15</c:f>
              <c:numCache>
                <c:formatCode>0.0%;\(0.0%\);"–"</c:formatCode>
                <c:ptCount val="1"/>
                <c:pt idx="0">
                  <c:v>0.39008530275485942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C90-47D3-AFA4-AFFAEA6BD82A}"/>
            </c:ext>
          </c:extLst>
        </c:ser>
        <c:ser>
          <c:idx val="2"/>
          <c:order val="2"/>
          <c:tx>
            <c:strRef>
              <c:f>Channel!$B$16</c:f>
              <c:strCache>
                <c:ptCount val="1"/>
                <c:pt idx="0">
                  <c:v>Marketplaces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11"/>
            <c:spPr>
              <a:solidFill>
                <a:srgbClr val="6FA8C7"/>
              </a:solidFill>
              <a:ln>
                <a:solidFill>
                  <a:srgbClr val="FFFFFF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aseline="0">
                    <a:latin typeface="Arial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Channel!$J$16:$J$16</c:f>
              <c:numCache>
                <c:formatCode>\+0.0%;\-0.0%;"–"</c:formatCode>
                <c:ptCount val="1"/>
                <c:pt idx="0">
                  <c:v>0.27641231317701909</c:v>
                </c:pt>
              </c:numCache>
            </c:numRef>
          </c:xVal>
          <c:yVal>
            <c:numRef>
              <c:f>Channel!$R$16:$R$16</c:f>
              <c:numCache>
                <c:formatCode>0.0%;\(0.0%\);"–"</c:formatCode>
                <c:ptCount val="1"/>
                <c:pt idx="0">
                  <c:v>0.38435095540545983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C90-47D3-AFA4-AFFAEA6BD82A}"/>
            </c:ext>
          </c:extLst>
        </c:ser>
        <c:ser>
          <c:idx val="3"/>
          <c:order val="3"/>
          <c:tx>
            <c:strRef>
              <c:f>Channel!$B$17</c:f>
              <c:strCache>
                <c:ptCount val="1"/>
                <c:pt idx="0">
                  <c:v>Discounters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11"/>
            <c:spPr>
              <a:solidFill>
                <a:srgbClr val="D9B26F"/>
              </a:solidFill>
              <a:ln>
                <a:solidFill>
                  <a:srgbClr val="FFFFFF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aseline="0">
                    <a:latin typeface="Arial"/>
                  </a:defRPr>
                </a:pPr>
                <a:endParaRPr lang="en-US"/>
              </a:p>
            </c:txPr>
            <c:dLblPos val="b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Channel!$J$17:$J$17</c:f>
              <c:numCache>
                <c:formatCode>\+0.0%;\-0.0%;"–"</c:formatCode>
                <c:ptCount val="1"/>
                <c:pt idx="0">
                  <c:v>4.0464461646727568E-3</c:v>
                </c:pt>
              </c:numCache>
            </c:numRef>
          </c:xVal>
          <c:yVal>
            <c:numRef>
              <c:f>Channel!$R$17:$R$17</c:f>
              <c:numCache>
                <c:formatCode>0.0%;\(0.0%\);"–"</c:formatCode>
                <c:ptCount val="1"/>
                <c:pt idx="0">
                  <c:v>0.35153709868971827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C90-47D3-AFA4-AFFAEA6BD82A}"/>
            </c:ext>
          </c:extLst>
        </c:ser>
        <c:ser>
          <c:idx val="4"/>
          <c:order val="4"/>
          <c:tx>
            <c:strRef>
              <c:f>Channel!$B$18</c:f>
              <c:strCache>
                <c:ptCount val="1"/>
                <c:pt idx="0">
                  <c:v>Distributors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11"/>
            <c:spPr>
              <a:solidFill>
                <a:srgbClr val="7C6AA6"/>
              </a:solidFill>
              <a:ln>
                <a:solidFill>
                  <a:srgbClr val="FFFFFF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aseline="0">
                    <a:latin typeface="Arial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Channel!$J$18:$J$18</c:f>
              <c:numCache>
                <c:formatCode>\+0.0%;\-0.0%;"–"</c:formatCode>
                <c:ptCount val="1"/>
                <c:pt idx="0">
                  <c:v>8.871656232213998E-2</c:v>
                </c:pt>
              </c:numCache>
            </c:numRef>
          </c:xVal>
          <c:yVal>
            <c:numRef>
              <c:f>Channel!$R$18:$R$18</c:f>
              <c:numCache>
                <c:formatCode>0.0%;\(0.0%\);"–"</c:formatCode>
                <c:ptCount val="1"/>
                <c:pt idx="0">
                  <c:v>0.46908013679235011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C90-47D3-AFA4-AFFAEA6BD82A}"/>
            </c:ext>
          </c:extLst>
        </c:ser>
        <c:ser>
          <c:idx val="5"/>
          <c:order val="5"/>
          <c:tx>
            <c:strRef>
              <c:f>Channel!$B$19</c:f>
              <c:strCache>
                <c:ptCount val="1"/>
                <c:pt idx="0">
                  <c:v>Direct to Consumer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11"/>
            <c:spPr>
              <a:solidFill>
                <a:srgbClr val="AEB6C1"/>
              </a:solidFill>
              <a:ln>
                <a:solidFill>
                  <a:srgbClr val="FFFFFF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aseline="0">
                    <a:latin typeface="Arial"/>
                  </a:defRPr>
                </a:pPr>
                <a:endParaRPr lang="en-US"/>
              </a:p>
            </c:txPr>
            <c:dLblPos val="b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Channel!$J$19:$J$19</c:f>
              <c:numCache>
                <c:formatCode>\+0.0%;\-0.0%;"–"</c:formatCode>
                <c:ptCount val="1"/>
                <c:pt idx="0">
                  <c:v>0.13005447709660101</c:v>
                </c:pt>
              </c:numCache>
            </c:numRef>
          </c:xVal>
          <c:yVal>
            <c:numRef>
              <c:f>Channel!$R$19:$R$19</c:f>
              <c:numCache>
                <c:formatCode>0.0%;\(0.0%\);"–"</c:formatCode>
                <c:ptCount val="1"/>
                <c:pt idx="0">
                  <c:v>0.35612438891906573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8C90-47D3-AFA4-AFFAEA6BD8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230001"/>
        <c:axId val="50230002"/>
      </c:scatterChart>
      <c:valAx>
        <c:axId val="50230001"/>
        <c:scaling>
          <c:orientation val="minMax"/>
        </c:scaling>
        <c:delete val="0"/>
        <c:axPos val="b"/>
        <c:majorGridlines>
          <c:spPr>
            <a:ln w="9525">
              <a:solidFill>
                <a:srgbClr val="E8EBEF"/>
              </a:solidFill>
            </a:ln>
          </c:spPr>
        </c:majorGridlines>
        <c:numFmt formatCode="0%" sourceLinked="0"/>
        <c:majorTickMark val="none"/>
        <c:minorTickMark val="none"/>
        <c:tickLblPos val="low"/>
        <c:spPr>
          <a:ln>
            <a:solidFill>
              <a:srgbClr val="D5DAE1"/>
            </a:solidFill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230002"/>
        <c:crosses val="autoZero"/>
        <c:crossBetween val="midCat"/>
      </c:valAx>
      <c:valAx>
        <c:axId val="50230002"/>
        <c:scaling>
          <c:orientation val="minMax"/>
        </c:scaling>
        <c:delete val="0"/>
        <c:axPos val="l"/>
        <c:majorGridlines>
          <c:spPr>
            <a:ln w="9525">
              <a:solidFill>
                <a:srgbClr val="E8EBEF"/>
              </a:solidFill>
            </a:ln>
          </c:spPr>
        </c:majorGridlines>
        <c:numFmt formatCode="0%" sourceLinked="0"/>
        <c:majorTickMark val="none"/>
        <c:minorTickMark val="none"/>
        <c:tickLblPos val="low"/>
        <c:spPr>
          <a:ln>
            <a:noFill/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230001"/>
        <c:crosses val="autoZero"/>
        <c:crossBetween val="midCat"/>
      </c:valAx>
      <c:spPr>
        <a:noFill/>
      </c:spPr>
    </c:plotArea>
    <c:plotVisOnly val="1"/>
    <c:dispBlanksAs val="gap"/>
    <c:showDLblsOverMax val="0"/>
  </c:chart>
  <c:spPr>
    <a:solidFill>
      <a:srgbClr val="FFFFFF"/>
    </a:solidFill>
    <a:ln>
      <a:solidFill>
        <a:srgbClr val="D5DAE1"/>
      </a:solidFill>
    </a:ln>
  </c:sp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Calc!$B$555</c:f>
          <c:strCache>
            <c:ptCount val="1"/>
            <c:pt idx="0">
              <c:v>Pareto: net revenue and cumulative share by channel</c:v>
            </c:pt>
          </c:strCache>
        </c:strRef>
      </c:tx>
      <c:layout>
        <c:manualLayout>
          <c:xMode val="edge"/>
          <c:yMode val="edge"/>
          <c:x val="0.02"/>
          <c:y val="2.5000000000000001E-2"/>
        </c:manualLayout>
      </c:layout>
      <c:overlay val="0"/>
      <c:txPr>
        <a:bodyPr/>
        <a:lstStyle/>
        <a:p>
          <a:pPr>
            <a:defRPr sz="950" b="1" baseline="0">
              <a:solidFill>
                <a:srgbClr val="0F2A47"/>
              </a:solidFill>
              <a:latin typeface="Arial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Net revenue</c:v>
          </c:tx>
          <c:spPr>
            <a:solidFill>
              <a:srgbClr val="0F2A47"/>
            </a:solidFill>
            <a:ln>
              <a:solidFill>
                <a:srgbClr val="0F2A47"/>
              </a:solidFill>
            </a:ln>
          </c:spPr>
          <c:invertIfNegative val="0"/>
          <c:cat>
            <c:strRef>
              <c:f>Channel!$B$14:$B$19</c:f>
              <c:strCache>
                <c:ptCount val="6"/>
                <c:pt idx="0">
                  <c:v>Hypermarkets</c:v>
                </c:pt>
                <c:pt idx="1">
                  <c:v>Supermarkets</c:v>
                </c:pt>
                <c:pt idx="2">
                  <c:v>Marketplaces</c:v>
                </c:pt>
                <c:pt idx="3">
                  <c:v>Discounters</c:v>
                </c:pt>
                <c:pt idx="4">
                  <c:v>Distributors</c:v>
                </c:pt>
                <c:pt idx="5">
                  <c:v>Direct to Consumer</c:v>
                </c:pt>
              </c:strCache>
            </c:strRef>
          </c:cat>
          <c:val>
            <c:numRef>
              <c:f>Channel!$E$14:$E$19</c:f>
              <c:numCache>
                <c:formatCode>#,##0.0;\(#,##0.0\);"–"</c:formatCode>
                <c:ptCount val="6"/>
                <c:pt idx="0">
                  <c:v>114.25700000000001</c:v>
                </c:pt>
                <c:pt idx="1">
                  <c:v>100.114</c:v>
                </c:pt>
                <c:pt idx="2">
                  <c:v>74.471000000000004</c:v>
                </c:pt>
                <c:pt idx="3">
                  <c:v>51.363</c:v>
                </c:pt>
                <c:pt idx="4">
                  <c:v>45.908999999999999</c:v>
                </c:pt>
                <c:pt idx="5">
                  <c:v>29.456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BE6-4797-B8B1-42CC0F91B1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50240001"/>
        <c:axId val="50240002"/>
      </c:barChart>
      <c:lineChart>
        <c:grouping val="standard"/>
        <c:varyColors val="0"/>
        <c:ser>
          <c:idx val="1"/>
          <c:order val="1"/>
          <c:tx>
            <c:v>Cumulative share</c:v>
          </c:tx>
          <c:spPr>
            <a:ln w="25400">
              <a:solidFill>
                <a:srgbClr val="12808A"/>
              </a:solidFill>
            </a:ln>
          </c:spPr>
          <c:marker>
            <c:symbol val="circle"/>
            <c:size val="5"/>
            <c:spPr>
              <a:solidFill>
                <a:srgbClr val="12808A"/>
              </a:solidFill>
              <a:ln>
                <a:solidFill>
                  <a:srgbClr val="12808A"/>
                </a:solidFill>
              </a:ln>
            </c:spPr>
          </c:marker>
          <c:cat>
            <c:strRef>
              <c:f>Channel!$B$14:$B$19</c:f>
              <c:strCache>
                <c:ptCount val="6"/>
                <c:pt idx="0">
                  <c:v>Hypermarkets</c:v>
                </c:pt>
                <c:pt idx="1">
                  <c:v>Supermarkets</c:v>
                </c:pt>
                <c:pt idx="2">
                  <c:v>Marketplaces</c:v>
                </c:pt>
                <c:pt idx="3">
                  <c:v>Discounters</c:v>
                </c:pt>
                <c:pt idx="4">
                  <c:v>Distributors</c:v>
                </c:pt>
                <c:pt idx="5">
                  <c:v>Direct to Consumer</c:v>
                </c:pt>
              </c:strCache>
            </c:strRef>
          </c:cat>
          <c:val>
            <c:numRef>
              <c:f>Calc!$I$575:$I$580</c:f>
              <c:numCache>
                <c:formatCode>0.0%;\(0.0%\);\-</c:formatCode>
                <c:ptCount val="6"/>
                <c:pt idx="0">
                  <c:v>0.27494044324662509</c:v>
                </c:pt>
                <c:pt idx="1">
                  <c:v>0.51584811223139304</c:v>
                </c:pt>
                <c:pt idx="2">
                  <c:v>0.69505017205284292</c:v>
                </c:pt>
                <c:pt idx="3">
                  <c:v>0.81864667805664493</c:v>
                </c:pt>
                <c:pt idx="4">
                  <c:v>0.9291190413167455</c:v>
                </c:pt>
                <c:pt idx="5">
                  <c:v>0.99999999999999989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BE6-4797-B8B1-42CC0F91B1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240001"/>
        <c:axId val="60240002"/>
      </c:lineChart>
      <c:catAx>
        <c:axId val="5024000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ln>
            <a:solidFill>
              <a:srgbClr val="D5DAE1"/>
            </a:solidFill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240002"/>
        <c:crosses val="autoZero"/>
        <c:auto val="1"/>
        <c:lblAlgn val="ctr"/>
        <c:lblOffset val="100"/>
        <c:noMultiLvlLbl val="0"/>
      </c:catAx>
      <c:valAx>
        <c:axId val="50240002"/>
        <c:scaling>
          <c:orientation val="minMax"/>
        </c:scaling>
        <c:delete val="0"/>
        <c:axPos val="l"/>
        <c:majorGridlines>
          <c:spPr>
            <a:ln w="9525">
              <a:solidFill>
                <a:srgbClr val="E8EBEF"/>
              </a:solidFill>
            </a:ln>
          </c:spPr>
        </c:majorGridlines>
        <c:numFmt formatCode="#,##0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240001"/>
        <c:crosses val="autoZero"/>
        <c:crossBetween val="between"/>
      </c:valAx>
      <c:valAx>
        <c:axId val="60240002"/>
        <c:scaling>
          <c:orientation val="minMax"/>
          <c:max val="1"/>
          <c:min val="0"/>
        </c:scaling>
        <c:delete val="0"/>
        <c:axPos val="r"/>
        <c:numFmt formatCode="0%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60240001"/>
        <c:crosses val="max"/>
        <c:crossBetween val="between"/>
      </c:valAx>
      <c:catAx>
        <c:axId val="6024000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60240002"/>
        <c:crosses val="autoZero"/>
        <c:auto val="1"/>
        <c:lblAlgn val="ctr"/>
        <c:lblOffset val="100"/>
        <c:noMultiLvlLbl val="0"/>
      </c:catAx>
      <c:spPr>
        <a:noFill/>
      </c:spPr>
    </c:plotArea>
    <c:legend>
      <c:legendPos val="b"/>
      <c:overlay val="0"/>
      <c:txPr>
        <a:bodyPr/>
        <a:lstStyle/>
        <a:p>
          <a:pPr>
            <a:defRPr sz="800" baseline="0">
              <a:solidFill>
                <a:srgbClr val="1F2937"/>
              </a:solidFill>
              <a:latin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>
      <a:solidFill>
        <a:srgbClr val="D5DAE1"/>
      </a:solidFill>
    </a:ln>
  </c:sp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Calc!$B$556</c:f>
          <c:strCache>
            <c:ptCount val="1"/>
            <c:pt idx="0">
              <c:v>Net revenue variance drivers by channel, $m</c:v>
            </c:pt>
          </c:strCache>
        </c:strRef>
      </c:tx>
      <c:layout>
        <c:manualLayout>
          <c:xMode val="edge"/>
          <c:yMode val="edge"/>
          <c:x val="0.02"/>
          <c:y val="2.5000000000000001E-2"/>
        </c:manualLayout>
      </c:layout>
      <c:overlay val="0"/>
      <c:txPr>
        <a:bodyPr/>
        <a:lstStyle/>
        <a:p>
          <a:pPr>
            <a:defRPr sz="950" b="1" baseline="0">
              <a:solidFill>
                <a:srgbClr val="0F2A47"/>
              </a:solidFill>
              <a:latin typeface="Arial"/>
            </a:defRPr>
          </a:pPr>
          <a:endParaRPr lang="en-US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v>Volume</c:v>
          </c:tx>
          <c:spPr>
            <a:solidFill>
              <a:srgbClr val="0F2A47"/>
            </a:solidFill>
            <a:ln>
              <a:noFill/>
            </a:ln>
          </c:spPr>
          <c:invertIfNegative val="0"/>
          <c:cat>
            <c:strRef>
              <c:f>Channel!$B$71:$B$76</c:f>
              <c:strCache>
                <c:ptCount val="6"/>
                <c:pt idx="0">
                  <c:v>Hypermarkets</c:v>
                </c:pt>
                <c:pt idx="1">
                  <c:v>Supermarkets</c:v>
                </c:pt>
                <c:pt idx="2">
                  <c:v>Marketplaces</c:v>
                </c:pt>
                <c:pt idx="3">
                  <c:v>Discounters</c:v>
                </c:pt>
                <c:pt idx="4">
                  <c:v>Distributors</c:v>
                </c:pt>
                <c:pt idx="5">
                  <c:v>Direct to Consumer</c:v>
                </c:pt>
              </c:strCache>
            </c:strRef>
          </c:cat>
          <c:val>
            <c:numRef>
              <c:f>Channel!$E$71:$E$76</c:f>
              <c:numCache>
                <c:formatCode>\+#,##0.0;\-#,##0.0;"–"</c:formatCode>
                <c:ptCount val="6"/>
                <c:pt idx="0">
                  <c:v>-0.83889335961023681</c:v>
                </c:pt>
                <c:pt idx="1">
                  <c:v>-0.69893240684634772</c:v>
                </c:pt>
                <c:pt idx="2">
                  <c:v>-0.47835171205660726</c:v>
                </c:pt>
                <c:pt idx="3">
                  <c:v>-0.37921706563371776</c:v>
                </c:pt>
                <c:pt idx="4">
                  <c:v>-0.31656787725369129</c:v>
                </c:pt>
                <c:pt idx="5">
                  <c:v>-0.19418666221167871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F2C-4190-BA7E-83C411D25D10}"/>
            </c:ext>
          </c:extLst>
        </c:ser>
        <c:ser>
          <c:idx val="1"/>
          <c:order val="1"/>
          <c:tx>
            <c:v>Mix</c:v>
          </c:tx>
          <c:spPr>
            <a:solidFill>
              <a:srgbClr val="6FA8C7"/>
            </a:solidFill>
            <a:ln>
              <a:noFill/>
            </a:ln>
          </c:spPr>
          <c:invertIfNegative val="0"/>
          <c:cat>
            <c:strRef>
              <c:f>Channel!$B$71:$B$76</c:f>
              <c:strCache>
                <c:ptCount val="6"/>
                <c:pt idx="0">
                  <c:v>Hypermarkets</c:v>
                </c:pt>
                <c:pt idx="1">
                  <c:v>Supermarkets</c:v>
                </c:pt>
                <c:pt idx="2">
                  <c:v>Marketplaces</c:v>
                </c:pt>
                <c:pt idx="3">
                  <c:v>Discounters</c:v>
                </c:pt>
                <c:pt idx="4">
                  <c:v>Distributors</c:v>
                </c:pt>
                <c:pt idx="5">
                  <c:v>Direct to Consumer</c:v>
                </c:pt>
              </c:strCache>
            </c:strRef>
          </c:cat>
          <c:val>
            <c:numRef>
              <c:f>Channel!$F$71:$F$76</c:f>
              <c:numCache>
                <c:formatCode>\+#,##0.0;\-#,##0.0;"–"</c:formatCode>
                <c:ptCount val="6"/>
                <c:pt idx="0">
                  <c:v>-4.4937621129937337</c:v>
                </c:pt>
                <c:pt idx="1">
                  <c:v>0.27394619237654738</c:v>
                </c:pt>
                <c:pt idx="2">
                  <c:v>5.915923470418015</c:v>
                </c:pt>
                <c:pt idx="3">
                  <c:v>-1.4786075689852682</c:v>
                </c:pt>
                <c:pt idx="4">
                  <c:v>0.75804955902602145</c:v>
                </c:pt>
                <c:pt idx="5">
                  <c:v>1.5877111705542357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F2C-4190-BA7E-83C411D25D10}"/>
            </c:ext>
          </c:extLst>
        </c:ser>
        <c:ser>
          <c:idx val="2"/>
          <c:order val="2"/>
          <c:tx>
            <c:v>Gross price</c:v>
          </c:tx>
          <c:spPr>
            <a:solidFill>
              <a:srgbClr val="12808A"/>
            </a:solidFill>
            <a:ln>
              <a:noFill/>
            </a:ln>
          </c:spPr>
          <c:invertIfNegative val="0"/>
          <c:cat>
            <c:strRef>
              <c:f>Channel!$B$71:$B$76</c:f>
              <c:strCache>
                <c:ptCount val="6"/>
                <c:pt idx="0">
                  <c:v>Hypermarkets</c:v>
                </c:pt>
                <c:pt idx="1">
                  <c:v>Supermarkets</c:v>
                </c:pt>
                <c:pt idx="2">
                  <c:v>Marketplaces</c:v>
                </c:pt>
                <c:pt idx="3">
                  <c:v>Discounters</c:v>
                </c:pt>
                <c:pt idx="4">
                  <c:v>Distributors</c:v>
                </c:pt>
                <c:pt idx="5">
                  <c:v>Direct to Consumer</c:v>
                </c:pt>
              </c:strCache>
            </c:strRef>
          </c:cat>
          <c:val>
            <c:numRef>
              <c:f>Channel!$G$71:$G$76</c:f>
              <c:numCache>
                <c:formatCode>\+#,##0.0;\-#,##0.0;"–"</c:formatCode>
                <c:ptCount val="6"/>
                <c:pt idx="0">
                  <c:v>0.32303716443723385</c:v>
                </c:pt>
                <c:pt idx="1">
                  <c:v>0.75424115537731662</c:v>
                </c:pt>
                <c:pt idx="2">
                  <c:v>0.36870101298165431</c:v>
                </c:pt>
                <c:pt idx="3">
                  <c:v>-0.38901759594281171</c:v>
                </c:pt>
                <c:pt idx="4">
                  <c:v>0.11732074719215513</c:v>
                </c:pt>
                <c:pt idx="5">
                  <c:v>0.26641856160933697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F2C-4190-BA7E-83C411D25D10}"/>
            </c:ext>
          </c:extLst>
        </c:ser>
        <c:ser>
          <c:idx val="3"/>
          <c:order val="3"/>
          <c:tx>
            <c:v>Trade &amp; returns</c:v>
          </c:tx>
          <c:spPr>
            <a:solidFill>
              <a:srgbClr val="D9B26F"/>
            </a:solidFill>
            <a:ln>
              <a:noFill/>
            </a:ln>
          </c:spPr>
          <c:invertIfNegative val="0"/>
          <c:cat>
            <c:strRef>
              <c:f>Channel!$B$71:$B$76</c:f>
              <c:strCache>
                <c:ptCount val="6"/>
                <c:pt idx="0">
                  <c:v>Hypermarkets</c:v>
                </c:pt>
                <c:pt idx="1">
                  <c:v>Supermarkets</c:v>
                </c:pt>
                <c:pt idx="2">
                  <c:v>Marketplaces</c:v>
                </c:pt>
                <c:pt idx="3">
                  <c:v>Discounters</c:v>
                </c:pt>
                <c:pt idx="4">
                  <c:v>Distributors</c:v>
                </c:pt>
                <c:pt idx="5">
                  <c:v>Direct to Consumer</c:v>
                </c:pt>
              </c:strCache>
            </c:strRef>
          </c:cat>
          <c:val>
            <c:numRef>
              <c:f>Channel!$H$71:$H$76</c:f>
              <c:numCache>
                <c:formatCode>\+#,##0.0;\-#,##0.0;"–"</c:formatCode>
                <c:ptCount val="6"/>
                <c:pt idx="0">
                  <c:v>-0.93838169183326459</c:v>
                </c:pt>
                <c:pt idx="1">
                  <c:v>-0.36525494090750654</c:v>
                </c:pt>
                <c:pt idx="2">
                  <c:v>0.12172722865693429</c:v>
                </c:pt>
                <c:pt idx="3">
                  <c:v>-0.72815776943820421</c:v>
                </c:pt>
                <c:pt idx="4">
                  <c:v>-1.0802428964487628E-2</c:v>
                </c:pt>
                <c:pt idx="5">
                  <c:v>-2.894306995189579E-2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F2C-4190-BA7E-83C411D25D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5"/>
        <c:overlap val="100"/>
        <c:axId val="50250001"/>
        <c:axId val="50250002"/>
      </c:barChart>
      <c:catAx>
        <c:axId val="50250001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low"/>
        <c:spPr>
          <a:ln>
            <a:solidFill>
              <a:srgbClr val="D5DAE1"/>
            </a:solidFill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250002"/>
        <c:crosses val="autoZero"/>
        <c:auto val="1"/>
        <c:lblAlgn val="ctr"/>
        <c:lblOffset val="100"/>
        <c:noMultiLvlLbl val="0"/>
      </c:catAx>
      <c:valAx>
        <c:axId val="50250002"/>
        <c:scaling>
          <c:orientation val="minMax"/>
        </c:scaling>
        <c:delete val="0"/>
        <c:axPos val="b"/>
        <c:majorGridlines>
          <c:spPr>
            <a:ln w="9525">
              <a:solidFill>
                <a:srgbClr val="E8EBEF"/>
              </a:solidFill>
            </a:ln>
          </c:spPr>
        </c:majorGridlines>
        <c:numFmt formatCode="#,##0.0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250001"/>
        <c:crosses val="max"/>
        <c:crossBetween val="between"/>
      </c:valAx>
      <c:spPr>
        <a:noFill/>
      </c:spPr>
    </c:plotArea>
    <c:legend>
      <c:legendPos val="b"/>
      <c:overlay val="0"/>
      <c:txPr>
        <a:bodyPr/>
        <a:lstStyle/>
        <a:p>
          <a:pPr>
            <a:defRPr sz="800" baseline="0">
              <a:solidFill>
                <a:srgbClr val="1F2937"/>
              </a:solidFill>
              <a:latin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>
      <a:solidFill>
        <a:srgbClr val="D5DAE1"/>
      </a:solidFill>
    </a:ln>
  </c:sp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Calc!$B$557</c:f>
          <c:strCache>
            <c:ptCount val="1"/>
            <c:pt idx="0">
              <c:v>Days sales outstanding by channel: actual vs budget</c:v>
            </c:pt>
          </c:strCache>
        </c:strRef>
      </c:tx>
      <c:layout>
        <c:manualLayout>
          <c:xMode val="edge"/>
          <c:yMode val="edge"/>
          <c:x val="0.02"/>
          <c:y val="2.5000000000000001E-2"/>
        </c:manualLayout>
      </c:layout>
      <c:overlay val="0"/>
      <c:txPr>
        <a:bodyPr/>
        <a:lstStyle/>
        <a:p>
          <a:pPr>
            <a:defRPr sz="950" b="1" baseline="0">
              <a:solidFill>
                <a:srgbClr val="0F2A47"/>
              </a:solidFill>
              <a:latin typeface="Arial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Actual</c:v>
          </c:tx>
          <c:spPr>
            <a:solidFill>
              <a:srgbClr val="0F2A47"/>
            </a:solidFill>
            <a:ln>
              <a:solidFill>
                <a:srgbClr val="0F2A47"/>
              </a:solidFill>
            </a:ln>
          </c:spPr>
          <c:invertIfNegative val="0"/>
          <c:dLbls>
            <c:numFmt formatCode="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aseline="0">
                    <a:latin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Channel!$B$14:$B$19</c:f>
              <c:strCache>
                <c:ptCount val="6"/>
                <c:pt idx="0">
                  <c:v>Hypermarkets</c:v>
                </c:pt>
                <c:pt idx="1">
                  <c:v>Supermarkets</c:v>
                </c:pt>
                <c:pt idx="2">
                  <c:v>Marketplaces</c:v>
                </c:pt>
                <c:pt idx="3">
                  <c:v>Discounters</c:v>
                </c:pt>
                <c:pt idx="4">
                  <c:v>Distributors</c:v>
                </c:pt>
                <c:pt idx="5">
                  <c:v>Direct to Consumer</c:v>
                </c:pt>
              </c:strCache>
            </c:strRef>
          </c:cat>
          <c:val>
            <c:numRef>
              <c:f>Channel!$U$14:$U$19</c:f>
              <c:numCache>
                <c:formatCode>0.0;\(0.0\);"–"</c:formatCode>
                <c:ptCount val="6"/>
                <c:pt idx="0">
                  <c:v>58.001327387742393</c:v>
                </c:pt>
                <c:pt idx="1">
                  <c:v>52.998684444444436</c:v>
                </c:pt>
                <c:pt idx="2">
                  <c:v>28.000127327709691</c:v>
                </c:pt>
                <c:pt idx="3">
                  <c:v>48.005035258464943</c:v>
                </c:pt>
                <c:pt idx="4">
                  <c:v>73.000259672812248</c:v>
                </c:pt>
                <c:pt idx="5">
                  <c:v>5.9922486879289467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72A-48CF-AD95-47CC02A4BB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50260001"/>
        <c:axId val="50260002"/>
      </c:barChart>
      <c:lineChart>
        <c:grouping val="standard"/>
        <c:varyColors val="0"/>
        <c:ser>
          <c:idx val="1"/>
          <c:order val="1"/>
          <c:tx>
            <c:v>Budget</c:v>
          </c:tx>
          <c:spPr>
            <a:ln>
              <a:noFill/>
            </a:ln>
          </c:spPr>
          <c:marker>
            <c:symbol val="dash"/>
            <c:size val="11"/>
            <c:spPr>
              <a:solidFill>
                <a:srgbClr val="12808A"/>
              </a:solidFill>
              <a:ln>
                <a:solidFill>
                  <a:srgbClr val="12808A"/>
                </a:solidFill>
              </a:ln>
            </c:spPr>
          </c:marker>
          <c:cat>
            <c:strRef>
              <c:f>Channel!$B$14:$B$19</c:f>
              <c:strCache>
                <c:ptCount val="6"/>
                <c:pt idx="0">
                  <c:v>Hypermarkets</c:v>
                </c:pt>
                <c:pt idx="1">
                  <c:v>Supermarkets</c:v>
                </c:pt>
                <c:pt idx="2">
                  <c:v>Marketplaces</c:v>
                </c:pt>
                <c:pt idx="3">
                  <c:v>Discounters</c:v>
                </c:pt>
                <c:pt idx="4">
                  <c:v>Distributors</c:v>
                </c:pt>
                <c:pt idx="5">
                  <c:v>Direct to Consumer</c:v>
                </c:pt>
              </c:strCache>
            </c:strRef>
          </c:cat>
          <c:val>
            <c:numRef>
              <c:f>Calc!$J$575:$J$580</c:f>
              <c:numCache>
                <c:formatCode>#,##0.00;\(#,##0.00\);\-</c:formatCode>
                <c:ptCount val="6"/>
                <c:pt idx="0">
                  <c:v>55.001459278248859</c:v>
                </c:pt>
                <c:pt idx="1">
                  <c:v>50.004982395928877</c:v>
                </c:pt>
                <c:pt idx="2">
                  <c:v>25.002127107652402</c:v>
                </c:pt>
                <c:pt idx="3">
                  <c:v>44.993326063249725</c:v>
                </c:pt>
                <c:pt idx="4">
                  <c:v>69.993468321358591</c:v>
                </c:pt>
                <c:pt idx="5">
                  <c:v>3.0014698050910646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72A-48CF-AD95-47CC02A4BB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260001"/>
        <c:axId val="50260002"/>
      </c:lineChart>
      <c:catAx>
        <c:axId val="5026000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ln>
            <a:solidFill>
              <a:srgbClr val="D5DAE1"/>
            </a:solidFill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260002"/>
        <c:crosses val="autoZero"/>
        <c:auto val="1"/>
        <c:lblAlgn val="ctr"/>
        <c:lblOffset val="100"/>
        <c:noMultiLvlLbl val="0"/>
      </c:catAx>
      <c:valAx>
        <c:axId val="50260002"/>
        <c:scaling>
          <c:orientation val="minMax"/>
        </c:scaling>
        <c:delete val="0"/>
        <c:axPos val="l"/>
        <c:majorGridlines>
          <c:spPr>
            <a:ln w="9525">
              <a:solidFill>
                <a:srgbClr val="E8EBEF"/>
              </a:solidFill>
            </a:ln>
          </c:spPr>
        </c:majorGridlines>
        <c:numFmt formatCode="0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260001"/>
        <c:crosses val="autoZero"/>
        <c:crossBetween val="between"/>
      </c:valAx>
      <c:spPr>
        <a:noFill/>
      </c:spPr>
    </c:plotArea>
    <c:legend>
      <c:legendPos val="b"/>
      <c:overlay val="0"/>
      <c:txPr>
        <a:bodyPr/>
        <a:lstStyle/>
        <a:p>
          <a:pPr>
            <a:defRPr sz="800" baseline="0">
              <a:solidFill>
                <a:srgbClr val="1F2937"/>
              </a:solidFill>
              <a:latin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>
      <a:solidFill>
        <a:srgbClr val="D5DAE1"/>
      </a:solidFill>
    </a:ln>
  </c:sp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Calc!$B$558</c:f>
          <c:strCache>
            <c:ptCount val="1"/>
            <c:pt idx="0">
              <c:v>Marketplaces: gross sales to contribution, $m (YTD Oct 2026)</c:v>
            </c:pt>
          </c:strCache>
        </c:strRef>
      </c:tx>
      <c:layout>
        <c:manualLayout>
          <c:xMode val="edge"/>
          <c:yMode val="edge"/>
          <c:x val="0.02"/>
          <c:y val="2.5000000000000001E-2"/>
        </c:manualLayout>
      </c:layout>
      <c:overlay val="0"/>
      <c:txPr>
        <a:bodyPr/>
        <a:lstStyle/>
        <a:p>
          <a:pPr>
            <a:defRPr sz="950" b="1" baseline="0">
              <a:solidFill>
                <a:srgbClr val="0F2A47"/>
              </a:solidFill>
              <a:latin typeface="Arial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v>b</c:v>
          </c:tx>
          <c:spPr>
            <a:noFill/>
            <a:ln>
              <a:noFill/>
            </a:ln>
          </c:spPr>
          <c:invertIfNegative val="0"/>
          <c:cat>
            <c:strRef>
              <c:f>Calc!$A$506:$A$512</c:f>
              <c:strCache>
                <c:ptCount val="7"/>
                <c:pt idx="0">
                  <c:v>Gross sales</c:v>
                </c:pt>
                <c:pt idx="1">
                  <c:v>Trade</c:v>
                </c:pt>
                <c:pt idx="2">
                  <c:v>Returns</c:v>
                </c:pt>
                <c:pt idx="3">
                  <c:v>COGS</c:v>
                </c:pt>
                <c:pt idx="4">
                  <c:v>A&amp;P</c:v>
                </c:pt>
                <c:pt idx="5">
                  <c:v>Cost to serve</c:v>
                </c:pt>
                <c:pt idx="6">
                  <c:v>Contribution</c:v>
                </c:pt>
              </c:strCache>
            </c:strRef>
          </c:cat>
          <c:val>
            <c:numRef>
              <c:f>Calc!$F$506:$F$512</c:f>
              <c:numCache>
                <c:formatCode>#,##0.00;\(#,##0.00\);\-</c:formatCode>
                <c:ptCount val="7"/>
                <c:pt idx="0">
                  <c:v>0</c:v>
                </c:pt>
                <c:pt idx="1">
                  <c:v>77.967999999999989</c:v>
                </c:pt>
                <c:pt idx="2">
                  <c:v>74.470999999999989</c:v>
                </c:pt>
                <c:pt idx="3">
                  <c:v>42.829999999999991</c:v>
                </c:pt>
                <c:pt idx="4">
                  <c:v>37.125999999999991</c:v>
                </c:pt>
                <c:pt idx="5">
                  <c:v>28.62299999999999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31-4EE4-A8E6-841DA2DB6F38}"/>
            </c:ext>
          </c:extLst>
        </c:ser>
        <c:ser>
          <c:idx val="1"/>
          <c:order val="1"/>
          <c:tx>
            <c:v>Total</c:v>
          </c:tx>
          <c:spPr>
            <a:solidFill>
              <a:srgbClr val="0F2A47"/>
            </a:solidFill>
            <a:ln>
              <a:solidFill>
                <a:srgbClr val="0F2A47"/>
              </a:solidFill>
            </a:ln>
          </c:spPr>
          <c:invertIfNegative val="0"/>
          <c:cat>
            <c:strRef>
              <c:f>Calc!$A$506:$A$512</c:f>
              <c:strCache>
                <c:ptCount val="7"/>
                <c:pt idx="0">
                  <c:v>Gross sales</c:v>
                </c:pt>
                <c:pt idx="1">
                  <c:v>Trade</c:v>
                </c:pt>
                <c:pt idx="2">
                  <c:v>Returns</c:v>
                </c:pt>
                <c:pt idx="3">
                  <c:v>COGS</c:v>
                </c:pt>
                <c:pt idx="4">
                  <c:v>A&amp;P</c:v>
                </c:pt>
                <c:pt idx="5">
                  <c:v>Cost to serve</c:v>
                </c:pt>
                <c:pt idx="6">
                  <c:v>Contribution</c:v>
                </c:pt>
              </c:strCache>
            </c:strRef>
          </c:cat>
          <c:val>
            <c:numRef>
              <c:f>Calc!$G$506:$G$512</c:f>
              <c:numCache>
                <c:formatCode>#,##0.00;\(#,##0.00\);\-</c:formatCode>
                <c:ptCount val="7"/>
                <c:pt idx="0">
                  <c:v>87.406999999999996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28.623000000000001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31-4EE4-A8E6-841DA2DB6F38}"/>
            </c:ext>
          </c:extLst>
        </c:ser>
        <c:ser>
          <c:idx val="2"/>
          <c:order val="2"/>
          <c:tx>
            <c:v>Favourable</c:v>
          </c:tx>
          <c:spPr>
            <a:solidFill>
              <a:srgbClr val="1E8E5A"/>
            </a:solidFill>
            <a:ln>
              <a:solidFill>
                <a:srgbClr val="1E8E5A"/>
              </a:solidFill>
            </a:ln>
          </c:spPr>
          <c:invertIfNegative val="0"/>
          <c:cat>
            <c:strRef>
              <c:f>Calc!$A$506:$A$512</c:f>
              <c:strCache>
                <c:ptCount val="7"/>
                <c:pt idx="0">
                  <c:v>Gross sales</c:v>
                </c:pt>
                <c:pt idx="1">
                  <c:v>Trade</c:v>
                </c:pt>
                <c:pt idx="2">
                  <c:v>Returns</c:v>
                </c:pt>
                <c:pt idx="3">
                  <c:v>COGS</c:v>
                </c:pt>
                <c:pt idx="4">
                  <c:v>A&amp;P</c:v>
                </c:pt>
                <c:pt idx="5">
                  <c:v>Cost to serve</c:v>
                </c:pt>
                <c:pt idx="6">
                  <c:v>Contribution</c:v>
                </c:pt>
              </c:strCache>
            </c:strRef>
          </c:cat>
          <c:val>
            <c:numRef>
              <c:f>Calc!$H$506:$H$512</c:f>
              <c:numCache>
                <c:formatCode>#,##0.00;\(#,##0.00\);\-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31-4EE4-A8E6-841DA2DB6F38}"/>
            </c:ext>
          </c:extLst>
        </c:ser>
        <c:ser>
          <c:idx val="3"/>
          <c:order val="3"/>
          <c:tx>
            <c:v>Unfavourable</c:v>
          </c:tx>
          <c:spPr>
            <a:solidFill>
              <a:srgbClr val="C8372D"/>
            </a:solidFill>
            <a:ln>
              <a:solidFill>
                <a:srgbClr val="C8372D"/>
              </a:solidFill>
            </a:ln>
          </c:spPr>
          <c:invertIfNegative val="0"/>
          <c:cat>
            <c:strRef>
              <c:f>Calc!$A$506:$A$512</c:f>
              <c:strCache>
                <c:ptCount val="7"/>
                <c:pt idx="0">
                  <c:v>Gross sales</c:v>
                </c:pt>
                <c:pt idx="1">
                  <c:v>Trade</c:v>
                </c:pt>
                <c:pt idx="2">
                  <c:v>Returns</c:v>
                </c:pt>
                <c:pt idx="3">
                  <c:v>COGS</c:v>
                </c:pt>
                <c:pt idx="4">
                  <c:v>A&amp;P</c:v>
                </c:pt>
                <c:pt idx="5">
                  <c:v>Cost to serve</c:v>
                </c:pt>
                <c:pt idx="6">
                  <c:v>Contribution</c:v>
                </c:pt>
              </c:strCache>
            </c:strRef>
          </c:cat>
          <c:val>
            <c:numRef>
              <c:f>Calc!$I$506:$I$512</c:f>
              <c:numCache>
                <c:formatCode>#,##0.00;\(#,##0.00\);\-</c:formatCode>
                <c:ptCount val="7"/>
                <c:pt idx="0">
                  <c:v>0</c:v>
                </c:pt>
                <c:pt idx="1">
                  <c:v>9.4390000000000072</c:v>
                </c:pt>
                <c:pt idx="2">
                  <c:v>3.4969999999999999</c:v>
                </c:pt>
                <c:pt idx="3">
                  <c:v>31.640999999999998</c:v>
                </c:pt>
                <c:pt idx="4">
                  <c:v>5.7040000000000006</c:v>
                </c:pt>
                <c:pt idx="5">
                  <c:v>8.5030000000000001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31-4EE4-A8E6-841DA2DB6F38}"/>
            </c:ext>
          </c:extLst>
        </c:ser>
        <c:ser>
          <c:idx val="4"/>
          <c:order val="4"/>
          <c:tx>
            <c:v>bn</c:v>
          </c:tx>
          <c:spPr>
            <a:noFill/>
            <a:ln>
              <a:noFill/>
            </a:ln>
          </c:spPr>
          <c:invertIfNegative val="0"/>
          <c:cat>
            <c:strRef>
              <c:f>Calc!$A$506:$A$512</c:f>
              <c:strCache>
                <c:ptCount val="7"/>
                <c:pt idx="0">
                  <c:v>Gross sales</c:v>
                </c:pt>
                <c:pt idx="1">
                  <c:v>Trade</c:v>
                </c:pt>
                <c:pt idx="2">
                  <c:v>Returns</c:v>
                </c:pt>
                <c:pt idx="3">
                  <c:v>COGS</c:v>
                </c:pt>
                <c:pt idx="4">
                  <c:v>A&amp;P</c:v>
                </c:pt>
                <c:pt idx="5">
                  <c:v>Cost to serve</c:v>
                </c:pt>
                <c:pt idx="6">
                  <c:v>Contribution</c:v>
                </c:pt>
              </c:strCache>
            </c:strRef>
          </c:cat>
          <c:val>
            <c:numRef>
              <c:f>Calc!$J$506:$J$512</c:f>
              <c:numCache>
                <c:formatCode>#,##0.00;\(#,##0.00\);\-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31-4EE4-A8E6-841DA2DB6F38}"/>
            </c:ext>
          </c:extLst>
        </c:ser>
        <c:ser>
          <c:idx val="5"/>
          <c:order val="5"/>
          <c:tx>
            <c:v>Total-</c:v>
          </c:tx>
          <c:spPr>
            <a:solidFill>
              <a:srgbClr val="0F2A47"/>
            </a:solidFill>
            <a:ln>
              <a:solidFill>
                <a:srgbClr val="0F2A47"/>
              </a:solidFill>
            </a:ln>
          </c:spPr>
          <c:invertIfNegative val="0"/>
          <c:cat>
            <c:strRef>
              <c:f>Calc!$A$506:$A$512</c:f>
              <c:strCache>
                <c:ptCount val="7"/>
                <c:pt idx="0">
                  <c:v>Gross sales</c:v>
                </c:pt>
                <c:pt idx="1">
                  <c:v>Trade</c:v>
                </c:pt>
                <c:pt idx="2">
                  <c:v>Returns</c:v>
                </c:pt>
                <c:pt idx="3">
                  <c:v>COGS</c:v>
                </c:pt>
                <c:pt idx="4">
                  <c:v>A&amp;P</c:v>
                </c:pt>
                <c:pt idx="5">
                  <c:v>Cost to serve</c:v>
                </c:pt>
                <c:pt idx="6">
                  <c:v>Contribution</c:v>
                </c:pt>
              </c:strCache>
            </c:strRef>
          </c:cat>
          <c:val>
            <c:numRef>
              <c:f>Calc!$K$506:$K$512</c:f>
              <c:numCache>
                <c:formatCode>#,##0.00;\(#,##0.00\);\-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E31-4EE4-A8E6-841DA2DB6F38}"/>
            </c:ext>
          </c:extLst>
        </c:ser>
        <c:ser>
          <c:idx val="6"/>
          <c:order val="6"/>
          <c:tx>
            <c:v>Fav-</c:v>
          </c:tx>
          <c:spPr>
            <a:solidFill>
              <a:srgbClr val="1E8E5A"/>
            </a:solidFill>
            <a:ln>
              <a:solidFill>
                <a:srgbClr val="1E8E5A"/>
              </a:solidFill>
            </a:ln>
          </c:spPr>
          <c:invertIfNegative val="0"/>
          <c:cat>
            <c:strRef>
              <c:f>Calc!$A$506:$A$512</c:f>
              <c:strCache>
                <c:ptCount val="7"/>
                <c:pt idx="0">
                  <c:v>Gross sales</c:v>
                </c:pt>
                <c:pt idx="1">
                  <c:v>Trade</c:v>
                </c:pt>
                <c:pt idx="2">
                  <c:v>Returns</c:v>
                </c:pt>
                <c:pt idx="3">
                  <c:v>COGS</c:v>
                </c:pt>
                <c:pt idx="4">
                  <c:v>A&amp;P</c:v>
                </c:pt>
                <c:pt idx="5">
                  <c:v>Cost to serve</c:v>
                </c:pt>
                <c:pt idx="6">
                  <c:v>Contribution</c:v>
                </c:pt>
              </c:strCache>
            </c:strRef>
          </c:cat>
          <c:val>
            <c:numRef>
              <c:f>Calc!$L$506:$L$512</c:f>
              <c:numCache>
                <c:formatCode>#,##0.00;\(#,##0.00\);\-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E31-4EE4-A8E6-841DA2DB6F38}"/>
            </c:ext>
          </c:extLst>
        </c:ser>
        <c:ser>
          <c:idx val="7"/>
          <c:order val="7"/>
          <c:tx>
            <c:v>Unfav-</c:v>
          </c:tx>
          <c:spPr>
            <a:solidFill>
              <a:srgbClr val="C8372D"/>
            </a:solidFill>
            <a:ln>
              <a:solidFill>
                <a:srgbClr val="C8372D"/>
              </a:solidFill>
            </a:ln>
          </c:spPr>
          <c:invertIfNegative val="0"/>
          <c:cat>
            <c:strRef>
              <c:f>Calc!$A$506:$A$512</c:f>
              <c:strCache>
                <c:ptCount val="7"/>
                <c:pt idx="0">
                  <c:v>Gross sales</c:v>
                </c:pt>
                <c:pt idx="1">
                  <c:v>Trade</c:v>
                </c:pt>
                <c:pt idx="2">
                  <c:v>Returns</c:v>
                </c:pt>
                <c:pt idx="3">
                  <c:v>COGS</c:v>
                </c:pt>
                <c:pt idx="4">
                  <c:v>A&amp;P</c:v>
                </c:pt>
                <c:pt idx="5">
                  <c:v>Cost to serve</c:v>
                </c:pt>
                <c:pt idx="6">
                  <c:v>Contribution</c:v>
                </c:pt>
              </c:strCache>
            </c:strRef>
          </c:cat>
          <c:val>
            <c:numRef>
              <c:f>Calc!$M$506:$M$512</c:f>
              <c:numCache>
                <c:formatCode>#,##0.00;\(#,##0.00\);\-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FE31-4EE4-A8E6-841DA2DB6F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5"/>
        <c:overlap val="100"/>
        <c:axId val="50270001"/>
        <c:axId val="50270002"/>
      </c:barChart>
      <c:lineChart>
        <c:grouping val="standard"/>
        <c:varyColors val="0"/>
        <c:ser>
          <c:idx val="8"/>
          <c:order val="8"/>
          <c:tx>
            <c:v>lbl</c:v>
          </c:tx>
          <c:spPr>
            <a:ln>
              <a:noFill/>
            </a:ln>
          </c:spPr>
          <c:marker>
            <c:symbol val="none"/>
          </c:marker>
          <c:dLbls>
            <c:dLbl>
              <c:idx val="0"/>
              <c:tx>
                <c:strRef>
                  <c:f>Calc!$O$506</c:f>
                  <c:strCache>
                    <c:ptCount val="1"/>
                    <c:pt idx="0">
                      <c:v>87.4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{5523C060-CAE1-4A46-B0D6-5BE28F068CE3}</c15:txfldGUID>
                      <c15:f>Calc!$O$506</c15:f>
                      <c15:dlblFieldTableCache>
                        <c:ptCount val="1"/>
                        <c:pt idx="0">
                          <c:v>87.4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8-FE31-4EE4-A8E6-841DA2DB6F38}"/>
                </c:ext>
              </c:extLst>
            </c:dLbl>
            <c:dLbl>
              <c:idx val="1"/>
              <c:tx>
                <c:strRef>
                  <c:f>Calc!$O$507</c:f>
                  <c:strCache>
                    <c:ptCount val="1"/>
                    <c:pt idx="0">
                      <c:v>-9.4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{84B5E44D-7B71-42B9-AD57-0E096AB208AF}</c15:txfldGUID>
                      <c15:f>Calc!$O$507</c15:f>
                      <c15:dlblFieldTableCache>
                        <c:ptCount val="1"/>
                        <c:pt idx="0">
                          <c:v>-9.4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FE31-4EE4-A8E6-841DA2DB6F38}"/>
                </c:ext>
              </c:extLst>
            </c:dLbl>
            <c:dLbl>
              <c:idx val="2"/>
              <c:tx>
                <c:strRef>
                  <c:f>Calc!$O$508</c:f>
                  <c:strCache>
                    <c:ptCount val="1"/>
                    <c:pt idx="0">
                      <c:v>-3.5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{70EA341C-8351-4230-824F-A20EF40F28BA}</c15:txfldGUID>
                      <c15:f>Calc!$O$508</c15:f>
                      <c15:dlblFieldTableCache>
                        <c:ptCount val="1"/>
                        <c:pt idx="0">
                          <c:v>-3.5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A-FE31-4EE4-A8E6-841DA2DB6F38}"/>
                </c:ext>
              </c:extLst>
            </c:dLbl>
            <c:dLbl>
              <c:idx val="3"/>
              <c:tx>
                <c:strRef>
                  <c:f>Calc!$O$509</c:f>
                  <c:strCache>
                    <c:ptCount val="1"/>
                    <c:pt idx="0">
                      <c:v>-31.6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{1449CF1D-DB18-4053-98A1-730773055CDC}</c15:txfldGUID>
                      <c15:f>Calc!$O$509</c15:f>
                      <c15:dlblFieldTableCache>
                        <c:ptCount val="1"/>
                        <c:pt idx="0">
                          <c:v>-31.6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B-FE31-4EE4-A8E6-841DA2DB6F38}"/>
                </c:ext>
              </c:extLst>
            </c:dLbl>
            <c:dLbl>
              <c:idx val="4"/>
              <c:tx>
                <c:strRef>
                  <c:f>Calc!$O$510</c:f>
                  <c:strCache>
                    <c:ptCount val="1"/>
                    <c:pt idx="0">
                      <c:v>-5.7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{8F776160-D1B6-4BCE-84C4-69ACDBEF13CF}</c15:txfldGUID>
                      <c15:f>Calc!$O$510</c15:f>
                      <c15:dlblFieldTableCache>
                        <c:ptCount val="1"/>
                        <c:pt idx="0">
                          <c:v>-5.7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C-FE31-4EE4-A8E6-841DA2DB6F38}"/>
                </c:ext>
              </c:extLst>
            </c:dLbl>
            <c:dLbl>
              <c:idx val="5"/>
              <c:tx>
                <c:strRef>
                  <c:f>Calc!$O$511</c:f>
                  <c:strCache>
                    <c:ptCount val="1"/>
                    <c:pt idx="0">
                      <c:v>-8.5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{68348F14-CDB8-4B72-854E-AD67F76A24F6}</c15:txfldGUID>
                      <c15:f>Calc!$O$511</c15:f>
                      <c15:dlblFieldTableCache>
                        <c:ptCount val="1"/>
                        <c:pt idx="0">
                          <c:v>-8.5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D-FE31-4EE4-A8E6-841DA2DB6F38}"/>
                </c:ext>
              </c:extLst>
            </c:dLbl>
            <c:dLbl>
              <c:idx val="6"/>
              <c:tx>
                <c:strRef>
                  <c:f>Calc!$O$512</c:f>
                  <c:strCache>
                    <c:ptCount val="1"/>
                    <c:pt idx="0">
                      <c:v>28.6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{1D33C356-A654-42F8-A96E-B456DE612B91}</c15:txfldGUID>
                      <c15:f>Calc!$O$512</c15:f>
                      <c15:dlblFieldTableCache>
                        <c:ptCount val="1"/>
                        <c:pt idx="0">
                          <c:v>28.6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E-FE31-4EE4-A8E6-841DA2DB6F3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 baseline="0">
                    <a:solidFill>
                      <a:srgbClr val="1F2937"/>
                    </a:solidFill>
                    <a:latin typeface="Arial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Calc!$A$506:$A$512</c:f>
              <c:strCache>
                <c:ptCount val="7"/>
                <c:pt idx="0">
                  <c:v>Gross sales</c:v>
                </c:pt>
                <c:pt idx="1">
                  <c:v>Trade</c:v>
                </c:pt>
                <c:pt idx="2">
                  <c:v>Returns</c:v>
                </c:pt>
                <c:pt idx="3">
                  <c:v>COGS</c:v>
                </c:pt>
                <c:pt idx="4">
                  <c:v>A&amp;P</c:v>
                </c:pt>
                <c:pt idx="5">
                  <c:v>Cost to serve</c:v>
                </c:pt>
                <c:pt idx="6">
                  <c:v>Contribution</c:v>
                </c:pt>
              </c:strCache>
            </c:strRef>
          </c:cat>
          <c:val>
            <c:numRef>
              <c:f>Calc!$N$506:$N$512</c:f>
              <c:numCache>
                <c:formatCode>#,##0.00;\(#,##0.00\);\-</c:formatCode>
                <c:ptCount val="7"/>
                <c:pt idx="0">
                  <c:v>87.406999999999996</c:v>
                </c:pt>
                <c:pt idx="1">
                  <c:v>87.406999999999996</c:v>
                </c:pt>
                <c:pt idx="2">
                  <c:v>77.967999999999989</c:v>
                </c:pt>
                <c:pt idx="3">
                  <c:v>74.470999999999989</c:v>
                </c:pt>
                <c:pt idx="4">
                  <c:v>42.829999999999991</c:v>
                </c:pt>
                <c:pt idx="5">
                  <c:v>37.125999999999991</c:v>
                </c:pt>
                <c:pt idx="6">
                  <c:v>28.623000000000001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FE31-4EE4-A8E6-841DA2DB6F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270001"/>
        <c:axId val="50270002"/>
      </c:lineChart>
      <c:catAx>
        <c:axId val="50270001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low"/>
        <c:spPr>
          <a:ln>
            <a:solidFill>
              <a:srgbClr val="D5DAE1"/>
            </a:solidFill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270002"/>
        <c:crosses val="autoZero"/>
        <c:auto val="1"/>
        <c:lblAlgn val="ctr"/>
        <c:lblOffset val="100"/>
        <c:noMultiLvlLbl val="0"/>
      </c:catAx>
      <c:valAx>
        <c:axId val="50270002"/>
        <c:scaling>
          <c:orientation val="minMax"/>
        </c:scaling>
        <c:delete val="1"/>
        <c:axPos val="l"/>
        <c:numFmt formatCode="#,##0.00;\(#,##0.00\);\-" sourceLinked="1"/>
        <c:majorTickMark val="none"/>
        <c:minorTickMark val="none"/>
        <c:tickLblPos val="nextTo"/>
        <c:crossAx val="50270001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solidFill>
      <a:srgbClr val="FFFFFF"/>
    </a:solidFill>
    <a:ln>
      <a:solidFill>
        <a:srgbClr val="D5DAE1"/>
      </a:solidFill>
    </a:ln>
  </c:sp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Calc!$B$559</c:f>
          <c:strCache>
            <c:ptCount val="1"/>
            <c:pt idx="0">
              <c:v>Marketplaces: net revenue vs budget, $m, and CM %</c:v>
            </c:pt>
          </c:strCache>
        </c:strRef>
      </c:tx>
      <c:layout>
        <c:manualLayout>
          <c:xMode val="edge"/>
          <c:yMode val="edge"/>
          <c:x val="0.02"/>
          <c:y val="2.5000000000000001E-2"/>
        </c:manualLayout>
      </c:layout>
      <c:overlay val="0"/>
      <c:txPr>
        <a:bodyPr/>
        <a:lstStyle/>
        <a:p>
          <a:pPr>
            <a:defRPr sz="950" b="1" baseline="0">
              <a:solidFill>
                <a:srgbClr val="0F2A47"/>
              </a:solidFill>
              <a:latin typeface="Arial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Actual / forecast</c:v>
          </c:tx>
          <c:spPr>
            <a:solidFill>
              <a:srgbClr val="0F2A47"/>
            </a:solidFill>
            <a:ln>
              <a:solidFill>
                <a:srgbClr val="0F2A47"/>
              </a:solidFill>
            </a:ln>
          </c:spPr>
          <c:invertIfNegative val="0"/>
          <c:cat>
            <c:strRef>
              <c:f>Calc!$D$4:$O$4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Calc!$D$432:$O$432</c:f>
              <c:numCache>
                <c:formatCode>#,##0.00;\(#,##0.00\);\-</c:formatCode>
                <c:ptCount val="12"/>
                <c:pt idx="0">
                  <c:v>6.149</c:v>
                </c:pt>
                <c:pt idx="1">
                  <c:v>6.3529999999999998</c:v>
                </c:pt>
                <c:pt idx="2">
                  <c:v>7.085</c:v>
                </c:pt>
                <c:pt idx="3">
                  <c:v>7.2140000000000004</c:v>
                </c:pt>
                <c:pt idx="4">
                  <c:v>7.452</c:v>
                </c:pt>
                <c:pt idx="5">
                  <c:v>7.6369999999999996</c:v>
                </c:pt>
                <c:pt idx="6">
                  <c:v>7.4489999999999998</c:v>
                </c:pt>
                <c:pt idx="7">
                  <c:v>7.6760000000000002</c:v>
                </c:pt>
                <c:pt idx="8">
                  <c:v>8.3699999999999992</c:v>
                </c:pt>
                <c:pt idx="9">
                  <c:v>9.0860000000000003</c:v>
                </c:pt>
                <c:pt idx="10">
                  <c:v>9.6790000000000003</c:v>
                </c:pt>
                <c:pt idx="11">
                  <c:v>8.9429999999999996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2B7-4C43-96FE-FED6F47067AF}"/>
            </c:ext>
          </c:extLst>
        </c:ser>
        <c:ser>
          <c:idx val="1"/>
          <c:order val="1"/>
          <c:tx>
            <c:v>Budget</c:v>
          </c:tx>
          <c:spPr>
            <a:solidFill>
              <a:srgbClr val="FFFFFF"/>
            </a:solidFill>
            <a:ln w="15875">
              <a:solidFill>
                <a:srgbClr val="0F2A47"/>
              </a:solidFill>
            </a:ln>
          </c:spPr>
          <c:invertIfNegative val="0"/>
          <c:cat>
            <c:strRef>
              <c:f>Calc!$D$4:$O$4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Calc!$D$433:$O$433</c:f>
              <c:numCache>
                <c:formatCode>#,##0.00;\(#,##0.00\);\-</c:formatCode>
                <c:ptCount val="12"/>
                <c:pt idx="0">
                  <c:v>5.6539999999999999</c:v>
                </c:pt>
                <c:pt idx="1">
                  <c:v>5.827</c:v>
                </c:pt>
                <c:pt idx="2">
                  <c:v>6.5119999999999996</c:v>
                </c:pt>
                <c:pt idx="3">
                  <c:v>6.6829999999999998</c:v>
                </c:pt>
                <c:pt idx="4">
                  <c:v>6.8559999999999999</c:v>
                </c:pt>
                <c:pt idx="5">
                  <c:v>7.0250000000000004</c:v>
                </c:pt>
                <c:pt idx="6">
                  <c:v>6.8559999999999999</c:v>
                </c:pt>
                <c:pt idx="7">
                  <c:v>7.0250000000000004</c:v>
                </c:pt>
                <c:pt idx="8">
                  <c:v>7.7089999999999996</c:v>
                </c:pt>
                <c:pt idx="9">
                  <c:v>8.3960000000000008</c:v>
                </c:pt>
                <c:pt idx="10">
                  <c:v>8.9109999999999996</c:v>
                </c:pt>
                <c:pt idx="11">
                  <c:v>8.2270000000000003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2B7-4C43-96FE-FED6F47067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axId val="50280001"/>
        <c:axId val="50280002"/>
      </c:barChart>
      <c:lineChart>
        <c:grouping val="standard"/>
        <c:varyColors val="0"/>
        <c:ser>
          <c:idx val="2"/>
          <c:order val="2"/>
          <c:tx>
            <c:v>CM %</c:v>
          </c:tx>
          <c:spPr>
            <a:ln w="25400">
              <a:solidFill>
                <a:srgbClr val="12808A"/>
              </a:solidFill>
            </a:ln>
          </c:spPr>
          <c:marker>
            <c:symbol val="none"/>
          </c:marker>
          <c:cat>
            <c:strRef>
              <c:f>Calc!$D$4:$O$4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Calc!$D$436:$O$436</c:f>
              <c:numCache>
                <c:formatCode>0.0%;\(0.0%\);\-</c:formatCode>
                <c:ptCount val="12"/>
                <c:pt idx="0">
                  <c:v>0.38477801268498946</c:v>
                </c:pt>
                <c:pt idx="1">
                  <c:v>0.38422792381552023</c:v>
                </c:pt>
                <c:pt idx="2">
                  <c:v>0.3851799576570219</c:v>
                </c:pt>
                <c:pt idx="3">
                  <c:v>0.38383698364291657</c:v>
                </c:pt>
                <c:pt idx="4">
                  <c:v>0.38472893183038109</c:v>
                </c:pt>
                <c:pt idx="5">
                  <c:v>0.38405132905591199</c:v>
                </c:pt>
                <c:pt idx="6">
                  <c:v>0.38461538461538464</c:v>
                </c:pt>
                <c:pt idx="7">
                  <c:v>0.38470557582073994</c:v>
                </c:pt>
                <c:pt idx="8">
                  <c:v>0.38399044205495819</c:v>
                </c:pt>
                <c:pt idx="9">
                  <c:v>0.38366718027734981</c:v>
                </c:pt>
                <c:pt idx="10">
                  <c:v>0.38506044012811236</c:v>
                </c:pt>
                <c:pt idx="11">
                  <c:v>0.38465839203846586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2B7-4C43-96FE-FED6F47067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280001"/>
        <c:axId val="60280002"/>
      </c:lineChart>
      <c:catAx>
        <c:axId val="50280001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low"/>
        <c:spPr>
          <a:ln>
            <a:solidFill>
              <a:srgbClr val="D5DAE1"/>
            </a:solidFill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280002"/>
        <c:crosses val="autoZero"/>
        <c:auto val="1"/>
        <c:lblAlgn val="ctr"/>
        <c:lblOffset val="100"/>
        <c:noMultiLvlLbl val="0"/>
      </c:catAx>
      <c:valAx>
        <c:axId val="50280002"/>
        <c:scaling>
          <c:orientation val="minMax"/>
        </c:scaling>
        <c:delete val="0"/>
        <c:axPos val="l"/>
        <c:majorGridlines>
          <c:spPr>
            <a:ln w="9525">
              <a:solidFill>
                <a:srgbClr val="E8EBEF"/>
              </a:solidFill>
            </a:ln>
          </c:spPr>
        </c:majorGridlines>
        <c:numFmt formatCode="#,##0.0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280001"/>
        <c:crosses val="autoZero"/>
        <c:crossBetween val="between"/>
      </c:valAx>
      <c:valAx>
        <c:axId val="60280002"/>
        <c:scaling>
          <c:orientation val="minMax"/>
        </c:scaling>
        <c:delete val="0"/>
        <c:axPos val="r"/>
        <c:numFmt formatCode="0.0%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60280001"/>
        <c:crosses val="max"/>
        <c:crossBetween val="between"/>
      </c:valAx>
      <c:catAx>
        <c:axId val="6028000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60280002"/>
        <c:crosses val="autoZero"/>
        <c:auto val="1"/>
        <c:lblAlgn val="ctr"/>
        <c:lblOffset val="100"/>
        <c:noMultiLvlLbl val="0"/>
      </c:catAx>
      <c:spPr>
        <a:noFill/>
      </c:spPr>
    </c:plotArea>
    <c:legend>
      <c:legendPos val="b"/>
      <c:overlay val="0"/>
      <c:txPr>
        <a:bodyPr/>
        <a:lstStyle/>
        <a:p>
          <a:pPr>
            <a:defRPr sz="800" baseline="0">
              <a:solidFill>
                <a:srgbClr val="1F2937"/>
              </a:solidFill>
              <a:latin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>
      <a:solidFill>
        <a:srgbClr val="D5DAE1"/>
      </a:solidFill>
    </a:ln>
  </c:sp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Calc!$B$560</c:f>
          <c:strCache>
            <c:ptCount val="1"/>
            <c:pt idx="0">
              <c:v>Marketplaces: net revenue by brand, $m</c:v>
            </c:pt>
          </c:strCache>
        </c:strRef>
      </c:tx>
      <c:layout>
        <c:manualLayout>
          <c:xMode val="edge"/>
          <c:yMode val="edge"/>
          <c:x val="0.02"/>
          <c:y val="2.5000000000000001E-2"/>
        </c:manualLayout>
      </c:layout>
      <c:overlay val="0"/>
      <c:txPr>
        <a:bodyPr/>
        <a:lstStyle/>
        <a:p>
          <a:pPr>
            <a:defRPr sz="950" b="1" baseline="0">
              <a:solidFill>
                <a:srgbClr val="0F2A47"/>
              </a:solidFill>
              <a:latin typeface="Arial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Actual</c:v>
          </c:tx>
          <c:spPr>
            <a:solidFill>
              <a:srgbClr val="0F2A47"/>
            </a:solidFill>
            <a:ln>
              <a:solidFill>
                <a:srgbClr val="0F2A47"/>
              </a:solidFill>
            </a:ln>
          </c:spPr>
          <c:invertIfNegative val="0"/>
          <c:cat>
            <c:strRef>
              <c:f>Calc!$A$584:$A$589</c:f>
              <c:strCache>
                <c:ptCount val="6"/>
                <c:pt idx="0">
                  <c:v>Aurelia</c:v>
                </c:pt>
                <c:pt idx="1">
                  <c:v>Novara</c:v>
                </c:pt>
                <c:pt idx="2">
                  <c:v>Kestrel</c:v>
                </c:pt>
                <c:pt idx="3">
                  <c:v>Lumio</c:v>
                </c:pt>
                <c:pt idx="4">
                  <c:v>Everwood</c:v>
                </c:pt>
                <c:pt idx="5">
                  <c:v>Tindra</c:v>
                </c:pt>
              </c:strCache>
            </c:strRef>
          </c:cat>
          <c:val>
            <c:numRef>
              <c:f>Calc!$B$584:$B$589</c:f>
              <c:numCache>
                <c:formatCode>#,##0.00;\(#,##0.00\);\-</c:formatCode>
                <c:ptCount val="6"/>
                <c:pt idx="0">
                  <c:v>21.678000000000001</c:v>
                </c:pt>
                <c:pt idx="1">
                  <c:v>18.117999999999999</c:v>
                </c:pt>
                <c:pt idx="2">
                  <c:v>13.236000000000001</c:v>
                </c:pt>
                <c:pt idx="3">
                  <c:v>10.595000000000001</c:v>
                </c:pt>
                <c:pt idx="4">
                  <c:v>6.87</c:v>
                </c:pt>
                <c:pt idx="5">
                  <c:v>3.9740000000000002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827-45E5-9455-064D58FF257A}"/>
            </c:ext>
          </c:extLst>
        </c:ser>
        <c:ser>
          <c:idx val="1"/>
          <c:order val="1"/>
          <c:tx>
            <c:v>Budget</c:v>
          </c:tx>
          <c:spPr>
            <a:solidFill>
              <a:srgbClr val="FFFFFF"/>
            </a:solidFill>
            <a:ln w="15875">
              <a:solidFill>
                <a:srgbClr val="0F2A47"/>
              </a:solidFill>
            </a:ln>
          </c:spPr>
          <c:invertIfNegative val="0"/>
          <c:cat>
            <c:strRef>
              <c:f>Calc!$A$584:$A$589</c:f>
              <c:strCache>
                <c:ptCount val="6"/>
                <c:pt idx="0">
                  <c:v>Aurelia</c:v>
                </c:pt>
                <c:pt idx="1">
                  <c:v>Novara</c:v>
                </c:pt>
                <c:pt idx="2">
                  <c:v>Kestrel</c:v>
                </c:pt>
                <c:pt idx="3">
                  <c:v>Lumio</c:v>
                </c:pt>
                <c:pt idx="4">
                  <c:v>Everwood</c:v>
                </c:pt>
                <c:pt idx="5">
                  <c:v>Tindra</c:v>
                </c:pt>
              </c:strCache>
            </c:strRef>
          </c:cat>
          <c:val>
            <c:numRef>
              <c:f>Calc!$C$584:$C$589</c:f>
              <c:numCache>
                <c:formatCode>#,##0.00;\(#,##0.00\);\-</c:formatCode>
                <c:ptCount val="6"/>
                <c:pt idx="0">
                  <c:v>19.190000000000001</c:v>
                </c:pt>
                <c:pt idx="1">
                  <c:v>16.451000000000001</c:v>
                </c:pt>
                <c:pt idx="2">
                  <c:v>12.336</c:v>
                </c:pt>
                <c:pt idx="3">
                  <c:v>9.5990000000000002</c:v>
                </c:pt>
                <c:pt idx="4">
                  <c:v>6.8540000000000001</c:v>
                </c:pt>
                <c:pt idx="5">
                  <c:v>4.1130000000000004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827-45E5-9455-064D58FF25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50290001"/>
        <c:axId val="50290002"/>
      </c:barChart>
      <c:catAx>
        <c:axId val="50290001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low"/>
        <c:spPr>
          <a:ln>
            <a:solidFill>
              <a:srgbClr val="D5DAE1"/>
            </a:solidFill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290002"/>
        <c:crosses val="autoZero"/>
        <c:auto val="1"/>
        <c:lblAlgn val="ctr"/>
        <c:lblOffset val="100"/>
        <c:noMultiLvlLbl val="0"/>
      </c:catAx>
      <c:valAx>
        <c:axId val="50290002"/>
        <c:scaling>
          <c:orientation val="minMax"/>
        </c:scaling>
        <c:delete val="0"/>
        <c:axPos val="b"/>
        <c:majorGridlines>
          <c:spPr>
            <a:ln w="9525">
              <a:solidFill>
                <a:srgbClr val="E8EBEF"/>
              </a:solidFill>
            </a:ln>
          </c:spPr>
        </c:majorGridlines>
        <c:numFmt formatCode="#,##0.0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290001"/>
        <c:crosses val="max"/>
        <c:crossBetween val="between"/>
      </c:valAx>
      <c:spPr>
        <a:noFill/>
      </c:spPr>
    </c:plotArea>
    <c:legend>
      <c:legendPos val="b"/>
      <c:overlay val="0"/>
      <c:txPr>
        <a:bodyPr/>
        <a:lstStyle/>
        <a:p>
          <a:pPr>
            <a:defRPr sz="800" baseline="0">
              <a:solidFill>
                <a:srgbClr val="1F2937"/>
              </a:solidFill>
              <a:latin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>
      <a:solidFill>
        <a:srgbClr val="D5DAE1"/>
      </a:solidFill>
    </a:ln>
  </c:sp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Calc!$B$561</c:f>
          <c:strCache>
            <c:ptCount val="1"/>
            <c:pt idx="0">
              <c:v>Net revenue by brand, $m (YTD Oct 2026)</c:v>
            </c:pt>
          </c:strCache>
        </c:strRef>
      </c:tx>
      <c:layout>
        <c:manualLayout>
          <c:xMode val="edge"/>
          <c:yMode val="edge"/>
          <c:x val="0.02"/>
          <c:y val="2.5000000000000001E-2"/>
        </c:manualLayout>
      </c:layout>
      <c:overlay val="0"/>
      <c:txPr>
        <a:bodyPr/>
        <a:lstStyle/>
        <a:p>
          <a:pPr>
            <a:defRPr sz="950" b="1" baseline="0">
              <a:solidFill>
                <a:srgbClr val="0F2A47"/>
              </a:solidFill>
              <a:latin typeface="Arial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Actual</c:v>
          </c:tx>
          <c:spPr>
            <a:solidFill>
              <a:srgbClr val="0F2A47"/>
            </a:solidFill>
            <a:ln>
              <a:solidFill>
                <a:srgbClr val="0F2A47"/>
              </a:solidFill>
            </a:ln>
          </c:spPr>
          <c:invertIfNegative val="0"/>
          <c:cat>
            <c:strRef>
              <c:f>Brand!$B$14:$B$19</c:f>
              <c:strCache>
                <c:ptCount val="6"/>
                <c:pt idx="0">
                  <c:v>Aurelia</c:v>
                </c:pt>
                <c:pt idx="1">
                  <c:v>Novara</c:v>
                </c:pt>
                <c:pt idx="2">
                  <c:v>Kestrel</c:v>
                </c:pt>
                <c:pt idx="3">
                  <c:v>Lumio</c:v>
                </c:pt>
                <c:pt idx="4">
                  <c:v>Everwood</c:v>
                </c:pt>
                <c:pt idx="5">
                  <c:v>Tindra</c:v>
                </c:pt>
              </c:strCache>
            </c:strRef>
          </c:cat>
          <c:val>
            <c:numRef>
              <c:f>Brand!$E$14:$E$19</c:f>
              <c:numCache>
                <c:formatCode>#,##0.0;\(#,##0.0\);"–"</c:formatCode>
                <c:ptCount val="6"/>
                <c:pt idx="0">
                  <c:v>121.10599999999999</c:v>
                </c:pt>
                <c:pt idx="1">
                  <c:v>100.539</c:v>
                </c:pt>
                <c:pt idx="2">
                  <c:v>74.171000000000006</c:v>
                </c:pt>
                <c:pt idx="3">
                  <c:v>59.317999999999998</c:v>
                </c:pt>
                <c:pt idx="4">
                  <c:v>38.511000000000003</c:v>
                </c:pt>
                <c:pt idx="5">
                  <c:v>21.925000000000001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2E1-4DD5-BF83-16F876565FA5}"/>
            </c:ext>
          </c:extLst>
        </c:ser>
        <c:ser>
          <c:idx val="1"/>
          <c:order val="1"/>
          <c:tx>
            <c:v>Forecast</c:v>
          </c:tx>
          <c:spPr>
            <a:pattFill prst="wdUpDiag">
              <a:fgClr>
                <a:srgbClr val="0F2A47"/>
              </a:fgClr>
              <a:bgClr>
                <a:srgbClr val="FFFFFF"/>
              </a:bgClr>
            </a:pattFill>
            <a:ln>
              <a:solidFill>
                <a:srgbClr val="0F2A47"/>
              </a:solidFill>
            </a:ln>
          </c:spPr>
          <c:invertIfNegative val="0"/>
          <c:cat>
            <c:strRef>
              <c:f>Brand!$B$14:$B$19</c:f>
              <c:strCache>
                <c:ptCount val="6"/>
                <c:pt idx="0">
                  <c:v>Aurelia</c:v>
                </c:pt>
                <c:pt idx="1">
                  <c:v>Novara</c:v>
                </c:pt>
                <c:pt idx="2">
                  <c:v>Kestrel</c:v>
                </c:pt>
                <c:pt idx="3">
                  <c:v>Lumio</c:v>
                </c:pt>
                <c:pt idx="4">
                  <c:v>Everwood</c:v>
                </c:pt>
                <c:pt idx="5">
                  <c:v>Tindra</c:v>
                </c:pt>
              </c:strCache>
            </c:strRef>
          </c:cat>
          <c:val>
            <c:numRef>
              <c:f>Calc!$B$593:$B$598</c:f>
              <c:numCache>
                <c:formatCode>#,##0.00;\(#,##0.00\);\-</c:formatCode>
                <c:ptCount val="6"/>
                <c:pt idx="0">
                  <c:v>119.652</c:v>
                </c:pt>
                <c:pt idx="1">
                  <c:v>100.61</c:v>
                </c:pt>
                <c:pt idx="2">
                  <c:v>74.366</c:v>
                </c:pt>
                <c:pt idx="3">
                  <c:v>59.161000000000001</c:v>
                </c:pt>
                <c:pt idx="4">
                  <c:v>39.406999999999996</c:v>
                </c:pt>
                <c:pt idx="5">
                  <c:v>22.811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2E1-4DD5-BF83-16F876565FA5}"/>
            </c:ext>
          </c:extLst>
        </c:ser>
        <c:ser>
          <c:idx val="2"/>
          <c:order val="2"/>
          <c:tx>
            <c:v>Budget</c:v>
          </c:tx>
          <c:spPr>
            <a:solidFill>
              <a:srgbClr val="FFFFFF"/>
            </a:solidFill>
            <a:ln w="15875">
              <a:solidFill>
                <a:srgbClr val="0F2A47"/>
              </a:solidFill>
            </a:ln>
          </c:spPr>
          <c:invertIfNegative val="0"/>
          <c:cat>
            <c:strRef>
              <c:f>Brand!$B$14:$B$19</c:f>
              <c:strCache>
                <c:ptCount val="6"/>
                <c:pt idx="0">
                  <c:v>Aurelia</c:v>
                </c:pt>
                <c:pt idx="1">
                  <c:v>Novara</c:v>
                </c:pt>
                <c:pt idx="2">
                  <c:v>Kestrel</c:v>
                </c:pt>
                <c:pt idx="3">
                  <c:v>Lumio</c:v>
                </c:pt>
                <c:pt idx="4">
                  <c:v>Everwood</c:v>
                </c:pt>
                <c:pt idx="5">
                  <c:v>Tindra</c:v>
                </c:pt>
              </c:strCache>
            </c:strRef>
          </c:cat>
          <c:val>
            <c:numRef>
              <c:f>Brand!$F$14:$F$19</c:f>
              <c:numCache>
                <c:formatCode>#,##0.0;\(#,##0.0\);"–"</c:formatCode>
                <c:ptCount val="6"/>
                <c:pt idx="0">
                  <c:v>116.59699999999999</c:v>
                </c:pt>
                <c:pt idx="1">
                  <c:v>99.941999999999993</c:v>
                </c:pt>
                <c:pt idx="2">
                  <c:v>74.956000000000003</c:v>
                </c:pt>
                <c:pt idx="3">
                  <c:v>58.3</c:v>
                </c:pt>
                <c:pt idx="4">
                  <c:v>41.642000000000003</c:v>
                </c:pt>
                <c:pt idx="5">
                  <c:v>24.984999999999999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2E1-4DD5-BF83-16F876565FA5}"/>
            </c:ext>
          </c:extLst>
        </c:ser>
        <c:ser>
          <c:idx val="3"/>
          <c:order val="3"/>
          <c:tx>
            <c:v>Prior year</c:v>
          </c:tx>
          <c:spPr>
            <a:solidFill>
              <a:srgbClr val="AEB6C1"/>
            </a:solidFill>
            <a:ln>
              <a:solidFill>
                <a:srgbClr val="AEB6C1"/>
              </a:solidFill>
            </a:ln>
          </c:spPr>
          <c:invertIfNegative val="0"/>
          <c:cat>
            <c:strRef>
              <c:f>Brand!$B$14:$B$19</c:f>
              <c:strCache>
                <c:ptCount val="6"/>
                <c:pt idx="0">
                  <c:v>Aurelia</c:v>
                </c:pt>
                <c:pt idx="1">
                  <c:v>Novara</c:v>
                </c:pt>
                <c:pt idx="2">
                  <c:v>Kestrel</c:v>
                </c:pt>
                <c:pt idx="3">
                  <c:v>Lumio</c:v>
                </c:pt>
                <c:pt idx="4">
                  <c:v>Everwood</c:v>
                </c:pt>
                <c:pt idx="5">
                  <c:v>Tindra</c:v>
                </c:pt>
              </c:strCache>
            </c:strRef>
          </c:cat>
          <c:val>
            <c:numRef>
              <c:f>Calc!$C$593:$C$598</c:f>
              <c:numCache>
                <c:formatCode>#,##0.00;\(#,##0.00\);\-</c:formatCode>
                <c:ptCount val="6"/>
                <c:pt idx="0">
                  <c:v>107.605</c:v>
                </c:pt>
                <c:pt idx="1">
                  <c:v>92.292000000000002</c:v>
                </c:pt>
                <c:pt idx="2">
                  <c:v>69.019000000000005</c:v>
                </c:pt>
                <c:pt idx="3">
                  <c:v>54.06</c:v>
                </c:pt>
                <c:pt idx="4">
                  <c:v>38.529000000000003</c:v>
                </c:pt>
                <c:pt idx="5">
                  <c:v>23.013000000000002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2E1-4DD5-BF83-16F876565F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-5"/>
        <c:axId val="50300001"/>
        <c:axId val="50300002"/>
      </c:barChart>
      <c:catAx>
        <c:axId val="5030000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ln>
            <a:solidFill>
              <a:srgbClr val="D5DAE1"/>
            </a:solidFill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300002"/>
        <c:crosses val="autoZero"/>
        <c:auto val="1"/>
        <c:lblAlgn val="ctr"/>
        <c:lblOffset val="100"/>
        <c:noMultiLvlLbl val="0"/>
      </c:catAx>
      <c:valAx>
        <c:axId val="50300002"/>
        <c:scaling>
          <c:orientation val="minMax"/>
        </c:scaling>
        <c:delete val="0"/>
        <c:axPos val="l"/>
        <c:majorGridlines>
          <c:spPr>
            <a:ln w="9525">
              <a:solidFill>
                <a:srgbClr val="E8EBEF"/>
              </a:solidFill>
            </a:ln>
          </c:spPr>
        </c:majorGridlines>
        <c:numFmt formatCode="#,##0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300001"/>
        <c:crosses val="autoZero"/>
        <c:crossBetween val="between"/>
      </c:valAx>
      <c:spPr>
        <a:noFill/>
      </c:spPr>
    </c:plotArea>
    <c:legend>
      <c:legendPos val="b"/>
      <c:overlay val="0"/>
      <c:txPr>
        <a:bodyPr/>
        <a:lstStyle/>
        <a:p>
          <a:pPr>
            <a:defRPr sz="800" baseline="0">
              <a:solidFill>
                <a:srgbClr val="1F2937"/>
              </a:solidFill>
              <a:latin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>
      <a:solidFill>
        <a:srgbClr val="D5DAE1"/>
      </a:solidFill>
    </a:ln>
  </c:sp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Calc!$B$562</c:f>
          <c:strCache>
            <c:ptCount val="1"/>
            <c:pt idx="0">
              <c:v>Net revenue variance to budget by brand, $m</c:v>
            </c:pt>
          </c:strCache>
        </c:strRef>
      </c:tx>
      <c:layout>
        <c:manualLayout>
          <c:xMode val="edge"/>
          <c:yMode val="edge"/>
          <c:x val="0.02"/>
          <c:y val="2.5000000000000001E-2"/>
        </c:manualLayout>
      </c:layout>
      <c:overlay val="0"/>
      <c:txPr>
        <a:bodyPr/>
        <a:lstStyle/>
        <a:p>
          <a:pPr>
            <a:defRPr sz="950" b="1" baseline="0">
              <a:solidFill>
                <a:srgbClr val="0F2A47"/>
              </a:solidFill>
              <a:latin typeface="Arial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Var vs budget</c:v>
          </c:tx>
          <c:spPr>
            <a:solidFill>
              <a:srgbClr val="1E8E5A"/>
            </a:solidFill>
            <a:ln>
              <a:noFill/>
            </a:ln>
          </c:spPr>
          <c:invertIfNegative val="1"/>
          <c:dLbls>
            <c:numFmt formatCode="\+#,##0.0;\-#,##0.0;&quot;–&quot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aseline="0">
                    <a:latin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Brand!$B$14:$B$19</c:f>
              <c:strCache>
                <c:ptCount val="6"/>
                <c:pt idx="0">
                  <c:v>Aurelia</c:v>
                </c:pt>
                <c:pt idx="1">
                  <c:v>Novara</c:v>
                </c:pt>
                <c:pt idx="2">
                  <c:v>Kestrel</c:v>
                </c:pt>
                <c:pt idx="3">
                  <c:v>Lumio</c:v>
                </c:pt>
                <c:pt idx="4">
                  <c:v>Everwood</c:v>
                </c:pt>
                <c:pt idx="5">
                  <c:v>Tindra</c:v>
                </c:pt>
              </c:strCache>
            </c:strRef>
          </c:cat>
          <c:val>
            <c:numRef>
              <c:f>Brand!$G$14:$G$19</c:f>
              <c:numCache>
                <c:formatCode>\+#,##0.0;\-#,##0.0;"–"</c:formatCode>
                <c:ptCount val="6"/>
                <c:pt idx="0">
                  <c:v>4.5090000000000003</c:v>
                </c:pt>
                <c:pt idx="1">
                  <c:v>0.59700000000000841</c:v>
                </c:pt>
                <c:pt idx="2">
                  <c:v>-0.78499999999999659</c:v>
                </c:pt>
                <c:pt idx="3">
                  <c:v>1.0180000000000007</c:v>
                </c:pt>
                <c:pt idx="4">
                  <c:v>-3.1310000000000002</c:v>
                </c:pt>
                <c:pt idx="5">
                  <c:v>-3.0599999999999987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C8372D"/>
                  </a:solidFill>
                  <a:ln>
                    <a:noFill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0A56-4327-92B4-B254D22386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5"/>
        <c:axId val="50310001"/>
        <c:axId val="50310002"/>
      </c:barChart>
      <c:catAx>
        <c:axId val="50310001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low"/>
        <c:spPr>
          <a:ln>
            <a:solidFill>
              <a:srgbClr val="D5DAE1"/>
            </a:solidFill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310002"/>
        <c:crosses val="autoZero"/>
        <c:auto val="1"/>
        <c:lblAlgn val="ctr"/>
        <c:lblOffset val="100"/>
        <c:noMultiLvlLbl val="0"/>
      </c:catAx>
      <c:valAx>
        <c:axId val="50310002"/>
        <c:scaling>
          <c:orientation val="minMax"/>
        </c:scaling>
        <c:delete val="1"/>
        <c:axPos val="b"/>
        <c:numFmt formatCode="\+#,##0.0;\-#,##0.0;&quot;–&quot;" sourceLinked="1"/>
        <c:majorTickMark val="out"/>
        <c:minorTickMark val="none"/>
        <c:tickLblPos val="nextTo"/>
        <c:crossAx val="50310001"/>
        <c:crosses val="max"/>
        <c:crossBetween val="between"/>
      </c:valAx>
      <c:spPr>
        <a:noFill/>
      </c:spPr>
    </c:plotArea>
    <c:plotVisOnly val="1"/>
    <c:dispBlanksAs val="gap"/>
    <c:showDLblsOverMax val="0"/>
  </c:chart>
  <c:spPr>
    <a:solidFill>
      <a:srgbClr val="FFFFFF"/>
    </a:solidFill>
    <a:ln>
      <a:solidFill>
        <a:srgbClr val="D5DAE1"/>
      </a:solidFill>
    </a:ln>
  </c:sp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Calc!$B$563</c:f>
          <c:strCache>
            <c:ptCount val="1"/>
            <c:pt idx="0">
              <c:v>Contribution margin % by brand: actual vs budget</c:v>
            </c:pt>
          </c:strCache>
        </c:strRef>
      </c:tx>
      <c:layout>
        <c:manualLayout>
          <c:xMode val="edge"/>
          <c:yMode val="edge"/>
          <c:x val="0.02"/>
          <c:y val="2.5000000000000001E-2"/>
        </c:manualLayout>
      </c:layout>
      <c:overlay val="0"/>
      <c:txPr>
        <a:bodyPr/>
        <a:lstStyle/>
        <a:p>
          <a:pPr>
            <a:defRPr sz="950" b="1" baseline="0">
              <a:solidFill>
                <a:srgbClr val="0F2A47"/>
              </a:solidFill>
              <a:latin typeface="Arial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CM %</c:v>
          </c:tx>
          <c:spPr>
            <a:solidFill>
              <a:srgbClr val="0F2A47"/>
            </a:solidFill>
            <a:ln>
              <a:solidFill>
                <a:srgbClr val="0F2A47"/>
              </a:solidFill>
            </a:ln>
          </c:spPr>
          <c:invertIfNegative val="0"/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 baseline="0">
                    <a:solidFill>
                      <a:srgbClr val="FFFFFF"/>
                    </a:solidFill>
                    <a:latin typeface="Arial"/>
                  </a:defRPr>
                </a:pPr>
                <a:endParaRPr lang="en-US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Brand!$B$14:$B$19</c:f>
              <c:strCache>
                <c:ptCount val="6"/>
                <c:pt idx="0">
                  <c:v>Aurelia</c:v>
                </c:pt>
                <c:pt idx="1">
                  <c:v>Novara</c:v>
                </c:pt>
                <c:pt idx="2">
                  <c:v>Kestrel</c:v>
                </c:pt>
                <c:pt idx="3">
                  <c:v>Lumio</c:v>
                </c:pt>
                <c:pt idx="4">
                  <c:v>Everwood</c:v>
                </c:pt>
                <c:pt idx="5">
                  <c:v>Tindra</c:v>
                </c:pt>
              </c:strCache>
            </c:strRef>
          </c:cat>
          <c:val>
            <c:numRef>
              <c:f>Brand!$R$14:$R$19</c:f>
              <c:numCache>
                <c:formatCode>0.0%;\(0.0%\);"–"</c:formatCode>
                <c:ptCount val="6"/>
                <c:pt idx="0">
                  <c:v>0.43339718923917891</c:v>
                </c:pt>
                <c:pt idx="1">
                  <c:v>0.39054496265130945</c:v>
                </c:pt>
                <c:pt idx="2">
                  <c:v>0.36295856871283921</c:v>
                </c:pt>
                <c:pt idx="3">
                  <c:v>0.37138811153444151</c:v>
                </c:pt>
                <c:pt idx="4">
                  <c:v>0.32284282412817117</c:v>
                </c:pt>
                <c:pt idx="5">
                  <c:v>0.24898517673888254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9BA-41DF-846D-48BEC48614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50320001"/>
        <c:axId val="50320002"/>
      </c:barChart>
      <c:lineChart>
        <c:grouping val="standard"/>
        <c:varyColors val="0"/>
        <c:ser>
          <c:idx val="1"/>
          <c:order val="1"/>
          <c:tx>
            <c:v>Budget CM %</c:v>
          </c:tx>
          <c:spPr>
            <a:ln>
              <a:noFill/>
            </a:ln>
          </c:spPr>
          <c:marker>
            <c:symbol val="dash"/>
            <c:size val="11"/>
            <c:spPr>
              <a:solidFill>
                <a:srgbClr val="12808A"/>
              </a:solidFill>
              <a:ln>
                <a:solidFill>
                  <a:srgbClr val="12808A"/>
                </a:solidFill>
              </a:ln>
            </c:spPr>
          </c:marker>
          <c:cat>
            <c:strRef>
              <c:f>Brand!$B$14:$B$19</c:f>
              <c:strCache>
                <c:ptCount val="6"/>
                <c:pt idx="0">
                  <c:v>Aurelia</c:v>
                </c:pt>
                <c:pt idx="1">
                  <c:v>Novara</c:v>
                </c:pt>
                <c:pt idx="2">
                  <c:v>Kestrel</c:v>
                </c:pt>
                <c:pt idx="3">
                  <c:v>Lumio</c:v>
                </c:pt>
                <c:pt idx="4">
                  <c:v>Everwood</c:v>
                </c:pt>
                <c:pt idx="5">
                  <c:v>Tindra</c:v>
                </c:pt>
              </c:strCache>
            </c:strRef>
          </c:cat>
          <c:val>
            <c:numRef>
              <c:f>Brand!$S$14:$S$19</c:f>
              <c:numCache>
                <c:formatCode>0.0%;\(0.0%\);"–"</c:formatCode>
                <c:ptCount val="6"/>
                <c:pt idx="0">
                  <c:v>0.43745550914689058</c:v>
                </c:pt>
                <c:pt idx="1">
                  <c:v>0.40114266274439181</c:v>
                </c:pt>
                <c:pt idx="2">
                  <c:v>0.37691445648113558</c:v>
                </c:pt>
                <c:pt idx="3">
                  <c:v>0.37675814751286452</c:v>
                </c:pt>
                <c:pt idx="4">
                  <c:v>0.34107391575812879</c:v>
                </c:pt>
                <c:pt idx="5">
                  <c:v>0.27992795677406446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9BA-41DF-846D-48BEC48614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320001"/>
        <c:axId val="50320002"/>
      </c:lineChart>
      <c:catAx>
        <c:axId val="5032000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ln>
            <a:solidFill>
              <a:srgbClr val="D5DAE1"/>
            </a:solidFill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320002"/>
        <c:crosses val="autoZero"/>
        <c:auto val="1"/>
        <c:lblAlgn val="ctr"/>
        <c:lblOffset val="100"/>
        <c:noMultiLvlLbl val="0"/>
      </c:catAx>
      <c:valAx>
        <c:axId val="50320002"/>
        <c:scaling>
          <c:orientation val="minMax"/>
        </c:scaling>
        <c:delete val="0"/>
        <c:axPos val="l"/>
        <c:majorGridlines>
          <c:spPr>
            <a:ln w="9525">
              <a:solidFill>
                <a:srgbClr val="E8EBEF"/>
              </a:solidFill>
            </a:ln>
          </c:spPr>
        </c:majorGridlines>
        <c:numFmt formatCode="0%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320001"/>
        <c:crosses val="autoZero"/>
        <c:crossBetween val="between"/>
      </c:valAx>
      <c:spPr>
        <a:noFill/>
      </c:spPr>
    </c:plotArea>
    <c:legend>
      <c:legendPos val="b"/>
      <c:overlay val="0"/>
      <c:txPr>
        <a:bodyPr/>
        <a:lstStyle/>
        <a:p>
          <a:pPr>
            <a:defRPr sz="800" baseline="0">
              <a:solidFill>
                <a:srgbClr val="1F2937"/>
              </a:solidFill>
              <a:latin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>
      <a:solidFill>
        <a:srgbClr val="D5DAE1"/>
      </a:solidFill>
    </a:ln>
  </c:sp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Calc!$B$564</c:f>
          <c:strCache>
            <c:ptCount val="1"/>
            <c:pt idx="0">
              <c:v>Where gross sales go, by brand (% of gross sales)</c:v>
            </c:pt>
          </c:strCache>
        </c:strRef>
      </c:tx>
      <c:layout>
        <c:manualLayout>
          <c:xMode val="edge"/>
          <c:yMode val="edge"/>
          <c:x val="0.02"/>
          <c:y val="2.5000000000000001E-2"/>
        </c:manualLayout>
      </c:layout>
      <c:overlay val="0"/>
      <c:txPr>
        <a:bodyPr/>
        <a:lstStyle/>
        <a:p>
          <a:pPr>
            <a:defRPr sz="950" b="1" baseline="0">
              <a:solidFill>
                <a:srgbClr val="0F2A47"/>
              </a:solidFill>
              <a:latin typeface="Arial"/>
            </a:defRPr>
          </a:pPr>
          <a:endParaRPr lang="en-US"/>
        </a:p>
      </c:txPr>
    </c:title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v>Contribution</c:v>
          </c:tx>
          <c:spPr>
            <a:solidFill>
              <a:srgbClr val="12808A"/>
            </a:solidFill>
            <a:ln w="6350">
              <a:solidFill>
                <a:srgbClr val="FFFFFF"/>
              </a:solidFill>
            </a:ln>
          </c:spPr>
          <c:invertIfNegative val="0"/>
          <c:cat>
            <c:strRef>
              <c:f>Calc!$A$593:$A$598</c:f>
              <c:strCache>
                <c:ptCount val="6"/>
                <c:pt idx="0">
                  <c:v>Aurelia</c:v>
                </c:pt>
                <c:pt idx="1">
                  <c:v>Novara</c:v>
                </c:pt>
                <c:pt idx="2">
                  <c:v>Kestrel</c:v>
                </c:pt>
                <c:pt idx="3">
                  <c:v>Lumio</c:v>
                </c:pt>
                <c:pt idx="4">
                  <c:v>Everwood</c:v>
                </c:pt>
                <c:pt idx="5">
                  <c:v>Tindra</c:v>
                </c:pt>
              </c:strCache>
            </c:strRef>
          </c:cat>
          <c:val>
            <c:numRef>
              <c:f>Calc!$H$593:$H$598</c:f>
              <c:numCache>
                <c:formatCode>#,##0.00;\(#,##0.00\);\-</c:formatCode>
                <c:ptCount val="6"/>
                <c:pt idx="0">
                  <c:v>52.487000000000002</c:v>
                </c:pt>
                <c:pt idx="1">
                  <c:v>39.265000000000001</c:v>
                </c:pt>
                <c:pt idx="2">
                  <c:v>26.920999999999999</c:v>
                </c:pt>
                <c:pt idx="3">
                  <c:v>22.03</c:v>
                </c:pt>
                <c:pt idx="4">
                  <c:v>12.433</c:v>
                </c:pt>
                <c:pt idx="5">
                  <c:v>5.4589999999999996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32A-4380-B36D-195550CC6A41}"/>
            </c:ext>
          </c:extLst>
        </c:ser>
        <c:ser>
          <c:idx val="1"/>
          <c:order val="1"/>
          <c:tx>
            <c:v>COGS</c:v>
          </c:tx>
          <c:spPr>
            <a:solidFill>
              <a:srgbClr val="0F2A47"/>
            </a:solidFill>
            <a:ln w="6350">
              <a:solidFill>
                <a:srgbClr val="FFFFFF"/>
              </a:solidFill>
            </a:ln>
          </c:spPr>
          <c:invertIfNegative val="0"/>
          <c:cat>
            <c:strRef>
              <c:f>Calc!$A$593:$A$598</c:f>
              <c:strCache>
                <c:ptCount val="6"/>
                <c:pt idx="0">
                  <c:v>Aurelia</c:v>
                </c:pt>
                <c:pt idx="1">
                  <c:v>Novara</c:v>
                </c:pt>
                <c:pt idx="2">
                  <c:v>Kestrel</c:v>
                </c:pt>
                <c:pt idx="3">
                  <c:v>Lumio</c:v>
                </c:pt>
                <c:pt idx="4">
                  <c:v>Everwood</c:v>
                </c:pt>
                <c:pt idx="5">
                  <c:v>Tindra</c:v>
                </c:pt>
              </c:strCache>
            </c:strRef>
          </c:cat>
          <c:val>
            <c:numRef>
              <c:f>Calc!$D$593:$D$598</c:f>
              <c:numCache>
                <c:formatCode>#,##0.00;\(#,##0.00\);\-</c:formatCode>
                <c:ptCount val="6"/>
                <c:pt idx="0">
                  <c:v>45.094999999999999</c:v>
                </c:pt>
                <c:pt idx="1">
                  <c:v>44.908000000000001</c:v>
                </c:pt>
                <c:pt idx="2">
                  <c:v>36.832000000000001</c:v>
                </c:pt>
                <c:pt idx="3">
                  <c:v>24.283000000000001</c:v>
                </c:pt>
                <c:pt idx="4">
                  <c:v>21.03</c:v>
                </c:pt>
                <c:pt idx="5">
                  <c:v>10.346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32A-4380-B36D-195550CC6A41}"/>
            </c:ext>
          </c:extLst>
        </c:ser>
        <c:ser>
          <c:idx val="2"/>
          <c:order val="2"/>
          <c:tx>
            <c:v>Trade and returns</c:v>
          </c:tx>
          <c:spPr>
            <a:solidFill>
              <a:srgbClr val="D9B26F"/>
            </a:solidFill>
            <a:ln w="6350">
              <a:solidFill>
                <a:srgbClr val="FFFFFF"/>
              </a:solidFill>
            </a:ln>
          </c:spPr>
          <c:invertIfNegative val="0"/>
          <c:cat>
            <c:strRef>
              <c:f>Calc!$A$593:$A$598</c:f>
              <c:strCache>
                <c:ptCount val="6"/>
                <c:pt idx="0">
                  <c:v>Aurelia</c:v>
                </c:pt>
                <c:pt idx="1">
                  <c:v>Novara</c:v>
                </c:pt>
                <c:pt idx="2">
                  <c:v>Kestrel</c:v>
                </c:pt>
                <c:pt idx="3">
                  <c:v>Lumio</c:v>
                </c:pt>
                <c:pt idx="4">
                  <c:v>Everwood</c:v>
                </c:pt>
                <c:pt idx="5">
                  <c:v>Tindra</c:v>
                </c:pt>
              </c:strCache>
            </c:strRef>
          </c:cat>
          <c:val>
            <c:numRef>
              <c:f>Calc!$E$593:$E$598</c:f>
              <c:numCache>
                <c:formatCode>#,##0.00;\(#,##0.00\);\-</c:formatCode>
                <c:ptCount val="6"/>
                <c:pt idx="0">
                  <c:v>25.861000000000001</c:v>
                </c:pt>
                <c:pt idx="1">
                  <c:v>21.420999999999999</c:v>
                </c:pt>
                <c:pt idx="2">
                  <c:v>15.83</c:v>
                </c:pt>
                <c:pt idx="3">
                  <c:v>12.637</c:v>
                </c:pt>
                <c:pt idx="4">
                  <c:v>8.2189999999999994</c:v>
                </c:pt>
                <c:pt idx="5">
                  <c:v>4.673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32A-4380-B36D-195550CC6A41}"/>
            </c:ext>
          </c:extLst>
        </c:ser>
        <c:ser>
          <c:idx val="3"/>
          <c:order val="3"/>
          <c:tx>
            <c:v>A&amp;P</c:v>
          </c:tx>
          <c:spPr>
            <a:solidFill>
              <a:srgbClr val="6FA8C7"/>
            </a:solidFill>
            <a:ln w="6350">
              <a:solidFill>
                <a:srgbClr val="FFFFFF"/>
              </a:solidFill>
            </a:ln>
          </c:spPr>
          <c:invertIfNegative val="0"/>
          <c:cat>
            <c:strRef>
              <c:f>Calc!$A$593:$A$598</c:f>
              <c:strCache>
                <c:ptCount val="6"/>
                <c:pt idx="0">
                  <c:v>Aurelia</c:v>
                </c:pt>
                <c:pt idx="1">
                  <c:v>Novara</c:v>
                </c:pt>
                <c:pt idx="2">
                  <c:v>Kestrel</c:v>
                </c:pt>
                <c:pt idx="3">
                  <c:v>Lumio</c:v>
                </c:pt>
                <c:pt idx="4">
                  <c:v>Everwood</c:v>
                </c:pt>
                <c:pt idx="5">
                  <c:v>Tindra</c:v>
                </c:pt>
              </c:strCache>
            </c:strRef>
          </c:cat>
          <c:val>
            <c:numRef>
              <c:f>Calc!$F$593:$F$598</c:f>
              <c:numCache>
                <c:formatCode>#,##0.00;\(#,##0.00\);\-</c:formatCode>
                <c:ptCount val="6"/>
                <c:pt idx="0">
                  <c:v>12.208</c:v>
                </c:pt>
                <c:pt idx="1">
                  <c:v>6.9749999999999996</c:v>
                </c:pt>
                <c:pt idx="2">
                  <c:v>3.4889999999999999</c:v>
                </c:pt>
                <c:pt idx="3">
                  <c:v>7.4649999999999999</c:v>
                </c:pt>
                <c:pt idx="4">
                  <c:v>1.454</c:v>
                </c:pt>
                <c:pt idx="5">
                  <c:v>4.0679999999999996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32A-4380-B36D-195550CC6A41}"/>
            </c:ext>
          </c:extLst>
        </c:ser>
        <c:ser>
          <c:idx val="4"/>
          <c:order val="4"/>
          <c:tx>
            <c:v>Cost to serve</c:v>
          </c:tx>
          <c:spPr>
            <a:solidFill>
              <a:srgbClr val="AEB6C1"/>
            </a:solidFill>
            <a:ln w="6350">
              <a:solidFill>
                <a:srgbClr val="FFFFFF"/>
              </a:solidFill>
            </a:ln>
          </c:spPr>
          <c:invertIfNegative val="0"/>
          <c:cat>
            <c:strRef>
              <c:f>Calc!$A$593:$A$598</c:f>
              <c:strCache>
                <c:ptCount val="6"/>
                <c:pt idx="0">
                  <c:v>Aurelia</c:v>
                </c:pt>
                <c:pt idx="1">
                  <c:v>Novara</c:v>
                </c:pt>
                <c:pt idx="2">
                  <c:v>Kestrel</c:v>
                </c:pt>
                <c:pt idx="3">
                  <c:v>Lumio</c:v>
                </c:pt>
                <c:pt idx="4">
                  <c:v>Everwood</c:v>
                </c:pt>
                <c:pt idx="5">
                  <c:v>Tindra</c:v>
                </c:pt>
              </c:strCache>
            </c:strRef>
          </c:cat>
          <c:val>
            <c:numRef>
              <c:f>Calc!$G$593:$G$598</c:f>
              <c:numCache>
                <c:formatCode>#,##0.00;\(#,##0.00\);\-</c:formatCode>
                <c:ptCount val="6"/>
                <c:pt idx="0">
                  <c:v>11.316000000000001</c:v>
                </c:pt>
                <c:pt idx="1">
                  <c:v>9.391</c:v>
                </c:pt>
                <c:pt idx="2">
                  <c:v>6.9290000000000003</c:v>
                </c:pt>
                <c:pt idx="3">
                  <c:v>5.54</c:v>
                </c:pt>
                <c:pt idx="4">
                  <c:v>3.5939999999999999</c:v>
                </c:pt>
                <c:pt idx="5">
                  <c:v>2.052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32A-4380-B36D-195550CC6A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50330001"/>
        <c:axId val="50330002"/>
      </c:barChart>
      <c:catAx>
        <c:axId val="5033000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ln>
            <a:solidFill>
              <a:srgbClr val="D5DAE1"/>
            </a:solidFill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330002"/>
        <c:crosses val="autoZero"/>
        <c:auto val="1"/>
        <c:lblAlgn val="ctr"/>
        <c:lblOffset val="100"/>
        <c:noMultiLvlLbl val="0"/>
      </c:catAx>
      <c:valAx>
        <c:axId val="50330002"/>
        <c:scaling>
          <c:orientation val="minMax"/>
        </c:scaling>
        <c:delete val="0"/>
        <c:axPos val="l"/>
        <c:majorGridlines>
          <c:spPr>
            <a:ln w="9525">
              <a:solidFill>
                <a:srgbClr val="E8EBEF"/>
              </a:solidFill>
            </a:ln>
          </c:spPr>
        </c:majorGridlines>
        <c:numFmt formatCode="0%" sourceLinked="1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330001"/>
        <c:crosses val="autoZero"/>
        <c:crossBetween val="between"/>
      </c:valAx>
      <c:spPr>
        <a:noFill/>
      </c:spPr>
    </c:plotArea>
    <c:legend>
      <c:legendPos val="b"/>
      <c:overlay val="0"/>
      <c:txPr>
        <a:bodyPr/>
        <a:lstStyle/>
        <a:p>
          <a:pPr>
            <a:defRPr sz="800" baseline="0">
              <a:solidFill>
                <a:srgbClr val="1F2937"/>
              </a:solidFill>
              <a:latin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>
      <a:solidFill>
        <a:srgbClr val="D5DAE1"/>
      </a:solidFill>
    </a:ln>
  </c:sp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Calc!$B$565</c:f>
          <c:strCache>
            <c:ptCount val="1"/>
            <c:pt idx="0">
              <c:v>Growth on PY (x) vs contribution margin % (y)</c:v>
            </c:pt>
          </c:strCache>
        </c:strRef>
      </c:tx>
      <c:layout>
        <c:manualLayout>
          <c:xMode val="edge"/>
          <c:yMode val="edge"/>
          <c:x val="0.02"/>
          <c:y val="2.5000000000000001E-2"/>
        </c:manualLayout>
      </c:layout>
      <c:overlay val="0"/>
      <c:txPr>
        <a:bodyPr/>
        <a:lstStyle/>
        <a:p>
          <a:pPr>
            <a:defRPr sz="950" b="1" baseline="0">
              <a:solidFill>
                <a:srgbClr val="0F2A47"/>
              </a:solidFill>
              <a:latin typeface="Arial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Brand!$B$14</c:f>
              <c:strCache>
                <c:ptCount val="1"/>
                <c:pt idx="0">
                  <c:v>Aurelia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11"/>
            <c:spPr>
              <a:solidFill>
                <a:srgbClr val="0F2A47"/>
              </a:solidFill>
              <a:ln>
                <a:solidFill>
                  <a:srgbClr val="FFFFFF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aseline="0">
                    <a:latin typeface="Arial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Brand!$J$14:$J$14</c:f>
              <c:numCache>
                <c:formatCode>\+0.0%;\-0.0%;"–"</c:formatCode>
                <c:ptCount val="1"/>
                <c:pt idx="0">
                  <c:v>0.12546814739092049</c:v>
                </c:pt>
              </c:numCache>
            </c:numRef>
          </c:xVal>
          <c:yVal>
            <c:numRef>
              <c:f>Brand!$R$14:$R$14</c:f>
              <c:numCache>
                <c:formatCode>0.0%;\(0.0%\);"–"</c:formatCode>
                <c:ptCount val="1"/>
                <c:pt idx="0">
                  <c:v>0.43339718923917891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69A-49C5-AE11-6AA95D2B8D6E}"/>
            </c:ext>
          </c:extLst>
        </c:ser>
        <c:ser>
          <c:idx val="1"/>
          <c:order val="1"/>
          <c:tx>
            <c:strRef>
              <c:f>Brand!$B$15</c:f>
              <c:strCache>
                <c:ptCount val="1"/>
                <c:pt idx="0">
                  <c:v>Novara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11"/>
            <c:spPr>
              <a:solidFill>
                <a:srgbClr val="12808A"/>
              </a:solidFill>
              <a:ln>
                <a:solidFill>
                  <a:srgbClr val="FFFFFF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aseline="0">
                    <a:latin typeface="Arial"/>
                  </a:defRPr>
                </a:pPr>
                <a:endParaRPr lang="en-US"/>
              </a:p>
            </c:txPr>
            <c:dLblPos val="b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Brand!$J$15:$J$15</c:f>
              <c:numCache>
                <c:formatCode>\+0.0%;\-0.0%;"–"</c:formatCode>
                <c:ptCount val="1"/>
                <c:pt idx="0">
                  <c:v>8.9357690807437162E-2</c:v>
                </c:pt>
              </c:numCache>
            </c:numRef>
          </c:xVal>
          <c:yVal>
            <c:numRef>
              <c:f>Brand!$R$15:$R$15</c:f>
              <c:numCache>
                <c:formatCode>0.0%;\(0.0%\);"–"</c:formatCode>
                <c:ptCount val="1"/>
                <c:pt idx="0">
                  <c:v>0.39054496265130945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69A-49C5-AE11-6AA95D2B8D6E}"/>
            </c:ext>
          </c:extLst>
        </c:ser>
        <c:ser>
          <c:idx val="2"/>
          <c:order val="2"/>
          <c:tx>
            <c:strRef>
              <c:f>Brand!$B$16</c:f>
              <c:strCache>
                <c:ptCount val="1"/>
                <c:pt idx="0">
                  <c:v>Kestrel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11"/>
            <c:spPr>
              <a:solidFill>
                <a:srgbClr val="6FA8C7"/>
              </a:solidFill>
              <a:ln>
                <a:solidFill>
                  <a:srgbClr val="FFFFFF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aseline="0">
                    <a:latin typeface="Arial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Brand!$J$16:$J$16</c:f>
              <c:numCache>
                <c:formatCode>\+0.0%;\-0.0%;"–"</c:formatCode>
                <c:ptCount val="1"/>
                <c:pt idx="0">
                  <c:v>7.464611194019044E-2</c:v>
                </c:pt>
              </c:numCache>
            </c:numRef>
          </c:xVal>
          <c:yVal>
            <c:numRef>
              <c:f>Brand!$R$16:$R$16</c:f>
              <c:numCache>
                <c:formatCode>0.0%;\(0.0%\);"–"</c:formatCode>
                <c:ptCount val="1"/>
                <c:pt idx="0">
                  <c:v>0.36295856871283921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69A-49C5-AE11-6AA95D2B8D6E}"/>
            </c:ext>
          </c:extLst>
        </c:ser>
        <c:ser>
          <c:idx val="3"/>
          <c:order val="3"/>
          <c:tx>
            <c:strRef>
              <c:f>Brand!$B$17</c:f>
              <c:strCache>
                <c:ptCount val="1"/>
                <c:pt idx="0">
                  <c:v>Lumio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11"/>
            <c:spPr>
              <a:solidFill>
                <a:srgbClr val="D9B26F"/>
              </a:solidFill>
              <a:ln>
                <a:solidFill>
                  <a:srgbClr val="FFFFFF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aseline="0">
                    <a:latin typeface="Arial"/>
                  </a:defRPr>
                </a:pPr>
                <a:endParaRPr lang="en-US"/>
              </a:p>
            </c:txPr>
            <c:dLblPos val="b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Brand!$J$17:$J$17</c:f>
              <c:numCache>
                <c:formatCode>\+0.0%;\-0.0%;"–"</c:formatCode>
                <c:ptCount val="1"/>
                <c:pt idx="0">
                  <c:v>9.7262301146873842E-2</c:v>
                </c:pt>
              </c:numCache>
            </c:numRef>
          </c:xVal>
          <c:yVal>
            <c:numRef>
              <c:f>Brand!$R$17:$R$17</c:f>
              <c:numCache>
                <c:formatCode>0.0%;\(0.0%\);"–"</c:formatCode>
                <c:ptCount val="1"/>
                <c:pt idx="0">
                  <c:v>0.37138811153444151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69A-49C5-AE11-6AA95D2B8D6E}"/>
            </c:ext>
          </c:extLst>
        </c:ser>
        <c:ser>
          <c:idx val="4"/>
          <c:order val="4"/>
          <c:tx>
            <c:strRef>
              <c:f>Brand!$B$18</c:f>
              <c:strCache>
                <c:ptCount val="1"/>
                <c:pt idx="0">
                  <c:v>Everwood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11"/>
            <c:spPr>
              <a:solidFill>
                <a:srgbClr val="7C6AA6"/>
              </a:solidFill>
              <a:ln>
                <a:solidFill>
                  <a:srgbClr val="FFFFFF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aseline="0">
                    <a:latin typeface="Arial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Brand!$J$18:$J$18</c:f>
              <c:numCache>
                <c:formatCode>\+0.0%;\-0.0%;"–"</c:formatCode>
                <c:ptCount val="1"/>
                <c:pt idx="0">
                  <c:v>-4.6718056528849417E-4</c:v>
                </c:pt>
              </c:numCache>
            </c:numRef>
          </c:xVal>
          <c:yVal>
            <c:numRef>
              <c:f>Brand!$R$18:$R$18</c:f>
              <c:numCache>
                <c:formatCode>0.0%;\(0.0%\);"–"</c:formatCode>
                <c:ptCount val="1"/>
                <c:pt idx="0">
                  <c:v>0.32284282412817117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69A-49C5-AE11-6AA95D2B8D6E}"/>
            </c:ext>
          </c:extLst>
        </c:ser>
        <c:ser>
          <c:idx val="5"/>
          <c:order val="5"/>
          <c:tx>
            <c:strRef>
              <c:f>Brand!$B$19</c:f>
              <c:strCache>
                <c:ptCount val="1"/>
                <c:pt idx="0">
                  <c:v>Tindra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11"/>
            <c:spPr>
              <a:solidFill>
                <a:srgbClr val="AEB6C1"/>
              </a:solidFill>
              <a:ln>
                <a:solidFill>
                  <a:srgbClr val="FFFFFF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aseline="0">
                    <a:latin typeface="Arial"/>
                  </a:defRPr>
                </a:pPr>
                <a:endParaRPr lang="en-US"/>
              </a:p>
            </c:txPr>
            <c:dLblPos val="b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Brand!$J$19:$J$19</c:f>
              <c:numCache>
                <c:formatCode>\+0.0%;\-0.0%;"–"</c:formatCode>
                <c:ptCount val="1"/>
                <c:pt idx="0">
                  <c:v>-4.7277625689827518E-2</c:v>
                </c:pt>
              </c:numCache>
            </c:numRef>
          </c:xVal>
          <c:yVal>
            <c:numRef>
              <c:f>Brand!$R$19:$R$19</c:f>
              <c:numCache>
                <c:formatCode>0.0%;\(0.0%\);"–"</c:formatCode>
                <c:ptCount val="1"/>
                <c:pt idx="0">
                  <c:v>0.24898517673888254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69A-49C5-AE11-6AA95D2B8D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340001"/>
        <c:axId val="50340002"/>
      </c:scatterChart>
      <c:valAx>
        <c:axId val="50340001"/>
        <c:scaling>
          <c:orientation val="minMax"/>
        </c:scaling>
        <c:delete val="0"/>
        <c:axPos val="b"/>
        <c:majorGridlines>
          <c:spPr>
            <a:ln w="9525">
              <a:solidFill>
                <a:srgbClr val="E8EBEF"/>
              </a:solidFill>
            </a:ln>
          </c:spPr>
        </c:majorGridlines>
        <c:numFmt formatCode="0%" sourceLinked="0"/>
        <c:majorTickMark val="none"/>
        <c:minorTickMark val="none"/>
        <c:tickLblPos val="low"/>
        <c:spPr>
          <a:ln>
            <a:solidFill>
              <a:srgbClr val="D5DAE1"/>
            </a:solidFill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340002"/>
        <c:crosses val="autoZero"/>
        <c:crossBetween val="midCat"/>
      </c:valAx>
      <c:valAx>
        <c:axId val="50340002"/>
        <c:scaling>
          <c:orientation val="minMax"/>
        </c:scaling>
        <c:delete val="0"/>
        <c:axPos val="l"/>
        <c:majorGridlines>
          <c:spPr>
            <a:ln w="9525">
              <a:solidFill>
                <a:srgbClr val="E8EBEF"/>
              </a:solidFill>
            </a:ln>
          </c:spPr>
        </c:majorGridlines>
        <c:numFmt formatCode="0%" sourceLinked="0"/>
        <c:majorTickMark val="none"/>
        <c:minorTickMark val="none"/>
        <c:tickLblPos val="low"/>
        <c:spPr>
          <a:ln>
            <a:noFill/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340001"/>
        <c:crosses val="autoZero"/>
        <c:crossBetween val="midCat"/>
      </c:valAx>
      <c:spPr>
        <a:noFill/>
      </c:spPr>
    </c:plotArea>
    <c:plotVisOnly val="1"/>
    <c:dispBlanksAs val="gap"/>
    <c:showDLblsOverMax val="0"/>
  </c:chart>
  <c:spPr>
    <a:solidFill>
      <a:srgbClr val="FFFFFF"/>
    </a:solidFill>
    <a:ln>
      <a:solidFill>
        <a:srgbClr val="D5DAE1"/>
      </a:solidFill>
    </a:ln>
  </c:sp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Calc!$B$566</c:f>
          <c:strCache>
            <c:ptCount val="1"/>
            <c:pt idx="0">
              <c:v>Pareto: net revenue and cumulative share by brand</c:v>
            </c:pt>
          </c:strCache>
        </c:strRef>
      </c:tx>
      <c:layout>
        <c:manualLayout>
          <c:xMode val="edge"/>
          <c:yMode val="edge"/>
          <c:x val="0.02"/>
          <c:y val="2.5000000000000001E-2"/>
        </c:manualLayout>
      </c:layout>
      <c:overlay val="0"/>
      <c:txPr>
        <a:bodyPr/>
        <a:lstStyle/>
        <a:p>
          <a:pPr>
            <a:defRPr sz="950" b="1" baseline="0">
              <a:solidFill>
                <a:srgbClr val="0F2A47"/>
              </a:solidFill>
              <a:latin typeface="Arial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Net revenue</c:v>
          </c:tx>
          <c:spPr>
            <a:solidFill>
              <a:srgbClr val="0F2A47"/>
            </a:solidFill>
            <a:ln>
              <a:solidFill>
                <a:srgbClr val="0F2A47"/>
              </a:solidFill>
            </a:ln>
          </c:spPr>
          <c:invertIfNegative val="0"/>
          <c:cat>
            <c:strRef>
              <c:f>Brand!$B$14:$B$19</c:f>
              <c:strCache>
                <c:ptCount val="6"/>
                <c:pt idx="0">
                  <c:v>Aurelia</c:v>
                </c:pt>
                <c:pt idx="1">
                  <c:v>Novara</c:v>
                </c:pt>
                <c:pt idx="2">
                  <c:v>Kestrel</c:v>
                </c:pt>
                <c:pt idx="3">
                  <c:v>Lumio</c:v>
                </c:pt>
                <c:pt idx="4">
                  <c:v>Everwood</c:v>
                </c:pt>
                <c:pt idx="5">
                  <c:v>Tindra</c:v>
                </c:pt>
              </c:strCache>
            </c:strRef>
          </c:cat>
          <c:val>
            <c:numRef>
              <c:f>Brand!$E$14:$E$19</c:f>
              <c:numCache>
                <c:formatCode>#,##0.0;\(#,##0.0\);"–"</c:formatCode>
                <c:ptCount val="6"/>
                <c:pt idx="0">
                  <c:v>121.10599999999999</c:v>
                </c:pt>
                <c:pt idx="1">
                  <c:v>100.539</c:v>
                </c:pt>
                <c:pt idx="2">
                  <c:v>74.171000000000006</c:v>
                </c:pt>
                <c:pt idx="3">
                  <c:v>59.317999999999998</c:v>
                </c:pt>
                <c:pt idx="4">
                  <c:v>38.511000000000003</c:v>
                </c:pt>
                <c:pt idx="5">
                  <c:v>21.925000000000001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91F-4379-B10B-0F4930F39B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50350001"/>
        <c:axId val="50350002"/>
      </c:barChart>
      <c:lineChart>
        <c:grouping val="standard"/>
        <c:varyColors val="0"/>
        <c:ser>
          <c:idx val="1"/>
          <c:order val="1"/>
          <c:tx>
            <c:v>Cumulative share</c:v>
          </c:tx>
          <c:spPr>
            <a:ln w="25400">
              <a:solidFill>
                <a:srgbClr val="12808A"/>
              </a:solidFill>
            </a:ln>
          </c:spPr>
          <c:marker>
            <c:symbol val="circle"/>
            <c:size val="5"/>
            <c:spPr>
              <a:solidFill>
                <a:srgbClr val="12808A"/>
              </a:solidFill>
              <a:ln>
                <a:solidFill>
                  <a:srgbClr val="12808A"/>
                </a:solidFill>
              </a:ln>
            </c:spPr>
          </c:marker>
          <c:cat>
            <c:strRef>
              <c:f>Brand!$B$14:$B$19</c:f>
              <c:strCache>
                <c:ptCount val="6"/>
                <c:pt idx="0">
                  <c:v>Aurelia</c:v>
                </c:pt>
                <c:pt idx="1">
                  <c:v>Novara</c:v>
                </c:pt>
                <c:pt idx="2">
                  <c:v>Kestrel</c:v>
                </c:pt>
                <c:pt idx="3">
                  <c:v>Lumio</c:v>
                </c:pt>
                <c:pt idx="4">
                  <c:v>Everwood</c:v>
                </c:pt>
                <c:pt idx="5">
                  <c:v>Tindra</c:v>
                </c:pt>
              </c:strCache>
            </c:strRef>
          </c:cat>
          <c:val>
            <c:numRef>
              <c:f>Calc!$I$593:$I$598</c:f>
              <c:numCache>
                <c:formatCode>0.0%;\(0.0%\);\-</c:formatCode>
                <c:ptCount val="6"/>
                <c:pt idx="0">
                  <c:v>0.2914214211805472</c:v>
                </c:pt>
                <c:pt idx="1">
                  <c:v>0.53335178188993426</c:v>
                </c:pt>
                <c:pt idx="2">
                  <c:v>0.7118319416704767</c:v>
                </c:pt>
                <c:pt idx="3">
                  <c:v>0.85457083042568027</c:v>
                </c:pt>
                <c:pt idx="4">
                  <c:v>0.94724113867699788</c:v>
                </c:pt>
                <c:pt idx="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91F-4379-B10B-0F4930F39B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50001"/>
        <c:axId val="60350002"/>
      </c:lineChart>
      <c:catAx>
        <c:axId val="5035000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ln>
            <a:solidFill>
              <a:srgbClr val="D5DAE1"/>
            </a:solidFill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350002"/>
        <c:crosses val="autoZero"/>
        <c:auto val="1"/>
        <c:lblAlgn val="ctr"/>
        <c:lblOffset val="100"/>
        <c:noMultiLvlLbl val="0"/>
      </c:catAx>
      <c:valAx>
        <c:axId val="50350002"/>
        <c:scaling>
          <c:orientation val="minMax"/>
        </c:scaling>
        <c:delete val="0"/>
        <c:axPos val="l"/>
        <c:majorGridlines>
          <c:spPr>
            <a:ln w="9525">
              <a:solidFill>
                <a:srgbClr val="E8EBEF"/>
              </a:solidFill>
            </a:ln>
          </c:spPr>
        </c:majorGridlines>
        <c:numFmt formatCode="#,##0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350001"/>
        <c:crosses val="autoZero"/>
        <c:crossBetween val="between"/>
      </c:valAx>
      <c:valAx>
        <c:axId val="60350002"/>
        <c:scaling>
          <c:orientation val="minMax"/>
          <c:max val="1"/>
          <c:min val="0"/>
        </c:scaling>
        <c:delete val="0"/>
        <c:axPos val="r"/>
        <c:numFmt formatCode="0%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60350001"/>
        <c:crosses val="max"/>
        <c:crossBetween val="between"/>
      </c:valAx>
      <c:catAx>
        <c:axId val="6035000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60350002"/>
        <c:crosses val="autoZero"/>
        <c:auto val="1"/>
        <c:lblAlgn val="ctr"/>
        <c:lblOffset val="100"/>
        <c:noMultiLvlLbl val="0"/>
      </c:catAx>
      <c:spPr>
        <a:noFill/>
      </c:spPr>
    </c:plotArea>
    <c:legend>
      <c:legendPos val="b"/>
      <c:overlay val="0"/>
      <c:txPr>
        <a:bodyPr/>
        <a:lstStyle/>
        <a:p>
          <a:pPr>
            <a:defRPr sz="800" baseline="0">
              <a:solidFill>
                <a:srgbClr val="1F2937"/>
              </a:solidFill>
              <a:latin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>
      <a:solidFill>
        <a:srgbClr val="D5DAE1"/>
      </a:solidFill>
    </a:ln>
  </c:sp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Calc!$B$567</c:f>
          <c:strCache>
            <c:ptCount val="1"/>
            <c:pt idx="0">
              <c:v>Net revenue variance drivers by brand, $m</c:v>
            </c:pt>
          </c:strCache>
        </c:strRef>
      </c:tx>
      <c:layout>
        <c:manualLayout>
          <c:xMode val="edge"/>
          <c:yMode val="edge"/>
          <c:x val="0.02"/>
          <c:y val="2.5000000000000001E-2"/>
        </c:manualLayout>
      </c:layout>
      <c:overlay val="0"/>
      <c:txPr>
        <a:bodyPr/>
        <a:lstStyle/>
        <a:p>
          <a:pPr>
            <a:defRPr sz="950" b="1" baseline="0">
              <a:solidFill>
                <a:srgbClr val="0F2A47"/>
              </a:solidFill>
              <a:latin typeface="Arial"/>
            </a:defRPr>
          </a:pPr>
          <a:endParaRPr lang="en-US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v>Volume</c:v>
          </c:tx>
          <c:spPr>
            <a:solidFill>
              <a:srgbClr val="0F2A47"/>
            </a:solidFill>
            <a:ln>
              <a:noFill/>
            </a:ln>
          </c:spPr>
          <c:invertIfNegative val="0"/>
          <c:cat>
            <c:strRef>
              <c:f>Brand!$B$71:$B$76</c:f>
              <c:strCache>
                <c:ptCount val="6"/>
                <c:pt idx="0">
                  <c:v>Aurelia</c:v>
                </c:pt>
                <c:pt idx="1">
                  <c:v>Novara</c:v>
                </c:pt>
                <c:pt idx="2">
                  <c:v>Kestrel</c:v>
                </c:pt>
                <c:pt idx="3">
                  <c:v>Lumio</c:v>
                </c:pt>
                <c:pt idx="4">
                  <c:v>Everwood</c:v>
                </c:pt>
                <c:pt idx="5">
                  <c:v>Tindra</c:v>
                </c:pt>
              </c:strCache>
            </c:strRef>
          </c:cat>
          <c:val>
            <c:numRef>
              <c:f>Brand!$E$71:$E$76</c:f>
              <c:numCache>
                <c:formatCode>\+#,##0.0;\-#,##0.0;"–"</c:formatCode>
                <c:ptCount val="6"/>
                <c:pt idx="0">
                  <c:v>-0.81371364793872791</c:v>
                </c:pt>
                <c:pt idx="1">
                  <c:v>-0.69748080484311215</c:v>
                </c:pt>
                <c:pt idx="2">
                  <c:v>-0.52310711420444178</c:v>
                </c:pt>
                <c:pt idx="3">
                  <c:v>-0.40686729225304114</c:v>
                </c:pt>
                <c:pt idx="4">
                  <c:v>-0.29061351259007101</c:v>
                </c:pt>
                <c:pt idx="5">
                  <c:v>-0.17436671178288563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553-495C-B497-622A530D068A}"/>
            </c:ext>
          </c:extLst>
        </c:ser>
        <c:ser>
          <c:idx val="1"/>
          <c:order val="1"/>
          <c:tx>
            <c:v>Mix</c:v>
          </c:tx>
          <c:spPr>
            <a:solidFill>
              <a:srgbClr val="6FA8C7"/>
            </a:solidFill>
            <a:ln>
              <a:noFill/>
            </a:ln>
          </c:spPr>
          <c:invertIfNegative val="0"/>
          <c:cat>
            <c:strRef>
              <c:f>Brand!$B$71:$B$76</c:f>
              <c:strCache>
                <c:ptCount val="6"/>
                <c:pt idx="0">
                  <c:v>Aurelia</c:v>
                </c:pt>
                <c:pt idx="1">
                  <c:v>Novara</c:v>
                </c:pt>
                <c:pt idx="2">
                  <c:v>Kestrel</c:v>
                </c:pt>
                <c:pt idx="3">
                  <c:v>Lumio</c:v>
                </c:pt>
                <c:pt idx="4">
                  <c:v>Everwood</c:v>
                </c:pt>
                <c:pt idx="5">
                  <c:v>Tindra</c:v>
                </c:pt>
              </c:strCache>
            </c:strRef>
          </c:cat>
          <c:val>
            <c:numRef>
              <c:f>Brand!$F$71:$F$76</c:f>
              <c:numCache>
                <c:formatCode>\+#,##0.0;\-#,##0.0;"–"</c:formatCode>
                <c:ptCount val="6"/>
                <c:pt idx="0">
                  <c:v>5.0139142312609506</c:v>
                </c:pt>
                <c:pt idx="1">
                  <c:v>1.4532957550345205</c:v>
                </c:pt>
                <c:pt idx="2">
                  <c:v>-1.7262892317089773E-3</c:v>
                </c:pt>
                <c:pt idx="3">
                  <c:v>1.4515083600871914</c:v>
                </c:pt>
                <c:pt idx="4">
                  <c:v>-2.5481820897341891</c:v>
                </c:pt>
                <c:pt idx="5">
                  <c:v>-2.8055492570209459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553-495C-B497-622A530D068A}"/>
            </c:ext>
          </c:extLst>
        </c:ser>
        <c:ser>
          <c:idx val="2"/>
          <c:order val="2"/>
          <c:tx>
            <c:v>Gross price</c:v>
          </c:tx>
          <c:spPr>
            <a:solidFill>
              <a:srgbClr val="12808A"/>
            </a:solidFill>
            <a:ln>
              <a:noFill/>
            </a:ln>
          </c:spPr>
          <c:invertIfNegative val="0"/>
          <c:cat>
            <c:strRef>
              <c:f>Brand!$B$71:$B$76</c:f>
              <c:strCache>
                <c:ptCount val="6"/>
                <c:pt idx="0">
                  <c:v>Aurelia</c:v>
                </c:pt>
                <c:pt idx="1">
                  <c:v>Novara</c:v>
                </c:pt>
                <c:pt idx="2">
                  <c:v>Kestrel</c:v>
                </c:pt>
                <c:pt idx="3">
                  <c:v>Lumio</c:v>
                </c:pt>
                <c:pt idx="4">
                  <c:v>Everwood</c:v>
                </c:pt>
                <c:pt idx="5">
                  <c:v>Tindra</c:v>
                </c:pt>
              </c:strCache>
            </c:strRef>
          </c:cat>
          <c:val>
            <c:numRef>
              <c:f>Brand!$G$71:$G$76</c:f>
              <c:numCache>
                <c:formatCode>\+#,##0.0;\-#,##0.0;"–"</c:formatCode>
                <c:ptCount val="6"/>
                <c:pt idx="0">
                  <c:v>0.96796620286316826</c:v>
                </c:pt>
                <c:pt idx="1">
                  <c:v>0.31111765781192019</c:v>
                </c:pt>
                <c:pt idx="2">
                  <c:v>4.8501477138357368E-2</c:v>
                </c:pt>
                <c:pt idx="3">
                  <c:v>0.25414521010864466</c:v>
                </c:pt>
                <c:pt idx="4">
                  <c:v>-0.15769980654762442</c:v>
                </c:pt>
                <c:pt idx="5">
                  <c:v>1.667030428041915E-2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553-495C-B497-622A530D068A}"/>
            </c:ext>
          </c:extLst>
        </c:ser>
        <c:ser>
          <c:idx val="3"/>
          <c:order val="3"/>
          <c:tx>
            <c:v>Trade &amp; returns</c:v>
          </c:tx>
          <c:spPr>
            <a:solidFill>
              <a:srgbClr val="D9B26F"/>
            </a:solidFill>
            <a:ln>
              <a:noFill/>
            </a:ln>
          </c:spPr>
          <c:invertIfNegative val="0"/>
          <c:cat>
            <c:strRef>
              <c:f>Brand!$B$71:$B$76</c:f>
              <c:strCache>
                <c:ptCount val="6"/>
                <c:pt idx="0">
                  <c:v>Aurelia</c:v>
                </c:pt>
                <c:pt idx="1">
                  <c:v>Novara</c:v>
                </c:pt>
                <c:pt idx="2">
                  <c:v>Kestrel</c:v>
                </c:pt>
                <c:pt idx="3">
                  <c:v>Lumio</c:v>
                </c:pt>
                <c:pt idx="4">
                  <c:v>Everwood</c:v>
                </c:pt>
                <c:pt idx="5">
                  <c:v>Tindra</c:v>
                </c:pt>
              </c:strCache>
            </c:strRef>
          </c:cat>
          <c:val>
            <c:numRef>
              <c:f>Brand!$H$71:$H$76</c:f>
              <c:numCache>
                <c:formatCode>\+#,##0.0;\-#,##0.0;"–"</c:formatCode>
                <c:ptCount val="6"/>
                <c:pt idx="0">
                  <c:v>-0.65916678618538505</c:v>
                </c:pt>
                <c:pt idx="1">
                  <c:v>-0.46993260800333431</c:v>
                </c:pt>
                <c:pt idx="2">
                  <c:v>-0.30866807370220573</c:v>
                </c:pt>
                <c:pt idx="3">
                  <c:v>-0.28078627794279565</c:v>
                </c:pt>
                <c:pt idx="4">
                  <c:v>-0.13450459112811583</c:v>
                </c:pt>
                <c:pt idx="5">
                  <c:v>-9.6754335476587988E-2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553-495C-B497-622A530D06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5"/>
        <c:overlap val="100"/>
        <c:axId val="50360001"/>
        <c:axId val="50360002"/>
      </c:barChart>
      <c:catAx>
        <c:axId val="50360001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low"/>
        <c:spPr>
          <a:ln>
            <a:solidFill>
              <a:srgbClr val="D5DAE1"/>
            </a:solidFill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360002"/>
        <c:crosses val="autoZero"/>
        <c:auto val="1"/>
        <c:lblAlgn val="ctr"/>
        <c:lblOffset val="100"/>
        <c:noMultiLvlLbl val="0"/>
      </c:catAx>
      <c:valAx>
        <c:axId val="50360002"/>
        <c:scaling>
          <c:orientation val="minMax"/>
        </c:scaling>
        <c:delete val="0"/>
        <c:axPos val="b"/>
        <c:majorGridlines>
          <c:spPr>
            <a:ln w="9525">
              <a:solidFill>
                <a:srgbClr val="E8EBEF"/>
              </a:solidFill>
            </a:ln>
          </c:spPr>
        </c:majorGridlines>
        <c:numFmt formatCode="#,##0.0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360001"/>
        <c:crosses val="max"/>
        <c:crossBetween val="between"/>
      </c:valAx>
      <c:spPr>
        <a:noFill/>
      </c:spPr>
    </c:plotArea>
    <c:legend>
      <c:legendPos val="b"/>
      <c:overlay val="0"/>
      <c:txPr>
        <a:bodyPr/>
        <a:lstStyle/>
        <a:p>
          <a:pPr>
            <a:defRPr sz="800" baseline="0">
              <a:solidFill>
                <a:srgbClr val="1F2937"/>
              </a:solidFill>
              <a:latin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>
      <a:solidFill>
        <a:srgbClr val="D5DAE1"/>
      </a:solidFill>
    </a:ln>
  </c:sp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Calc!$B$568</c:f>
          <c:strCache>
            <c:ptCount val="1"/>
            <c:pt idx="0">
              <c:v>Days inventory outstanding by brand: actual vs budget</c:v>
            </c:pt>
          </c:strCache>
        </c:strRef>
      </c:tx>
      <c:layout>
        <c:manualLayout>
          <c:xMode val="edge"/>
          <c:yMode val="edge"/>
          <c:x val="0.02"/>
          <c:y val="2.5000000000000001E-2"/>
        </c:manualLayout>
      </c:layout>
      <c:overlay val="0"/>
      <c:txPr>
        <a:bodyPr/>
        <a:lstStyle/>
        <a:p>
          <a:pPr>
            <a:defRPr sz="950" b="1" baseline="0">
              <a:solidFill>
                <a:srgbClr val="0F2A47"/>
              </a:solidFill>
              <a:latin typeface="Arial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Actual</c:v>
          </c:tx>
          <c:spPr>
            <a:solidFill>
              <a:srgbClr val="0F2A47"/>
            </a:solidFill>
            <a:ln>
              <a:solidFill>
                <a:srgbClr val="0F2A47"/>
              </a:solidFill>
            </a:ln>
          </c:spPr>
          <c:invertIfNegative val="0"/>
          <c:dLbls>
            <c:numFmt formatCode="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aseline="0">
                    <a:latin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Brand!$B$14:$B$19</c:f>
              <c:strCache>
                <c:ptCount val="6"/>
                <c:pt idx="0">
                  <c:v>Aurelia</c:v>
                </c:pt>
                <c:pt idx="1">
                  <c:v>Novara</c:v>
                </c:pt>
                <c:pt idx="2">
                  <c:v>Kestrel</c:v>
                </c:pt>
                <c:pt idx="3">
                  <c:v>Lumio</c:v>
                </c:pt>
                <c:pt idx="4">
                  <c:v>Everwood</c:v>
                </c:pt>
                <c:pt idx="5">
                  <c:v>Tindra</c:v>
                </c:pt>
              </c:strCache>
            </c:strRef>
          </c:cat>
          <c:val>
            <c:numRef>
              <c:f>Brand!$U$14:$U$19</c:f>
              <c:numCache>
                <c:formatCode>0.0;\(0.0\);"–"</c:formatCode>
                <c:ptCount val="6"/>
                <c:pt idx="0">
                  <c:v>101.03570721404526</c:v>
                </c:pt>
                <c:pt idx="1">
                  <c:v>85.999283867117555</c:v>
                </c:pt>
                <c:pt idx="2">
                  <c:v>80.978928629228022</c:v>
                </c:pt>
                <c:pt idx="3">
                  <c:v>95.997667355120882</c:v>
                </c:pt>
                <c:pt idx="4">
                  <c:v>125.01385804638089</c:v>
                </c:pt>
                <c:pt idx="5">
                  <c:v>125.93295324971494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B06-4F81-83D4-9E566CDF1E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50370001"/>
        <c:axId val="50370002"/>
      </c:barChart>
      <c:lineChart>
        <c:grouping val="standard"/>
        <c:varyColors val="0"/>
        <c:ser>
          <c:idx val="1"/>
          <c:order val="1"/>
          <c:tx>
            <c:v>Budget</c:v>
          </c:tx>
          <c:spPr>
            <a:ln>
              <a:noFill/>
            </a:ln>
          </c:spPr>
          <c:marker>
            <c:symbol val="dash"/>
            <c:size val="11"/>
            <c:spPr>
              <a:solidFill>
                <a:srgbClr val="12808A"/>
              </a:solidFill>
              <a:ln>
                <a:solidFill>
                  <a:srgbClr val="12808A"/>
                </a:solidFill>
              </a:ln>
            </c:spPr>
          </c:marker>
          <c:cat>
            <c:strRef>
              <c:f>Brand!$B$14:$B$19</c:f>
              <c:strCache>
                <c:ptCount val="6"/>
                <c:pt idx="0">
                  <c:v>Aurelia</c:v>
                </c:pt>
                <c:pt idx="1">
                  <c:v>Novara</c:v>
                </c:pt>
                <c:pt idx="2">
                  <c:v>Kestrel</c:v>
                </c:pt>
                <c:pt idx="3">
                  <c:v>Lumio</c:v>
                </c:pt>
                <c:pt idx="4">
                  <c:v>Everwood</c:v>
                </c:pt>
                <c:pt idx="5">
                  <c:v>Tindra</c:v>
                </c:pt>
              </c:strCache>
            </c:strRef>
          </c:cat>
          <c:val>
            <c:numRef>
              <c:f>Calc!$J$593:$J$598</c:f>
              <c:numCache>
                <c:formatCode>#,##0.00;\(#,##0.00\);\-</c:formatCode>
                <c:ptCount val="6"/>
                <c:pt idx="0">
                  <c:v>95.017822891144547</c:v>
                </c:pt>
                <c:pt idx="1">
                  <c:v>80.010996189439311</c:v>
                </c:pt>
                <c:pt idx="2">
                  <c:v>75.014309049330279</c:v>
                </c:pt>
                <c:pt idx="3">
                  <c:v>89.993282442748082</c:v>
                </c:pt>
                <c:pt idx="4">
                  <c:v>110.01517904863709</c:v>
                </c:pt>
                <c:pt idx="5">
                  <c:v>119.95421500386698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B06-4F81-83D4-9E566CDF1E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370001"/>
        <c:axId val="50370002"/>
      </c:lineChart>
      <c:catAx>
        <c:axId val="5037000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ln>
            <a:solidFill>
              <a:srgbClr val="D5DAE1"/>
            </a:solidFill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370002"/>
        <c:crosses val="autoZero"/>
        <c:auto val="1"/>
        <c:lblAlgn val="ctr"/>
        <c:lblOffset val="100"/>
        <c:noMultiLvlLbl val="0"/>
      </c:catAx>
      <c:valAx>
        <c:axId val="50370002"/>
        <c:scaling>
          <c:orientation val="minMax"/>
        </c:scaling>
        <c:delete val="0"/>
        <c:axPos val="l"/>
        <c:majorGridlines>
          <c:spPr>
            <a:ln w="9525">
              <a:solidFill>
                <a:srgbClr val="E8EBEF"/>
              </a:solidFill>
            </a:ln>
          </c:spPr>
        </c:majorGridlines>
        <c:numFmt formatCode="0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370001"/>
        <c:crosses val="autoZero"/>
        <c:crossBetween val="between"/>
      </c:valAx>
      <c:spPr>
        <a:noFill/>
      </c:spPr>
    </c:plotArea>
    <c:legend>
      <c:legendPos val="b"/>
      <c:overlay val="0"/>
      <c:txPr>
        <a:bodyPr/>
        <a:lstStyle/>
        <a:p>
          <a:pPr>
            <a:defRPr sz="800" baseline="0">
              <a:solidFill>
                <a:srgbClr val="1F2937"/>
              </a:solidFill>
              <a:latin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>
      <a:solidFill>
        <a:srgbClr val="D5DAE1"/>
      </a:solidFill>
    </a:ln>
  </c:sp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Calc!$B$569</c:f>
          <c:strCache>
            <c:ptCount val="1"/>
            <c:pt idx="0">
              <c:v>Aurelia: gross sales to contribution, $m (YTD Oct 2026)</c:v>
            </c:pt>
          </c:strCache>
        </c:strRef>
      </c:tx>
      <c:layout>
        <c:manualLayout>
          <c:xMode val="edge"/>
          <c:yMode val="edge"/>
          <c:x val="0.02"/>
          <c:y val="2.5000000000000001E-2"/>
        </c:manualLayout>
      </c:layout>
      <c:overlay val="0"/>
      <c:txPr>
        <a:bodyPr/>
        <a:lstStyle/>
        <a:p>
          <a:pPr>
            <a:defRPr sz="950" b="1" baseline="0">
              <a:solidFill>
                <a:srgbClr val="0F2A47"/>
              </a:solidFill>
              <a:latin typeface="Arial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v>b</c:v>
          </c:tx>
          <c:spPr>
            <a:noFill/>
            <a:ln>
              <a:noFill/>
            </a:ln>
          </c:spPr>
          <c:invertIfNegative val="0"/>
          <c:cat>
            <c:strRef>
              <c:f>Calc!$A$516:$A$522</c:f>
              <c:strCache>
                <c:ptCount val="7"/>
                <c:pt idx="0">
                  <c:v>Gross sales</c:v>
                </c:pt>
                <c:pt idx="1">
                  <c:v>Trade</c:v>
                </c:pt>
                <c:pt idx="2">
                  <c:v>Returns</c:v>
                </c:pt>
                <c:pt idx="3">
                  <c:v>COGS</c:v>
                </c:pt>
                <c:pt idx="4">
                  <c:v>A&amp;P</c:v>
                </c:pt>
                <c:pt idx="5">
                  <c:v>Cost to serve</c:v>
                </c:pt>
                <c:pt idx="6">
                  <c:v>Contribution</c:v>
                </c:pt>
              </c:strCache>
            </c:strRef>
          </c:cat>
          <c:val>
            <c:numRef>
              <c:f>Calc!$F$516:$F$522</c:f>
              <c:numCache>
                <c:formatCode>#,##0.00;\(#,##0.00\);\-</c:formatCode>
                <c:ptCount val="7"/>
                <c:pt idx="0">
                  <c:v>0</c:v>
                </c:pt>
                <c:pt idx="1">
                  <c:v>123.99200000000002</c:v>
                </c:pt>
                <c:pt idx="2">
                  <c:v>121.10600000000002</c:v>
                </c:pt>
                <c:pt idx="3">
                  <c:v>76.011000000000024</c:v>
                </c:pt>
                <c:pt idx="4">
                  <c:v>63.803000000000026</c:v>
                </c:pt>
                <c:pt idx="5">
                  <c:v>52.487000000000023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897-4AAB-838E-51631D0F49ED}"/>
            </c:ext>
          </c:extLst>
        </c:ser>
        <c:ser>
          <c:idx val="1"/>
          <c:order val="1"/>
          <c:tx>
            <c:v>Total</c:v>
          </c:tx>
          <c:spPr>
            <a:solidFill>
              <a:srgbClr val="0F2A47"/>
            </a:solidFill>
            <a:ln>
              <a:solidFill>
                <a:srgbClr val="0F2A47"/>
              </a:solidFill>
            </a:ln>
          </c:spPr>
          <c:invertIfNegative val="0"/>
          <c:cat>
            <c:strRef>
              <c:f>Calc!$A$516:$A$522</c:f>
              <c:strCache>
                <c:ptCount val="7"/>
                <c:pt idx="0">
                  <c:v>Gross sales</c:v>
                </c:pt>
                <c:pt idx="1">
                  <c:v>Trade</c:v>
                </c:pt>
                <c:pt idx="2">
                  <c:v>Returns</c:v>
                </c:pt>
                <c:pt idx="3">
                  <c:v>COGS</c:v>
                </c:pt>
                <c:pt idx="4">
                  <c:v>A&amp;P</c:v>
                </c:pt>
                <c:pt idx="5">
                  <c:v>Cost to serve</c:v>
                </c:pt>
                <c:pt idx="6">
                  <c:v>Contribution</c:v>
                </c:pt>
              </c:strCache>
            </c:strRef>
          </c:cat>
          <c:val>
            <c:numRef>
              <c:f>Calc!$G$516:$G$522</c:f>
              <c:numCache>
                <c:formatCode>#,##0.00;\(#,##0.00\);\-</c:formatCode>
                <c:ptCount val="7"/>
                <c:pt idx="0">
                  <c:v>146.96700000000001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52.487000000000002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897-4AAB-838E-51631D0F49ED}"/>
            </c:ext>
          </c:extLst>
        </c:ser>
        <c:ser>
          <c:idx val="2"/>
          <c:order val="2"/>
          <c:tx>
            <c:v>Favourable</c:v>
          </c:tx>
          <c:spPr>
            <a:solidFill>
              <a:srgbClr val="1E8E5A"/>
            </a:solidFill>
            <a:ln>
              <a:solidFill>
                <a:srgbClr val="1E8E5A"/>
              </a:solidFill>
            </a:ln>
          </c:spPr>
          <c:invertIfNegative val="0"/>
          <c:cat>
            <c:strRef>
              <c:f>Calc!$A$516:$A$522</c:f>
              <c:strCache>
                <c:ptCount val="7"/>
                <c:pt idx="0">
                  <c:v>Gross sales</c:v>
                </c:pt>
                <c:pt idx="1">
                  <c:v>Trade</c:v>
                </c:pt>
                <c:pt idx="2">
                  <c:v>Returns</c:v>
                </c:pt>
                <c:pt idx="3">
                  <c:v>COGS</c:v>
                </c:pt>
                <c:pt idx="4">
                  <c:v>A&amp;P</c:v>
                </c:pt>
                <c:pt idx="5">
                  <c:v>Cost to serve</c:v>
                </c:pt>
                <c:pt idx="6">
                  <c:v>Contribution</c:v>
                </c:pt>
              </c:strCache>
            </c:strRef>
          </c:cat>
          <c:val>
            <c:numRef>
              <c:f>Calc!$H$516:$H$522</c:f>
              <c:numCache>
                <c:formatCode>#,##0.00;\(#,##0.00\);\-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897-4AAB-838E-51631D0F49ED}"/>
            </c:ext>
          </c:extLst>
        </c:ser>
        <c:ser>
          <c:idx val="3"/>
          <c:order val="3"/>
          <c:tx>
            <c:v>Unfavourable</c:v>
          </c:tx>
          <c:spPr>
            <a:solidFill>
              <a:srgbClr val="C8372D"/>
            </a:solidFill>
            <a:ln>
              <a:solidFill>
                <a:srgbClr val="C8372D"/>
              </a:solidFill>
            </a:ln>
          </c:spPr>
          <c:invertIfNegative val="0"/>
          <c:cat>
            <c:strRef>
              <c:f>Calc!$A$516:$A$522</c:f>
              <c:strCache>
                <c:ptCount val="7"/>
                <c:pt idx="0">
                  <c:v>Gross sales</c:v>
                </c:pt>
                <c:pt idx="1">
                  <c:v>Trade</c:v>
                </c:pt>
                <c:pt idx="2">
                  <c:v>Returns</c:v>
                </c:pt>
                <c:pt idx="3">
                  <c:v>COGS</c:v>
                </c:pt>
                <c:pt idx="4">
                  <c:v>A&amp;P</c:v>
                </c:pt>
                <c:pt idx="5">
                  <c:v>Cost to serve</c:v>
                </c:pt>
                <c:pt idx="6">
                  <c:v>Contribution</c:v>
                </c:pt>
              </c:strCache>
            </c:strRef>
          </c:cat>
          <c:val>
            <c:numRef>
              <c:f>Calc!$I$516:$I$522</c:f>
              <c:numCache>
                <c:formatCode>#,##0.00;\(#,##0.00\);\-</c:formatCode>
                <c:ptCount val="7"/>
                <c:pt idx="0">
                  <c:v>0</c:v>
                </c:pt>
                <c:pt idx="1">
                  <c:v>22.974999999999994</c:v>
                </c:pt>
                <c:pt idx="2">
                  <c:v>2.8859999999999957</c:v>
                </c:pt>
                <c:pt idx="3">
                  <c:v>45.094999999999999</c:v>
                </c:pt>
                <c:pt idx="4">
                  <c:v>12.207999999999998</c:v>
                </c:pt>
                <c:pt idx="5">
                  <c:v>11.316000000000003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897-4AAB-838E-51631D0F49ED}"/>
            </c:ext>
          </c:extLst>
        </c:ser>
        <c:ser>
          <c:idx val="4"/>
          <c:order val="4"/>
          <c:tx>
            <c:v>bn</c:v>
          </c:tx>
          <c:spPr>
            <a:noFill/>
            <a:ln>
              <a:noFill/>
            </a:ln>
          </c:spPr>
          <c:invertIfNegative val="0"/>
          <c:cat>
            <c:strRef>
              <c:f>Calc!$A$516:$A$522</c:f>
              <c:strCache>
                <c:ptCount val="7"/>
                <c:pt idx="0">
                  <c:v>Gross sales</c:v>
                </c:pt>
                <c:pt idx="1">
                  <c:v>Trade</c:v>
                </c:pt>
                <c:pt idx="2">
                  <c:v>Returns</c:v>
                </c:pt>
                <c:pt idx="3">
                  <c:v>COGS</c:v>
                </c:pt>
                <c:pt idx="4">
                  <c:v>A&amp;P</c:v>
                </c:pt>
                <c:pt idx="5">
                  <c:v>Cost to serve</c:v>
                </c:pt>
                <c:pt idx="6">
                  <c:v>Contribution</c:v>
                </c:pt>
              </c:strCache>
            </c:strRef>
          </c:cat>
          <c:val>
            <c:numRef>
              <c:f>Calc!$J$516:$J$522</c:f>
              <c:numCache>
                <c:formatCode>#,##0.00;\(#,##0.00\);\-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897-4AAB-838E-51631D0F49ED}"/>
            </c:ext>
          </c:extLst>
        </c:ser>
        <c:ser>
          <c:idx val="5"/>
          <c:order val="5"/>
          <c:tx>
            <c:v>Total-</c:v>
          </c:tx>
          <c:spPr>
            <a:solidFill>
              <a:srgbClr val="0F2A47"/>
            </a:solidFill>
            <a:ln>
              <a:solidFill>
                <a:srgbClr val="0F2A47"/>
              </a:solidFill>
            </a:ln>
          </c:spPr>
          <c:invertIfNegative val="0"/>
          <c:cat>
            <c:strRef>
              <c:f>Calc!$A$516:$A$522</c:f>
              <c:strCache>
                <c:ptCount val="7"/>
                <c:pt idx="0">
                  <c:v>Gross sales</c:v>
                </c:pt>
                <c:pt idx="1">
                  <c:v>Trade</c:v>
                </c:pt>
                <c:pt idx="2">
                  <c:v>Returns</c:v>
                </c:pt>
                <c:pt idx="3">
                  <c:v>COGS</c:v>
                </c:pt>
                <c:pt idx="4">
                  <c:v>A&amp;P</c:v>
                </c:pt>
                <c:pt idx="5">
                  <c:v>Cost to serve</c:v>
                </c:pt>
                <c:pt idx="6">
                  <c:v>Contribution</c:v>
                </c:pt>
              </c:strCache>
            </c:strRef>
          </c:cat>
          <c:val>
            <c:numRef>
              <c:f>Calc!$K$516:$K$522</c:f>
              <c:numCache>
                <c:formatCode>#,##0.00;\(#,##0.00\);\-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897-4AAB-838E-51631D0F49ED}"/>
            </c:ext>
          </c:extLst>
        </c:ser>
        <c:ser>
          <c:idx val="6"/>
          <c:order val="6"/>
          <c:tx>
            <c:v>Fav-</c:v>
          </c:tx>
          <c:spPr>
            <a:solidFill>
              <a:srgbClr val="1E8E5A"/>
            </a:solidFill>
            <a:ln>
              <a:solidFill>
                <a:srgbClr val="1E8E5A"/>
              </a:solidFill>
            </a:ln>
          </c:spPr>
          <c:invertIfNegative val="0"/>
          <c:cat>
            <c:strRef>
              <c:f>Calc!$A$516:$A$522</c:f>
              <c:strCache>
                <c:ptCount val="7"/>
                <c:pt idx="0">
                  <c:v>Gross sales</c:v>
                </c:pt>
                <c:pt idx="1">
                  <c:v>Trade</c:v>
                </c:pt>
                <c:pt idx="2">
                  <c:v>Returns</c:v>
                </c:pt>
                <c:pt idx="3">
                  <c:v>COGS</c:v>
                </c:pt>
                <c:pt idx="4">
                  <c:v>A&amp;P</c:v>
                </c:pt>
                <c:pt idx="5">
                  <c:v>Cost to serve</c:v>
                </c:pt>
                <c:pt idx="6">
                  <c:v>Contribution</c:v>
                </c:pt>
              </c:strCache>
            </c:strRef>
          </c:cat>
          <c:val>
            <c:numRef>
              <c:f>Calc!$L$516:$L$522</c:f>
              <c:numCache>
                <c:formatCode>#,##0.00;\(#,##0.00\);\-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897-4AAB-838E-51631D0F49ED}"/>
            </c:ext>
          </c:extLst>
        </c:ser>
        <c:ser>
          <c:idx val="7"/>
          <c:order val="7"/>
          <c:tx>
            <c:v>Unfav-</c:v>
          </c:tx>
          <c:spPr>
            <a:solidFill>
              <a:srgbClr val="C8372D"/>
            </a:solidFill>
            <a:ln>
              <a:solidFill>
                <a:srgbClr val="C8372D"/>
              </a:solidFill>
            </a:ln>
          </c:spPr>
          <c:invertIfNegative val="0"/>
          <c:cat>
            <c:strRef>
              <c:f>Calc!$A$516:$A$522</c:f>
              <c:strCache>
                <c:ptCount val="7"/>
                <c:pt idx="0">
                  <c:v>Gross sales</c:v>
                </c:pt>
                <c:pt idx="1">
                  <c:v>Trade</c:v>
                </c:pt>
                <c:pt idx="2">
                  <c:v>Returns</c:v>
                </c:pt>
                <c:pt idx="3">
                  <c:v>COGS</c:v>
                </c:pt>
                <c:pt idx="4">
                  <c:v>A&amp;P</c:v>
                </c:pt>
                <c:pt idx="5">
                  <c:v>Cost to serve</c:v>
                </c:pt>
                <c:pt idx="6">
                  <c:v>Contribution</c:v>
                </c:pt>
              </c:strCache>
            </c:strRef>
          </c:cat>
          <c:val>
            <c:numRef>
              <c:f>Calc!$M$516:$M$522</c:f>
              <c:numCache>
                <c:formatCode>#,##0.00;\(#,##0.00\);\-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897-4AAB-838E-51631D0F49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5"/>
        <c:overlap val="100"/>
        <c:axId val="50380001"/>
        <c:axId val="50380002"/>
      </c:barChart>
      <c:lineChart>
        <c:grouping val="standard"/>
        <c:varyColors val="0"/>
        <c:ser>
          <c:idx val="8"/>
          <c:order val="8"/>
          <c:tx>
            <c:v>lbl</c:v>
          </c:tx>
          <c:spPr>
            <a:ln>
              <a:noFill/>
            </a:ln>
          </c:spPr>
          <c:marker>
            <c:symbol val="none"/>
          </c:marker>
          <c:dLbls>
            <c:dLbl>
              <c:idx val="0"/>
              <c:tx>
                <c:strRef>
                  <c:f>Calc!$O$516</c:f>
                  <c:strCache>
                    <c:ptCount val="1"/>
                    <c:pt idx="0">
                      <c:v>147.0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{E0FB5D94-9F8C-40ED-B8DC-02A290420F3C}</c15:txfldGUID>
                      <c15:f>Calc!$O$516</c15:f>
                      <c15:dlblFieldTableCache>
                        <c:ptCount val="1"/>
                        <c:pt idx="0">
                          <c:v>147.0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8-3897-4AAB-838E-51631D0F49ED}"/>
                </c:ext>
              </c:extLst>
            </c:dLbl>
            <c:dLbl>
              <c:idx val="1"/>
              <c:tx>
                <c:strRef>
                  <c:f>Calc!$O$517</c:f>
                  <c:strCache>
                    <c:ptCount val="1"/>
                    <c:pt idx="0">
                      <c:v>-23.0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{DDBFF001-8C7D-40E6-9CAF-AFDF9E0868FD}</c15:txfldGUID>
                      <c15:f>Calc!$O$517</c15:f>
                      <c15:dlblFieldTableCache>
                        <c:ptCount val="1"/>
                        <c:pt idx="0">
                          <c:v>-23.0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3897-4AAB-838E-51631D0F49ED}"/>
                </c:ext>
              </c:extLst>
            </c:dLbl>
            <c:dLbl>
              <c:idx val="2"/>
              <c:tx>
                <c:strRef>
                  <c:f>Calc!$O$518</c:f>
                  <c:strCache>
                    <c:ptCount val="1"/>
                    <c:pt idx="0">
                      <c:v>-2.9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{0999EDFD-99C3-49A1-AFAC-CD24FDBB2709}</c15:txfldGUID>
                      <c15:f>Calc!$O$518</c15:f>
                      <c15:dlblFieldTableCache>
                        <c:ptCount val="1"/>
                        <c:pt idx="0">
                          <c:v>-2.9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A-3897-4AAB-838E-51631D0F49ED}"/>
                </c:ext>
              </c:extLst>
            </c:dLbl>
            <c:dLbl>
              <c:idx val="3"/>
              <c:tx>
                <c:strRef>
                  <c:f>Calc!$O$519</c:f>
                  <c:strCache>
                    <c:ptCount val="1"/>
                    <c:pt idx="0">
                      <c:v>-45.1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{5B61B4E9-8F8A-44EC-92E8-4D16F00D70BD}</c15:txfldGUID>
                      <c15:f>Calc!$O$519</c15:f>
                      <c15:dlblFieldTableCache>
                        <c:ptCount val="1"/>
                        <c:pt idx="0">
                          <c:v>-45.1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B-3897-4AAB-838E-51631D0F49ED}"/>
                </c:ext>
              </c:extLst>
            </c:dLbl>
            <c:dLbl>
              <c:idx val="4"/>
              <c:tx>
                <c:strRef>
                  <c:f>Calc!$O$520</c:f>
                  <c:strCache>
                    <c:ptCount val="1"/>
                    <c:pt idx="0">
                      <c:v>-12.2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{71DCEE29-D8C3-4899-8CB8-F482DF1A9604}</c15:txfldGUID>
                      <c15:f>Calc!$O$520</c15:f>
                      <c15:dlblFieldTableCache>
                        <c:ptCount val="1"/>
                        <c:pt idx="0">
                          <c:v>-12.2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C-3897-4AAB-838E-51631D0F49ED}"/>
                </c:ext>
              </c:extLst>
            </c:dLbl>
            <c:dLbl>
              <c:idx val="5"/>
              <c:tx>
                <c:strRef>
                  <c:f>Calc!$O$521</c:f>
                  <c:strCache>
                    <c:ptCount val="1"/>
                    <c:pt idx="0">
                      <c:v>-11.3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{4D7AEA6D-4C28-4397-84E4-E28AAFC221EA}</c15:txfldGUID>
                      <c15:f>Calc!$O$521</c15:f>
                      <c15:dlblFieldTableCache>
                        <c:ptCount val="1"/>
                        <c:pt idx="0">
                          <c:v>-11.3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D-3897-4AAB-838E-51631D0F49ED}"/>
                </c:ext>
              </c:extLst>
            </c:dLbl>
            <c:dLbl>
              <c:idx val="6"/>
              <c:tx>
                <c:strRef>
                  <c:f>Calc!$O$522</c:f>
                  <c:strCache>
                    <c:ptCount val="1"/>
                    <c:pt idx="0">
                      <c:v>52.5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{2898EFC7-E2A7-4B0E-814E-B1F4763A62BA}</c15:txfldGUID>
                      <c15:f>Calc!$O$522</c15:f>
                      <c15:dlblFieldTableCache>
                        <c:ptCount val="1"/>
                        <c:pt idx="0">
                          <c:v>52.5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E-3897-4AAB-838E-51631D0F49E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 baseline="0">
                    <a:solidFill>
                      <a:srgbClr val="1F2937"/>
                    </a:solidFill>
                    <a:latin typeface="Arial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Calc!$A$516:$A$522</c:f>
              <c:strCache>
                <c:ptCount val="7"/>
                <c:pt idx="0">
                  <c:v>Gross sales</c:v>
                </c:pt>
                <c:pt idx="1">
                  <c:v>Trade</c:v>
                </c:pt>
                <c:pt idx="2">
                  <c:v>Returns</c:v>
                </c:pt>
                <c:pt idx="3">
                  <c:v>COGS</c:v>
                </c:pt>
                <c:pt idx="4">
                  <c:v>A&amp;P</c:v>
                </c:pt>
                <c:pt idx="5">
                  <c:v>Cost to serve</c:v>
                </c:pt>
                <c:pt idx="6">
                  <c:v>Contribution</c:v>
                </c:pt>
              </c:strCache>
            </c:strRef>
          </c:cat>
          <c:val>
            <c:numRef>
              <c:f>Calc!$N$516:$N$522</c:f>
              <c:numCache>
                <c:formatCode>#,##0.00;\(#,##0.00\);\-</c:formatCode>
                <c:ptCount val="7"/>
                <c:pt idx="0">
                  <c:v>146.96700000000001</c:v>
                </c:pt>
                <c:pt idx="1">
                  <c:v>146.96700000000001</c:v>
                </c:pt>
                <c:pt idx="2">
                  <c:v>123.99200000000002</c:v>
                </c:pt>
                <c:pt idx="3">
                  <c:v>121.10600000000002</c:v>
                </c:pt>
                <c:pt idx="4">
                  <c:v>76.011000000000024</c:v>
                </c:pt>
                <c:pt idx="5">
                  <c:v>63.803000000000026</c:v>
                </c:pt>
                <c:pt idx="6">
                  <c:v>52.487000000000002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3897-4AAB-838E-51631D0F49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380001"/>
        <c:axId val="50380002"/>
      </c:lineChart>
      <c:catAx>
        <c:axId val="50380001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low"/>
        <c:spPr>
          <a:ln>
            <a:solidFill>
              <a:srgbClr val="D5DAE1"/>
            </a:solidFill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380002"/>
        <c:crosses val="autoZero"/>
        <c:auto val="1"/>
        <c:lblAlgn val="ctr"/>
        <c:lblOffset val="100"/>
        <c:noMultiLvlLbl val="0"/>
      </c:catAx>
      <c:valAx>
        <c:axId val="50380002"/>
        <c:scaling>
          <c:orientation val="minMax"/>
        </c:scaling>
        <c:delete val="1"/>
        <c:axPos val="l"/>
        <c:numFmt formatCode="#,##0.00;\(#,##0.00\);\-" sourceLinked="1"/>
        <c:majorTickMark val="none"/>
        <c:minorTickMark val="none"/>
        <c:tickLblPos val="nextTo"/>
        <c:crossAx val="50380001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solidFill>
      <a:srgbClr val="FFFFFF"/>
    </a:solidFill>
    <a:ln>
      <a:solidFill>
        <a:srgbClr val="D5DAE1"/>
      </a:solidFill>
    </a:ln>
  </c:sp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Calc!$B$570</c:f>
          <c:strCache>
            <c:ptCount val="1"/>
            <c:pt idx="0">
              <c:v>Aurelia: net revenue vs budget, $m, and CM %</c:v>
            </c:pt>
          </c:strCache>
        </c:strRef>
      </c:tx>
      <c:layout>
        <c:manualLayout>
          <c:xMode val="edge"/>
          <c:yMode val="edge"/>
          <c:x val="0.02"/>
          <c:y val="2.5000000000000001E-2"/>
        </c:manualLayout>
      </c:layout>
      <c:overlay val="0"/>
      <c:txPr>
        <a:bodyPr/>
        <a:lstStyle/>
        <a:p>
          <a:pPr>
            <a:defRPr sz="950" b="1" baseline="0">
              <a:solidFill>
                <a:srgbClr val="0F2A47"/>
              </a:solidFill>
              <a:latin typeface="Arial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Actual / forecast</c:v>
          </c:tx>
          <c:spPr>
            <a:solidFill>
              <a:srgbClr val="0F2A47"/>
            </a:solidFill>
            <a:ln>
              <a:solidFill>
                <a:srgbClr val="0F2A47"/>
              </a:solidFill>
            </a:ln>
          </c:spPr>
          <c:invertIfNegative val="0"/>
          <c:cat>
            <c:strRef>
              <c:f>Calc!$D$4:$O$4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Calc!$D$438:$O$438</c:f>
              <c:numCache>
                <c:formatCode>#,##0.00;\(#,##0.00\);\-</c:formatCode>
                <c:ptCount val="12"/>
                <c:pt idx="0">
                  <c:v>10.002000000000001</c:v>
                </c:pt>
                <c:pt idx="1">
                  <c:v>10.311999999999999</c:v>
                </c:pt>
                <c:pt idx="2">
                  <c:v>11.679</c:v>
                </c:pt>
                <c:pt idx="3">
                  <c:v>11.743</c:v>
                </c:pt>
                <c:pt idx="4">
                  <c:v>12.156000000000001</c:v>
                </c:pt>
                <c:pt idx="5">
                  <c:v>12.393000000000001</c:v>
                </c:pt>
                <c:pt idx="6">
                  <c:v>12.115</c:v>
                </c:pt>
                <c:pt idx="7">
                  <c:v>12.33</c:v>
                </c:pt>
                <c:pt idx="8">
                  <c:v>13.496</c:v>
                </c:pt>
                <c:pt idx="9">
                  <c:v>14.88</c:v>
                </c:pt>
                <c:pt idx="10">
                  <c:v>15.744</c:v>
                </c:pt>
                <c:pt idx="11">
                  <c:v>14.512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22-4F50-8DEE-A5D9F6D61369}"/>
            </c:ext>
          </c:extLst>
        </c:ser>
        <c:ser>
          <c:idx val="1"/>
          <c:order val="1"/>
          <c:tx>
            <c:v>Budget</c:v>
          </c:tx>
          <c:spPr>
            <a:solidFill>
              <a:srgbClr val="FFFFFF"/>
            </a:solidFill>
            <a:ln w="15875">
              <a:solidFill>
                <a:srgbClr val="0F2A47"/>
              </a:solidFill>
            </a:ln>
          </c:spPr>
          <c:invertIfNegative val="0"/>
          <c:cat>
            <c:strRef>
              <c:f>Calc!$D$4:$O$4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Calc!$D$439:$O$439</c:f>
              <c:numCache>
                <c:formatCode>#,##0.00;\(#,##0.00\);\-</c:formatCode>
                <c:ptCount val="12"/>
                <c:pt idx="0">
                  <c:v>9.6180000000000003</c:v>
                </c:pt>
                <c:pt idx="1">
                  <c:v>9.91</c:v>
                </c:pt>
                <c:pt idx="2">
                  <c:v>11.077</c:v>
                </c:pt>
                <c:pt idx="3">
                  <c:v>11.368</c:v>
                </c:pt>
                <c:pt idx="4">
                  <c:v>11.661</c:v>
                </c:pt>
                <c:pt idx="5">
                  <c:v>11.951000000000001</c:v>
                </c:pt>
                <c:pt idx="6">
                  <c:v>11.661</c:v>
                </c:pt>
                <c:pt idx="7">
                  <c:v>11.951000000000001</c:v>
                </c:pt>
                <c:pt idx="8">
                  <c:v>13.117000000000001</c:v>
                </c:pt>
                <c:pt idx="9">
                  <c:v>14.282999999999999</c:v>
                </c:pt>
                <c:pt idx="10">
                  <c:v>15.157999999999999</c:v>
                </c:pt>
                <c:pt idx="11">
                  <c:v>13.992000000000001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222-4F50-8DEE-A5D9F6D613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axId val="50390001"/>
        <c:axId val="50390002"/>
      </c:barChart>
      <c:lineChart>
        <c:grouping val="standard"/>
        <c:varyColors val="0"/>
        <c:ser>
          <c:idx val="2"/>
          <c:order val="2"/>
          <c:tx>
            <c:v>CM %</c:v>
          </c:tx>
          <c:spPr>
            <a:ln w="25400">
              <a:solidFill>
                <a:srgbClr val="12808A"/>
              </a:solidFill>
            </a:ln>
          </c:spPr>
          <c:marker>
            <c:symbol val="none"/>
          </c:marker>
          <c:cat>
            <c:strRef>
              <c:f>Calc!$D$4:$O$4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Calc!$D$442:$O$442</c:f>
              <c:numCache>
                <c:formatCode>0.0%;\(0.0%\);\-</c:formatCode>
                <c:ptCount val="12"/>
                <c:pt idx="0">
                  <c:v>0.4335132973405319</c:v>
                </c:pt>
                <c:pt idx="1">
                  <c:v>0.43318463925523659</c:v>
                </c:pt>
                <c:pt idx="2">
                  <c:v>0.43488312355509884</c:v>
                </c:pt>
                <c:pt idx="3">
                  <c:v>0.43251298646001868</c:v>
                </c:pt>
                <c:pt idx="4">
                  <c:v>0.43385982230997039</c:v>
                </c:pt>
                <c:pt idx="5">
                  <c:v>0.43355119825708061</c:v>
                </c:pt>
                <c:pt idx="6">
                  <c:v>0.43334709038382169</c:v>
                </c:pt>
                <c:pt idx="7">
                  <c:v>0.43252230332522307</c:v>
                </c:pt>
                <c:pt idx="8">
                  <c:v>0.43279490219324246</c:v>
                </c:pt>
                <c:pt idx="9">
                  <c:v>0.43380376344086019</c:v>
                </c:pt>
                <c:pt idx="10">
                  <c:v>0.43387957317073172</c:v>
                </c:pt>
                <c:pt idx="11">
                  <c:v>0.43329658213891953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222-4F50-8DEE-A5D9F6D613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90001"/>
        <c:axId val="60390002"/>
      </c:lineChart>
      <c:catAx>
        <c:axId val="50390001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low"/>
        <c:spPr>
          <a:ln>
            <a:solidFill>
              <a:srgbClr val="D5DAE1"/>
            </a:solidFill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390002"/>
        <c:crosses val="autoZero"/>
        <c:auto val="1"/>
        <c:lblAlgn val="ctr"/>
        <c:lblOffset val="100"/>
        <c:noMultiLvlLbl val="0"/>
      </c:catAx>
      <c:valAx>
        <c:axId val="50390002"/>
        <c:scaling>
          <c:orientation val="minMax"/>
        </c:scaling>
        <c:delete val="0"/>
        <c:axPos val="l"/>
        <c:majorGridlines>
          <c:spPr>
            <a:ln w="9525">
              <a:solidFill>
                <a:srgbClr val="E8EBEF"/>
              </a:solidFill>
            </a:ln>
          </c:spPr>
        </c:majorGridlines>
        <c:numFmt formatCode="#,##0.0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390001"/>
        <c:crosses val="autoZero"/>
        <c:crossBetween val="between"/>
      </c:valAx>
      <c:valAx>
        <c:axId val="60390002"/>
        <c:scaling>
          <c:orientation val="minMax"/>
        </c:scaling>
        <c:delete val="0"/>
        <c:axPos val="r"/>
        <c:numFmt formatCode="0.0%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60390001"/>
        <c:crosses val="max"/>
        <c:crossBetween val="between"/>
      </c:valAx>
      <c:catAx>
        <c:axId val="6039000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60390002"/>
        <c:crosses val="autoZero"/>
        <c:auto val="1"/>
        <c:lblAlgn val="ctr"/>
        <c:lblOffset val="100"/>
        <c:noMultiLvlLbl val="0"/>
      </c:catAx>
      <c:spPr>
        <a:noFill/>
      </c:spPr>
    </c:plotArea>
    <c:legend>
      <c:legendPos val="b"/>
      <c:overlay val="0"/>
      <c:txPr>
        <a:bodyPr/>
        <a:lstStyle/>
        <a:p>
          <a:pPr>
            <a:defRPr sz="800" baseline="0">
              <a:solidFill>
                <a:srgbClr val="1F2937"/>
              </a:solidFill>
              <a:latin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>
      <a:solidFill>
        <a:srgbClr val="D5DAE1"/>
      </a:solidFill>
    </a:ln>
  </c:sp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Calc!$B$571</c:f>
          <c:strCache>
            <c:ptCount val="1"/>
            <c:pt idx="0">
              <c:v>Aurelia: net revenue by channel, $m</c:v>
            </c:pt>
          </c:strCache>
        </c:strRef>
      </c:tx>
      <c:layout>
        <c:manualLayout>
          <c:xMode val="edge"/>
          <c:yMode val="edge"/>
          <c:x val="0.02"/>
          <c:y val="2.5000000000000001E-2"/>
        </c:manualLayout>
      </c:layout>
      <c:overlay val="0"/>
      <c:txPr>
        <a:bodyPr/>
        <a:lstStyle/>
        <a:p>
          <a:pPr>
            <a:defRPr sz="950" b="1" baseline="0">
              <a:solidFill>
                <a:srgbClr val="0F2A47"/>
              </a:solidFill>
              <a:latin typeface="Arial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Actual</c:v>
          </c:tx>
          <c:spPr>
            <a:solidFill>
              <a:srgbClr val="0F2A47"/>
            </a:solidFill>
            <a:ln>
              <a:solidFill>
                <a:srgbClr val="0F2A47"/>
              </a:solidFill>
            </a:ln>
          </c:spPr>
          <c:invertIfNegative val="0"/>
          <c:cat>
            <c:strRef>
              <c:f>Calc!$A$602:$A$607</c:f>
              <c:strCache>
                <c:ptCount val="6"/>
                <c:pt idx="0">
                  <c:v>Hypermarkets</c:v>
                </c:pt>
                <c:pt idx="1">
                  <c:v>Supermarkets</c:v>
                </c:pt>
                <c:pt idx="2">
                  <c:v>Discounters</c:v>
                </c:pt>
                <c:pt idx="3">
                  <c:v>Marketplaces</c:v>
                </c:pt>
                <c:pt idx="4">
                  <c:v>Direct to Consumer</c:v>
                </c:pt>
                <c:pt idx="5">
                  <c:v>Distributors</c:v>
                </c:pt>
              </c:strCache>
            </c:strRef>
          </c:cat>
          <c:val>
            <c:numRef>
              <c:f>Calc!$B$602:$B$607</c:f>
              <c:numCache>
                <c:formatCode>#,##0.00;\(#,##0.00\);\-</c:formatCode>
                <c:ptCount val="6"/>
                <c:pt idx="0">
                  <c:v>33.527999999999999</c:v>
                </c:pt>
                <c:pt idx="1">
                  <c:v>29.102</c:v>
                </c:pt>
                <c:pt idx="2">
                  <c:v>14.986000000000001</c:v>
                </c:pt>
                <c:pt idx="3">
                  <c:v>21.678000000000001</c:v>
                </c:pt>
                <c:pt idx="4">
                  <c:v>8.5619999999999994</c:v>
                </c:pt>
                <c:pt idx="5">
                  <c:v>13.25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10-435C-95C4-9EFB5C78CF30}"/>
            </c:ext>
          </c:extLst>
        </c:ser>
        <c:ser>
          <c:idx val="1"/>
          <c:order val="1"/>
          <c:tx>
            <c:v>Budget</c:v>
          </c:tx>
          <c:spPr>
            <a:solidFill>
              <a:srgbClr val="FFFFFF"/>
            </a:solidFill>
            <a:ln w="15875">
              <a:solidFill>
                <a:srgbClr val="0F2A47"/>
              </a:solidFill>
            </a:ln>
          </c:spPr>
          <c:invertIfNegative val="0"/>
          <c:cat>
            <c:strRef>
              <c:f>Calc!$A$602:$A$607</c:f>
              <c:strCache>
                <c:ptCount val="6"/>
                <c:pt idx="0">
                  <c:v>Hypermarkets</c:v>
                </c:pt>
                <c:pt idx="1">
                  <c:v>Supermarkets</c:v>
                </c:pt>
                <c:pt idx="2">
                  <c:v>Discounters</c:v>
                </c:pt>
                <c:pt idx="3">
                  <c:v>Marketplaces</c:v>
                </c:pt>
                <c:pt idx="4">
                  <c:v>Direct to Consumer</c:v>
                </c:pt>
                <c:pt idx="5">
                  <c:v>Distributors</c:v>
                </c:pt>
              </c:strCache>
            </c:strRef>
          </c:cat>
          <c:val>
            <c:numRef>
              <c:f>Calc!$C$602:$C$607</c:f>
              <c:numCache>
                <c:formatCode>#,##0.00;\(#,##0.00\);\-</c:formatCode>
                <c:ptCount val="6"/>
                <c:pt idx="0">
                  <c:v>33.659999999999997</c:v>
                </c:pt>
                <c:pt idx="1">
                  <c:v>28.041</c:v>
                </c:pt>
                <c:pt idx="2">
                  <c:v>15.212</c:v>
                </c:pt>
                <c:pt idx="3">
                  <c:v>19.190000000000001</c:v>
                </c:pt>
                <c:pt idx="4">
                  <c:v>7.7930000000000001</c:v>
                </c:pt>
                <c:pt idx="5">
                  <c:v>12.701000000000001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210-435C-95C4-9EFB5C78CF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50400001"/>
        <c:axId val="50400002"/>
      </c:barChart>
      <c:catAx>
        <c:axId val="50400001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low"/>
        <c:spPr>
          <a:ln>
            <a:solidFill>
              <a:srgbClr val="D5DAE1"/>
            </a:solidFill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400002"/>
        <c:crosses val="autoZero"/>
        <c:auto val="1"/>
        <c:lblAlgn val="ctr"/>
        <c:lblOffset val="100"/>
        <c:noMultiLvlLbl val="0"/>
      </c:catAx>
      <c:valAx>
        <c:axId val="50400002"/>
        <c:scaling>
          <c:orientation val="minMax"/>
        </c:scaling>
        <c:delete val="0"/>
        <c:axPos val="b"/>
        <c:majorGridlines>
          <c:spPr>
            <a:ln w="9525">
              <a:solidFill>
                <a:srgbClr val="E8EBEF"/>
              </a:solidFill>
            </a:ln>
          </c:spPr>
        </c:majorGridlines>
        <c:numFmt formatCode="#,##0.0" sourceLinked="0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800" baseline="0">
                <a:solidFill>
                  <a:srgbClr val="6B7280"/>
                </a:solidFill>
                <a:latin typeface="Arial"/>
              </a:defRPr>
            </a:pPr>
            <a:endParaRPr lang="en-US"/>
          </a:p>
        </c:txPr>
        <c:crossAx val="50400001"/>
        <c:crosses val="max"/>
        <c:crossBetween val="between"/>
      </c:valAx>
      <c:spPr>
        <a:noFill/>
      </c:spPr>
    </c:plotArea>
    <c:legend>
      <c:legendPos val="b"/>
      <c:overlay val="0"/>
      <c:txPr>
        <a:bodyPr/>
        <a:lstStyle/>
        <a:p>
          <a:pPr>
            <a:defRPr sz="800" baseline="0">
              <a:solidFill>
                <a:srgbClr val="1F2937"/>
              </a:solidFill>
              <a:latin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>
      <a:solidFill>
        <a:srgbClr val="D5DAE1"/>
      </a:solidFill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8.xml"/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6.xml"/><Relationship Id="rId3" Type="http://schemas.openxmlformats.org/officeDocument/2006/relationships/chart" Target="../charts/chart21.xml"/><Relationship Id="rId7" Type="http://schemas.openxmlformats.org/officeDocument/2006/relationships/chart" Target="../charts/chart25.xml"/><Relationship Id="rId2" Type="http://schemas.openxmlformats.org/officeDocument/2006/relationships/chart" Target="../charts/chart20.xml"/><Relationship Id="rId1" Type="http://schemas.openxmlformats.org/officeDocument/2006/relationships/chart" Target="../charts/chart19.xml"/><Relationship Id="rId6" Type="http://schemas.openxmlformats.org/officeDocument/2006/relationships/chart" Target="../charts/chart24.xml"/><Relationship Id="rId11" Type="http://schemas.openxmlformats.org/officeDocument/2006/relationships/chart" Target="../charts/chart29.xml"/><Relationship Id="rId5" Type="http://schemas.openxmlformats.org/officeDocument/2006/relationships/chart" Target="../charts/chart23.xml"/><Relationship Id="rId10" Type="http://schemas.openxmlformats.org/officeDocument/2006/relationships/chart" Target="../charts/chart28.xml"/><Relationship Id="rId4" Type="http://schemas.openxmlformats.org/officeDocument/2006/relationships/chart" Target="../charts/chart22.xml"/><Relationship Id="rId9" Type="http://schemas.openxmlformats.org/officeDocument/2006/relationships/chart" Target="../charts/chart27.xm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7.xml"/><Relationship Id="rId3" Type="http://schemas.openxmlformats.org/officeDocument/2006/relationships/chart" Target="../charts/chart32.xml"/><Relationship Id="rId7" Type="http://schemas.openxmlformats.org/officeDocument/2006/relationships/chart" Target="../charts/chart36.xml"/><Relationship Id="rId2" Type="http://schemas.openxmlformats.org/officeDocument/2006/relationships/chart" Target="../charts/chart31.xml"/><Relationship Id="rId1" Type="http://schemas.openxmlformats.org/officeDocument/2006/relationships/chart" Target="../charts/chart30.xml"/><Relationship Id="rId6" Type="http://schemas.openxmlformats.org/officeDocument/2006/relationships/chart" Target="../charts/chart35.xml"/><Relationship Id="rId11" Type="http://schemas.openxmlformats.org/officeDocument/2006/relationships/chart" Target="../charts/chart40.xml"/><Relationship Id="rId5" Type="http://schemas.openxmlformats.org/officeDocument/2006/relationships/chart" Target="../charts/chart34.xml"/><Relationship Id="rId10" Type="http://schemas.openxmlformats.org/officeDocument/2006/relationships/chart" Target="../charts/chart39.xml"/><Relationship Id="rId4" Type="http://schemas.openxmlformats.org/officeDocument/2006/relationships/chart" Target="../charts/chart33.xml"/><Relationship Id="rId9" Type="http://schemas.openxmlformats.org/officeDocument/2006/relationships/chart" Target="../charts/chart3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26</xdr:row>
      <xdr:rowOff>38100</xdr:rowOff>
    </xdr:from>
    <xdr:to>
      <xdr:col>8</xdr:col>
      <xdr:colOff>542925</xdr:colOff>
      <xdr:row>40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28575</xdr:colOff>
      <xdr:row>26</xdr:row>
      <xdr:rowOff>38100</xdr:rowOff>
    </xdr:from>
    <xdr:to>
      <xdr:col>16</xdr:col>
      <xdr:colOff>542925</xdr:colOff>
      <xdr:row>40</xdr:row>
      <xdr:rowOff>152400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17</xdr:col>
      <xdr:colOff>28575</xdr:colOff>
      <xdr:row>26</xdr:row>
      <xdr:rowOff>38100</xdr:rowOff>
    </xdr:from>
    <xdr:to>
      <xdr:col>24</xdr:col>
      <xdr:colOff>542925</xdr:colOff>
      <xdr:row>40</xdr:row>
      <xdr:rowOff>152400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</xdr:col>
      <xdr:colOff>28575</xdr:colOff>
      <xdr:row>42</xdr:row>
      <xdr:rowOff>38100</xdr:rowOff>
    </xdr:from>
    <xdr:to>
      <xdr:col>8</xdr:col>
      <xdr:colOff>542925</xdr:colOff>
      <xdr:row>56</xdr:row>
      <xdr:rowOff>152400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9</xdr:col>
      <xdr:colOff>28575</xdr:colOff>
      <xdr:row>42</xdr:row>
      <xdr:rowOff>38100</xdr:rowOff>
    </xdr:from>
    <xdr:to>
      <xdr:col>16</xdr:col>
      <xdr:colOff>542925</xdr:colOff>
      <xdr:row>56</xdr:row>
      <xdr:rowOff>152400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17</xdr:col>
      <xdr:colOff>28575</xdr:colOff>
      <xdr:row>42</xdr:row>
      <xdr:rowOff>38100</xdr:rowOff>
    </xdr:from>
    <xdr:to>
      <xdr:col>24</xdr:col>
      <xdr:colOff>542925</xdr:colOff>
      <xdr:row>56</xdr:row>
      <xdr:rowOff>152400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1</xdr:col>
      <xdr:colOff>28575</xdr:colOff>
      <xdr:row>58</xdr:row>
      <xdr:rowOff>38100</xdr:rowOff>
    </xdr:from>
    <xdr:to>
      <xdr:col>8</xdr:col>
      <xdr:colOff>542925</xdr:colOff>
      <xdr:row>72</xdr:row>
      <xdr:rowOff>152400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oneCell">
    <xdr:from>
      <xdr:col>9</xdr:col>
      <xdr:colOff>28575</xdr:colOff>
      <xdr:row>58</xdr:row>
      <xdr:rowOff>38100</xdr:rowOff>
    </xdr:from>
    <xdr:to>
      <xdr:col>16</xdr:col>
      <xdr:colOff>542925</xdr:colOff>
      <xdr:row>72</xdr:row>
      <xdr:rowOff>152400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 editAs="oneCell">
    <xdr:from>
      <xdr:col>17</xdr:col>
      <xdr:colOff>28575</xdr:colOff>
      <xdr:row>58</xdr:row>
      <xdr:rowOff>38100</xdr:rowOff>
    </xdr:from>
    <xdr:to>
      <xdr:col>24</xdr:col>
      <xdr:colOff>542925</xdr:colOff>
      <xdr:row>72</xdr:row>
      <xdr:rowOff>152400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oneCell">
    <xdr:from>
      <xdr:col>1</xdr:col>
      <xdr:colOff>28575</xdr:colOff>
      <xdr:row>74</xdr:row>
      <xdr:rowOff>38100</xdr:rowOff>
    </xdr:from>
    <xdr:to>
      <xdr:col>8</xdr:col>
      <xdr:colOff>542925</xdr:colOff>
      <xdr:row>88</xdr:row>
      <xdr:rowOff>152400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 editAs="oneCell">
    <xdr:from>
      <xdr:col>9</xdr:col>
      <xdr:colOff>28575</xdr:colOff>
      <xdr:row>74</xdr:row>
      <xdr:rowOff>38100</xdr:rowOff>
    </xdr:from>
    <xdr:to>
      <xdr:col>16</xdr:col>
      <xdr:colOff>542925</xdr:colOff>
      <xdr:row>88</xdr:row>
      <xdr:rowOff>152400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 editAs="oneCell">
    <xdr:from>
      <xdr:col>17</xdr:col>
      <xdr:colOff>28575</xdr:colOff>
      <xdr:row>74</xdr:row>
      <xdr:rowOff>38100</xdr:rowOff>
    </xdr:from>
    <xdr:to>
      <xdr:col>24</xdr:col>
      <xdr:colOff>542925</xdr:colOff>
      <xdr:row>88</xdr:row>
      <xdr:rowOff>152400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 editAs="oneCell">
    <xdr:from>
      <xdr:col>1</xdr:col>
      <xdr:colOff>28575</xdr:colOff>
      <xdr:row>90</xdr:row>
      <xdr:rowOff>38100</xdr:rowOff>
    </xdr:from>
    <xdr:to>
      <xdr:col>8</xdr:col>
      <xdr:colOff>542925</xdr:colOff>
      <xdr:row>104</xdr:row>
      <xdr:rowOff>152400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 editAs="oneCell">
    <xdr:from>
      <xdr:col>9</xdr:col>
      <xdr:colOff>28575</xdr:colOff>
      <xdr:row>90</xdr:row>
      <xdr:rowOff>38100</xdr:rowOff>
    </xdr:from>
    <xdr:to>
      <xdr:col>16</xdr:col>
      <xdr:colOff>542925</xdr:colOff>
      <xdr:row>104</xdr:row>
      <xdr:rowOff>152400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 editAs="oneCell">
    <xdr:from>
      <xdr:col>17</xdr:col>
      <xdr:colOff>28575</xdr:colOff>
      <xdr:row>90</xdr:row>
      <xdr:rowOff>38100</xdr:rowOff>
    </xdr:from>
    <xdr:to>
      <xdr:col>24</xdr:col>
      <xdr:colOff>542925</xdr:colOff>
      <xdr:row>104</xdr:row>
      <xdr:rowOff>152400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51</xdr:row>
      <xdr:rowOff>38100</xdr:rowOff>
    </xdr:from>
    <xdr:to>
      <xdr:col>7</xdr:col>
      <xdr:colOff>219075</xdr:colOff>
      <xdr:row>72</xdr:row>
      <xdr:rowOff>133350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7</xdr:col>
      <xdr:colOff>314325</xdr:colOff>
      <xdr:row>51</xdr:row>
      <xdr:rowOff>38100</xdr:rowOff>
    </xdr:from>
    <xdr:to>
      <xdr:col>18</xdr:col>
      <xdr:colOff>66675</xdr:colOff>
      <xdr:row>72</xdr:row>
      <xdr:rowOff>133350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18</xdr:col>
      <xdr:colOff>161925</xdr:colOff>
      <xdr:row>51</xdr:row>
      <xdr:rowOff>38100</xdr:rowOff>
    </xdr:from>
    <xdr:to>
      <xdr:col>21</xdr:col>
      <xdr:colOff>3990975</xdr:colOff>
      <xdr:row>72</xdr:row>
      <xdr:rowOff>133350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22</xdr:row>
      <xdr:rowOff>38100</xdr:rowOff>
    </xdr:from>
    <xdr:to>
      <xdr:col>8</xdr:col>
      <xdr:colOff>542925</xdr:colOff>
      <xdr:row>36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28575</xdr:colOff>
      <xdr:row>22</xdr:row>
      <xdr:rowOff>38100</xdr:rowOff>
    </xdr:from>
    <xdr:to>
      <xdr:col>16</xdr:col>
      <xdr:colOff>542925</xdr:colOff>
      <xdr:row>36</xdr:row>
      <xdr:rowOff>152400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17</xdr:col>
      <xdr:colOff>28575</xdr:colOff>
      <xdr:row>22</xdr:row>
      <xdr:rowOff>38100</xdr:rowOff>
    </xdr:from>
    <xdr:to>
      <xdr:col>24</xdr:col>
      <xdr:colOff>542925</xdr:colOff>
      <xdr:row>36</xdr:row>
      <xdr:rowOff>152400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</xdr:col>
      <xdr:colOff>28575</xdr:colOff>
      <xdr:row>37</xdr:row>
      <xdr:rowOff>38100</xdr:rowOff>
    </xdr:from>
    <xdr:to>
      <xdr:col>8</xdr:col>
      <xdr:colOff>542925</xdr:colOff>
      <xdr:row>51</xdr:row>
      <xdr:rowOff>152400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9</xdr:col>
      <xdr:colOff>28575</xdr:colOff>
      <xdr:row>37</xdr:row>
      <xdr:rowOff>38100</xdr:rowOff>
    </xdr:from>
    <xdr:to>
      <xdr:col>16</xdr:col>
      <xdr:colOff>542925</xdr:colOff>
      <xdr:row>51</xdr:row>
      <xdr:rowOff>152400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17</xdr:col>
      <xdr:colOff>28575</xdr:colOff>
      <xdr:row>37</xdr:row>
      <xdr:rowOff>38100</xdr:rowOff>
    </xdr:from>
    <xdr:to>
      <xdr:col>24</xdr:col>
      <xdr:colOff>542925</xdr:colOff>
      <xdr:row>51</xdr:row>
      <xdr:rowOff>152400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9</xdr:col>
      <xdr:colOff>28575</xdr:colOff>
      <xdr:row>68</xdr:row>
      <xdr:rowOff>38100</xdr:rowOff>
    </xdr:from>
    <xdr:to>
      <xdr:col>16</xdr:col>
      <xdr:colOff>542925</xdr:colOff>
      <xdr:row>82</xdr:row>
      <xdr:rowOff>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oneCell">
    <xdr:from>
      <xdr:col>17</xdr:col>
      <xdr:colOff>28575</xdr:colOff>
      <xdr:row>68</xdr:row>
      <xdr:rowOff>38100</xdr:rowOff>
    </xdr:from>
    <xdr:to>
      <xdr:col>24</xdr:col>
      <xdr:colOff>542925</xdr:colOff>
      <xdr:row>82</xdr:row>
      <xdr:rowOff>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 editAs="oneCell">
    <xdr:from>
      <xdr:col>1</xdr:col>
      <xdr:colOff>28575</xdr:colOff>
      <xdr:row>85</xdr:row>
      <xdr:rowOff>38100</xdr:rowOff>
    </xdr:from>
    <xdr:to>
      <xdr:col>8</xdr:col>
      <xdr:colOff>542925</xdr:colOff>
      <xdr:row>99</xdr:row>
      <xdr:rowOff>152400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oneCell">
    <xdr:from>
      <xdr:col>9</xdr:col>
      <xdr:colOff>28575</xdr:colOff>
      <xdr:row>85</xdr:row>
      <xdr:rowOff>38100</xdr:rowOff>
    </xdr:from>
    <xdr:to>
      <xdr:col>16</xdr:col>
      <xdr:colOff>542925</xdr:colOff>
      <xdr:row>99</xdr:row>
      <xdr:rowOff>152400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 editAs="oneCell">
    <xdr:from>
      <xdr:col>17</xdr:col>
      <xdr:colOff>28575</xdr:colOff>
      <xdr:row>85</xdr:row>
      <xdr:rowOff>38100</xdr:rowOff>
    </xdr:from>
    <xdr:to>
      <xdr:col>24</xdr:col>
      <xdr:colOff>542925</xdr:colOff>
      <xdr:row>99</xdr:row>
      <xdr:rowOff>152400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22</xdr:row>
      <xdr:rowOff>38100</xdr:rowOff>
    </xdr:from>
    <xdr:to>
      <xdr:col>8</xdr:col>
      <xdr:colOff>542925</xdr:colOff>
      <xdr:row>36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28575</xdr:colOff>
      <xdr:row>22</xdr:row>
      <xdr:rowOff>38100</xdr:rowOff>
    </xdr:from>
    <xdr:to>
      <xdr:col>16</xdr:col>
      <xdr:colOff>542925</xdr:colOff>
      <xdr:row>36</xdr:row>
      <xdr:rowOff>152400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17</xdr:col>
      <xdr:colOff>28575</xdr:colOff>
      <xdr:row>22</xdr:row>
      <xdr:rowOff>38100</xdr:rowOff>
    </xdr:from>
    <xdr:to>
      <xdr:col>24</xdr:col>
      <xdr:colOff>542925</xdr:colOff>
      <xdr:row>36</xdr:row>
      <xdr:rowOff>152400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</xdr:col>
      <xdr:colOff>28575</xdr:colOff>
      <xdr:row>37</xdr:row>
      <xdr:rowOff>38100</xdr:rowOff>
    </xdr:from>
    <xdr:to>
      <xdr:col>8</xdr:col>
      <xdr:colOff>542925</xdr:colOff>
      <xdr:row>51</xdr:row>
      <xdr:rowOff>152400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9</xdr:col>
      <xdr:colOff>28575</xdr:colOff>
      <xdr:row>37</xdr:row>
      <xdr:rowOff>38100</xdr:rowOff>
    </xdr:from>
    <xdr:to>
      <xdr:col>16</xdr:col>
      <xdr:colOff>542925</xdr:colOff>
      <xdr:row>51</xdr:row>
      <xdr:rowOff>152400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17</xdr:col>
      <xdr:colOff>28575</xdr:colOff>
      <xdr:row>37</xdr:row>
      <xdr:rowOff>38100</xdr:rowOff>
    </xdr:from>
    <xdr:to>
      <xdr:col>24</xdr:col>
      <xdr:colOff>542925</xdr:colOff>
      <xdr:row>51</xdr:row>
      <xdr:rowOff>152400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9</xdr:col>
      <xdr:colOff>28575</xdr:colOff>
      <xdr:row>68</xdr:row>
      <xdr:rowOff>38100</xdr:rowOff>
    </xdr:from>
    <xdr:to>
      <xdr:col>16</xdr:col>
      <xdr:colOff>542925</xdr:colOff>
      <xdr:row>82</xdr:row>
      <xdr:rowOff>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oneCell">
    <xdr:from>
      <xdr:col>17</xdr:col>
      <xdr:colOff>28575</xdr:colOff>
      <xdr:row>68</xdr:row>
      <xdr:rowOff>38100</xdr:rowOff>
    </xdr:from>
    <xdr:to>
      <xdr:col>24</xdr:col>
      <xdr:colOff>542925</xdr:colOff>
      <xdr:row>82</xdr:row>
      <xdr:rowOff>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 editAs="oneCell">
    <xdr:from>
      <xdr:col>1</xdr:col>
      <xdr:colOff>28575</xdr:colOff>
      <xdr:row>85</xdr:row>
      <xdr:rowOff>38100</xdr:rowOff>
    </xdr:from>
    <xdr:to>
      <xdr:col>8</xdr:col>
      <xdr:colOff>542925</xdr:colOff>
      <xdr:row>99</xdr:row>
      <xdr:rowOff>152400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oneCell">
    <xdr:from>
      <xdr:col>9</xdr:col>
      <xdr:colOff>28575</xdr:colOff>
      <xdr:row>85</xdr:row>
      <xdr:rowOff>38100</xdr:rowOff>
    </xdr:from>
    <xdr:to>
      <xdr:col>16</xdr:col>
      <xdr:colOff>542925</xdr:colOff>
      <xdr:row>99</xdr:row>
      <xdr:rowOff>152400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 editAs="oneCell">
    <xdr:from>
      <xdr:col>17</xdr:col>
      <xdr:colOff>28575</xdr:colOff>
      <xdr:row>85</xdr:row>
      <xdr:rowOff>38100</xdr:rowOff>
    </xdr:from>
    <xdr:to>
      <xdr:col>24</xdr:col>
      <xdr:colOff>542925</xdr:colOff>
      <xdr:row>99</xdr:row>
      <xdr:rowOff>152400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lData" displayName="tblData" ref="B7:AK1746" totalsRowShown="0">
  <autoFilter ref="B7:AK1746" xr:uid="{00000000-0009-0000-0100-000001000000}"/>
  <tableColumns count="36">
    <tableColumn id="1" xr3:uid="{00000000-0010-0000-0000-000001000000}" name="Scenario" dataDxfId="221"/>
    <tableColumn id="2" xr3:uid="{00000000-0010-0000-0000-000002000000}" name="Year" dataDxfId="220"/>
    <tableColumn id="3" xr3:uid="{00000000-0010-0000-0000-000003000000}" name="Month" dataDxfId="219"/>
    <tableColumn id="4" xr3:uid="{00000000-0010-0000-0000-000004000000}" name="Channel" dataDxfId="218"/>
    <tableColumn id="5" xr3:uid="{00000000-0010-0000-0000-000005000000}" name="Brand" dataDxfId="217"/>
    <tableColumn id="6" xr3:uid="{00000000-0010-0000-0000-000006000000}" name="Units" dataDxfId="216"/>
    <tableColumn id="7" xr3:uid="{00000000-0010-0000-0000-000007000000}" name="Gross Sales" dataDxfId="215"/>
    <tableColumn id="8" xr3:uid="{00000000-0010-0000-0000-000008000000}" name="Trade Discounts" dataDxfId="214"/>
    <tableColumn id="9" xr3:uid="{00000000-0010-0000-0000-000009000000}" name="Returns" dataDxfId="213"/>
    <tableColumn id="10" xr3:uid="{00000000-0010-0000-0000-00000A000000}" name="Material Cost" dataDxfId="212"/>
    <tableColumn id="11" xr3:uid="{00000000-0010-0000-0000-00000B000000}" name="Conversion Cost" dataDxfId="211"/>
    <tableColumn id="12" xr3:uid="{00000000-0010-0000-0000-00000C000000}" name="Inbound Freight" dataDxfId="210"/>
    <tableColumn id="13" xr3:uid="{00000000-0010-0000-0000-00000D000000}" name="Advertising" dataDxfId="209"/>
    <tableColumn id="14" xr3:uid="{00000000-0010-0000-0000-00000E000000}" name="Promotions" dataDxfId="208"/>
    <tableColumn id="15" xr3:uid="{00000000-0010-0000-0000-00000F000000}" name="Outbound Logistics" dataDxfId="207"/>
    <tableColumn id="16" xr3:uid="{00000000-0010-0000-0000-000010000000}" name="Direct Selling" dataDxfId="206"/>
    <tableColumn id="17" xr3:uid="{00000000-0010-0000-0000-000011000000}" name="Personnel" dataDxfId="205"/>
    <tableColumn id="18" xr3:uid="{00000000-0010-0000-0000-000012000000}" name="Research and Development" dataDxfId="204"/>
    <tableColumn id="19" xr3:uid="{00000000-0010-0000-0000-000013000000}" name="IT and Facilities" dataDxfId="203"/>
    <tableColumn id="20" xr3:uid="{00000000-0010-0000-0000-000014000000}" name="Other Admin" dataDxfId="202"/>
    <tableColumn id="21" xr3:uid="{00000000-0010-0000-0000-000015000000}" name="Depreciation" dataDxfId="201"/>
    <tableColumn id="22" xr3:uid="{00000000-0010-0000-0000-000016000000}" name="Net Interest" dataDxfId="200"/>
    <tableColumn id="23" xr3:uid="{00000000-0010-0000-0000-000017000000}" name="Tax" dataDxfId="199"/>
    <tableColumn id="24" xr3:uid="{00000000-0010-0000-0000-000018000000}" name="Capex" dataDxfId="198"/>
    <tableColumn id="25" xr3:uid="{00000000-0010-0000-0000-000019000000}" name="Receivables" dataDxfId="197"/>
    <tableColumn id="26" xr3:uid="{00000000-0010-0000-0000-00001A000000}" name="Inventory" dataDxfId="196"/>
    <tableColumn id="27" xr3:uid="{00000000-0010-0000-0000-00001B000000}" name="Payables" dataDxfId="195"/>
    <tableColumn id="28" xr3:uid="{00000000-0010-0000-0000-00001C000000}" name="Cash" dataDxfId="194"/>
    <tableColumn id="29" xr3:uid="{00000000-0010-0000-0000-00001D000000}" name="Gross Debt" dataDxfId="193"/>
    <tableColumn id="30" xr3:uid="{00000000-0010-0000-0000-00001E000000}" name="Headcount" dataDxfId="192"/>
    <tableColumn id="31" xr3:uid="{00000000-0010-0000-0000-00001F000000}" name="Net Revenue" dataDxfId="191">
      <calculatedColumnFormula>tblData[[#This Row],[Gross Sales]]+tblData[[#This Row],[Trade Discounts]]+tblData[[#This Row],[Returns]]</calculatedColumnFormula>
    </tableColumn>
    <tableColumn id="32" xr3:uid="{00000000-0010-0000-0000-000020000000}" name="COGS" dataDxfId="190">
      <calculatedColumnFormula>tblData[[#This Row],[Material Cost]]+tblData[[#This Row],[Conversion Cost]]+tblData[[#This Row],[Inbound Freight]]</calculatedColumnFormula>
    </tableColumn>
    <tableColumn id="33" xr3:uid="{00000000-0010-0000-0000-000021000000}" name="Gross Profit" dataDxfId="189">
      <calculatedColumnFormula>tblData[[#This Row],[Net Revenue]]+tblData[[#This Row],[COGS]]</calculatedColumnFormula>
    </tableColumn>
    <tableColumn id="34" xr3:uid="{00000000-0010-0000-0000-000022000000}" name="AP Spend" dataDxfId="188">
      <calculatedColumnFormula>tblData[[#This Row],[Advertising]]+tblData[[#This Row],[Promotions]]</calculatedColumnFormula>
    </tableColumn>
    <tableColumn id="35" xr3:uid="{00000000-0010-0000-0000-000023000000}" name="Cost to Serve" dataDxfId="187">
      <calculatedColumnFormula>tblData[[#This Row],[Outbound Logistics]]+tblData[[#This Row],[Direct Selling]]</calculatedColumnFormula>
    </tableColumn>
    <tableColumn id="36" xr3:uid="{00000000-0010-0000-0000-000024000000}" name="Contribution Margin" dataDxfId="186">
      <calculatedColumnFormula>tblData[[#This Row],[Gross Profit]]+tblData[[#This Row],[AP Spend]]+tblData[[#This Row],[Cost to Serve]]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corporatefinanceinstitute.com/resources/valuation/cash-conversion-cycle" TargetMode="External"/><Relationship Id="rId3" Type="http://schemas.openxmlformats.org/officeDocument/2006/relationships/hyperlink" Target="https://zebrabi.com/designing-financial-reports-dashboards-and-business-presentations/" TargetMode="External"/><Relationship Id="rId7" Type="http://schemas.openxmlformats.org/officeDocument/2006/relationships/hyperlink" Target="https://umbrex.com/resources/company-analysis/finance/budget-vs-actual-revenue-variance/" TargetMode="External"/><Relationship Id="rId2" Type="http://schemas.openxmlformats.org/officeDocument/2006/relationships/hyperlink" Target="https://www.cubesoftware.com/blog/financial-reporting-dashboards" TargetMode="External"/><Relationship Id="rId1" Type="http://schemas.openxmlformats.org/officeDocument/2006/relationships/hyperlink" Target="https://www.oracle.com/erp/cfo/cfo-kpis/" TargetMode="External"/><Relationship Id="rId6" Type="http://schemas.openxmlformats.org/officeDocument/2006/relationships/hyperlink" Target="https://help.daasity.com/core-concepts/contribution-margin" TargetMode="External"/><Relationship Id="rId5" Type="http://schemas.openxmlformats.org/officeDocument/2006/relationships/hyperlink" Target="https://www.mckinsey.com/capabilities/growth-marketing-and-sales/our-insights/reimagining-trade-spend-from-cost-center-to-growth-catalyst" TargetMode="External"/><Relationship Id="rId4" Type="http://schemas.openxmlformats.org/officeDocument/2006/relationships/hyperlink" Target="https://www.financialprofessionals.org/training-resources/resources/articles/Details/business-financial-reports-how-should-they-lo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F2A47"/>
    <pageSetUpPr fitToPage="1"/>
  </sheetPr>
  <dimension ref="A1:Z143"/>
  <sheetViews>
    <sheetView showGridLines="0" tabSelected="1" zoomScale="90" zoomScaleNormal="90" workbookViewId="0">
      <pane ySplit="4" topLeftCell="A41" activePane="bottomLeft" state="frozen"/>
      <selection pane="bottomLeft" activeCell="B2" sqref="B2:O2"/>
    </sheetView>
  </sheetViews>
  <sheetFormatPr defaultColWidth="0" defaultRowHeight="15" x14ac:dyDescent="0.25"/>
  <cols>
    <col min="1" max="1" width="2" style="1" customWidth="1"/>
    <col min="2" max="25" width="8.85546875" style="1" customWidth="1"/>
    <col min="26" max="26" width="2" style="1" customWidth="1"/>
    <col min="27" max="27" width="0" hidden="1" customWidth="1"/>
  </cols>
  <sheetData>
    <row r="1" spans="1:26" s="2" customFormat="1" ht="4.5" customHeight="1" x14ac:dyDescent="0.25"/>
    <row r="2" spans="1:26" ht="21" customHeight="1" x14ac:dyDescent="0.25">
      <c r="A2" s="2"/>
      <c r="B2" s="82" t="str">
        <f>Company&amp;": CFO performance dashboard"</f>
        <v>Coskun Finance: CFO performance dashboard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6" t="s">
        <v>529</v>
      </c>
      <c r="Q2" s="86"/>
      <c r="R2" s="2"/>
      <c r="S2" s="86" t="s">
        <v>443</v>
      </c>
      <c r="T2" s="86"/>
      <c r="U2" s="86" t="s">
        <v>444</v>
      </c>
      <c r="V2" s="86"/>
      <c r="W2" s="86" t="s">
        <v>445</v>
      </c>
      <c r="X2" s="86"/>
      <c r="Y2" s="2"/>
      <c r="Z2" s="2"/>
    </row>
    <row r="3" spans="1:26" ht="18" customHeight="1" x14ac:dyDescent="0.25">
      <c r="A3" s="2"/>
      <c r="B3" s="83" t="str">
        <f>PerLbl&amp;"  |  "&amp;UnitLbl&amp;"  |  Actual vs Budget vs Forecast vs Prior Year"</f>
        <v>YTD Oct 2026  |  $m  |  Actual vs Budget vs Forecast vs Prior Year</v>
      </c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92" t="str">
        <f>IF(ChecksOK=1,"✔ All passed","✖ See Guide")</f>
        <v>✔ All passed</v>
      </c>
      <c r="Q3" s="92"/>
      <c r="R3" s="2"/>
      <c r="S3" s="87">
        <v>2026</v>
      </c>
      <c r="T3" s="87"/>
      <c r="U3" s="87" t="s">
        <v>63</v>
      </c>
      <c r="V3" s="87"/>
      <c r="W3" s="87" t="s">
        <v>446</v>
      </c>
      <c r="X3" s="87"/>
      <c r="Y3" s="2"/>
      <c r="Z3" s="2"/>
    </row>
    <row r="4" spans="1:26" ht="16.5" customHeight="1" x14ac:dyDescent="0.25">
      <c r="B4" s="84" t="s">
        <v>326</v>
      </c>
      <c r="C4" s="84"/>
      <c r="D4" s="85" t="s">
        <v>327</v>
      </c>
      <c r="E4" s="85"/>
      <c r="F4" s="85" t="s">
        <v>3</v>
      </c>
      <c r="G4" s="85"/>
      <c r="H4" s="85" t="s">
        <v>4</v>
      </c>
      <c r="I4" s="85"/>
      <c r="J4" s="85" t="s">
        <v>328</v>
      </c>
      <c r="K4" s="85"/>
      <c r="L4" s="85" t="s">
        <v>329</v>
      </c>
      <c r="M4" s="8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6" ht="18" customHeight="1" x14ac:dyDescent="0.25">
      <c r="B5" s="6" t="str">
        <f>"Headline KPIs: "&amp;PerLbl&amp;", "&amp;UnitLbl&amp;" unless stated"</f>
        <v>Headline KPIs: YTD Oct 2026, $m unless stated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</row>
    <row r="6" spans="1:26" x14ac:dyDescent="0.25">
      <c r="B6" s="88" t="s">
        <v>447</v>
      </c>
      <c r="C6" s="88"/>
      <c r="D6" s="88"/>
      <c r="E6" s="88"/>
      <c r="F6" s="88" t="s">
        <v>451</v>
      </c>
      <c r="G6" s="88"/>
      <c r="H6" s="88"/>
      <c r="I6" s="88"/>
      <c r="J6" s="88" t="s">
        <v>452</v>
      </c>
      <c r="K6" s="88"/>
      <c r="L6" s="88"/>
      <c r="M6" s="88"/>
      <c r="N6" s="88" t="s">
        <v>98</v>
      </c>
      <c r="O6" s="88"/>
      <c r="P6" s="88"/>
      <c r="Q6" s="88"/>
      <c r="R6" s="88" t="s">
        <v>453</v>
      </c>
      <c r="S6" s="88"/>
      <c r="T6" s="88"/>
      <c r="U6" s="88"/>
      <c r="V6" s="88" t="s">
        <v>454</v>
      </c>
      <c r="W6" s="88"/>
      <c r="X6" s="88"/>
      <c r="Y6" s="88"/>
    </row>
    <row r="7" spans="1:26" x14ac:dyDescent="0.25">
      <c r="B7" s="89">
        <f>Calc!$E$300</f>
        <v>415.57</v>
      </c>
      <c r="C7" s="89"/>
      <c r="D7" s="90"/>
      <c r="E7" s="90"/>
      <c r="F7" s="91">
        <f>Calc!$E$326</f>
        <v>0.56085857978198628</v>
      </c>
      <c r="G7" s="91"/>
      <c r="H7" s="90"/>
      <c r="I7" s="90"/>
      <c r="J7" s="91">
        <f>Calc!$E$329</f>
        <v>0.38163245662583922</v>
      </c>
      <c r="K7" s="91"/>
      <c r="L7" s="90"/>
      <c r="M7" s="90"/>
      <c r="N7" s="89">
        <f>Calc!$E$307</f>
        <v>81.81</v>
      </c>
      <c r="O7" s="89"/>
      <c r="P7" s="90"/>
      <c r="Q7" s="90"/>
      <c r="R7" s="91">
        <f>Calc!$E$331</f>
        <v>0.19686214115552134</v>
      </c>
      <c r="S7" s="91"/>
      <c r="T7" s="90"/>
      <c r="U7" s="90"/>
      <c r="V7" s="89">
        <f>Calc!$E$309</f>
        <v>44.995000000000005</v>
      </c>
      <c r="W7" s="89"/>
      <c r="X7" s="90"/>
      <c r="Y7" s="90"/>
    </row>
    <row r="8" spans="1:26" x14ac:dyDescent="0.25">
      <c r="B8" s="89"/>
      <c r="C8" s="89"/>
      <c r="D8" s="90"/>
      <c r="E8" s="90"/>
      <c r="F8" s="91"/>
      <c r="G8" s="91"/>
      <c r="H8" s="90"/>
      <c r="I8" s="90"/>
      <c r="J8" s="91"/>
      <c r="K8" s="91"/>
      <c r="L8" s="90"/>
      <c r="M8" s="90"/>
      <c r="N8" s="89"/>
      <c r="O8" s="89"/>
      <c r="P8" s="90"/>
      <c r="Q8" s="90"/>
      <c r="R8" s="91"/>
      <c r="S8" s="91"/>
      <c r="T8" s="90"/>
      <c r="U8" s="90"/>
      <c r="V8" s="89"/>
      <c r="W8" s="89"/>
      <c r="X8" s="90"/>
      <c r="Y8" s="90"/>
    </row>
    <row r="9" spans="1:26" x14ac:dyDescent="0.25">
      <c r="B9" s="7" t="s">
        <v>448</v>
      </c>
      <c r="C9" s="8" t="s">
        <v>449</v>
      </c>
      <c r="D9" s="8" t="s">
        <v>450</v>
      </c>
      <c r="E9" s="9" t="s">
        <v>144</v>
      </c>
      <c r="F9" s="7" t="s">
        <v>448</v>
      </c>
      <c r="G9" s="8" t="s">
        <v>449</v>
      </c>
      <c r="H9" s="8" t="s">
        <v>450</v>
      </c>
      <c r="I9" s="9" t="s">
        <v>144</v>
      </c>
      <c r="J9" s="7" t="s">
        <v>448</v>
      </c>
      <c r="K9" s="8" t="s">
        <v>449</v>
      </c>
      <c r="L9" s="8" t="s">
        <v>450</v>
      </c>
      <c r="M9" s="9" t="s">
        <v>144</v>
      </c>
      <c r="N9" s="7" t="s">
        <v>448</v>
      </c>
      <c r="O9" s="8" t="s">
        <v>449</v>
      </c>
      <c r="P9" s="8" t="s">
        <v>450</v>
      </c>
      <c r="Q9" s="9" t="s">
        <v>144</v>
      </c>
      <c r="R9" s="7" t="s">
        <v>448</v>
      </c>
      <c r="S9" s="8" t="s">
        <v>449</v>
      </c>
      <c r="T9" s="8" t="s">
        <v>450</v>
      </c>
      <c r="U9" s="9" t="s">
        <v>144</v>
      </c>
      <c r="V9" s="7" t="s">
        <v>448</v>
      </c>
      <c r="W9" s="8" t="s">
        <v>449</v>
      </c>
      <c r="X9" s="8" t="s">
        <v>450</v>
      </c>
      <c r="Y9" s="9" t="s">
        <v>144</v>
      </c>
    </row>
    <row r="10" spans="1:26" x14ac:dyDescent="0.25">
      <c r="B10" s="10">
        <f>Calc!$J$300</f>
        <v>-2.0460014120293572E-3</v>
      </c>
      <c r="C10" s="11">
        <f>Calc!$L$300</f>
        <v>-1.0504630931691338E-3</v>
      </c>
      <c r="D10" s="11">
        <f>Calc!$N$300</f>
        <v>8.0755647329903826E-2</v>
      </c>
      <c r="E10" s="12">
        <f>Calc!$O$300</f>
        <v>2</v>
      </c>
      <c r="F10" s="13">
        <f>Calc!$I$326</f>
        <v>-0.8976827569210255</v>
      </c>
      <c r="G10" s="14">
        <f>Calc!$K$326</f>
        <v>-0.24853062583929386</v>
      </c>
      <c r="H10" s="14">
        <f>Calc!$M$326</f>
        <v>-1.7598085445649225</v>
      </c>
      <c r="I10" s="12">
        <f>Calc!$O$326</f>
        <v>2</v>
      </c>
      <c r="J10" s="13">
        <f>Calc!$I$329</f>
        <v>-0.8623101437855718</v>
      </c>
      <c r="K10" s="14">
        <f>Calc!$K$329</f>
        <v>-0.23899276128874769</v>
      </c>
      <c r="L10" s="14">
        <f>Calc!$M$329</f>
        <v>-1.0565047782276793</v>
      </c>
      <c r="M10" s="12">
        <f>Calc!$O$329</f>
        <v>1</v>
      </c>
      <c r="N10" s="10">
        <f>Calc!$J$307</f>
        <v>-4.3873591697442905E-2</v>
      </c>
      <c r="O10" s="11">
        <f>Calc!$L$307</f>
        <v>-1.361241394277711E-2</v>
      </c>
      <c r="P10" s="11">
        <f>Calc!$N$307</f>
        <v>5.805667283144339E-2</v>
      </c>
      <c r="Q10" s="12">
        <f>Calc!$O$307</f>
        <v>1</v>
      </c>
      <c r="R10" s="13">
        <f>Calc!$I$331</f>
        <v>-0.86121133267106076</v>
      </c>
      <c r="S10" s="14">
        <f>Calc!$K$331</f>
        <v>-0.25071002274361376</v>
      </c>
      <c r="T10" s="14">
        <f>Calc!$M$331</f>
        <v>-0.42233736968391999</v>
      </c>
      <c r="U10" s="12">
        <f>Calc!$O$331</f>
        <v>1</v>
      </c>
      <c r="V10" s="10">
        <f>Calc!$J$309</f>
        <v>-5.9016667712320073E-2</v>
      </c>
      <c r="W10" s="11">
        <f>Calc!$L$309</f>
        <v>-1.8519326411307841E-2</v>
      </c>
      <c r="X10" s="11">
        <f>Calc!$N$309</f>
        <v>7.5072276778248473E-2</v>
      </c>
      <c r="Y10" s="12">
        <f>Calc!$O$309</f>
        <v>1</v>
      </c>
    </row>
    <row r="11" spans="1:26" ht="6" customHeight="1" x14ac:dyDescent="0.25"/>
    <row r="12" spans="1:26" x14ac:dyDescent="0.25">
      <c r="B12" s="88" t="s">
        <v>455</v>
      </c>
      <c r="C12" s="88"/>
      <c r="D12" s="88"/>
      <c r="E12" s="88"/>
      <c r="F12" s="88" t="s">
        <v>456</v>
      </c>
      <c r="G12" s="88"/>
      <c r="H12" s="88"/>
      <c r="I12" s="88"/>
      <c r="J12" s="88" t="s">
        <v>457</v>
      </c>
      <c r="K12" s="88"/>
      <c r="L12" s="88"/>
      <c r="M12" s="88"/>
      <c r="N12" s="88" t="s">
        <v>458</v>
      </c>
      <c r="O12" s="88"/>
      <c r="P12" s="88"/>
      <c r="Q12" s="88"/>
      <c r="R12" s="88" t="s">
        <v>459</v>
      </c>
      <c r="S12" s="88"/>
      <c r="T12" s="88"/>
      <c r="U12" s="88"/>
      <c r="V12" s="88" t="s">
        <v>460</v>
      </c>
      <c r="W12" s="88"/>
      <c r="X12" s="88"/>
      <c r="Y12" s="88"/>
    </row>
    <row r="13" spans="1:26" x14ac:dyDescent="0.25">
      <c r="B13" s="93">
        <f>Calc!$E$310</f>
        <v>43.160000000000004</v>
      </c>
      <c r="C13" s="93"/>
      <c r="D13" s="90"/>
      <c r="E13" s="90"/>
      <c r="F13" s="91">
        <f>Calc!$E$334</f>
        <v>0.52756386749786088</v>
      </c>
      <c r="G13" s="91"/>
      <c r="H13" s="90"/>
      <c r="I13" s="90"/>
      <c r="J13" s="91">
        <f>Calc!$E$335</f>
        <v>0.19178165235212216</v>
      </c>
      <c r="K13" s="91"/>
      <c r="L13" s="90"/>
      <c r="M13" s="90"/>
      <c r="N13" s="94">
        <f>Calc!$E$336</f>
        <v>84.065344776513513</v>
      </c>
      <c r="O13" s="94"/>
      <c r="P13" s="90"/>
      <c r="Q13" s="90"/>
      <c r="R13" s="93">
        <f>Calc!$E$319</f>
        <v>125.675</v>
      </c>
      <c r="S13" s="93"/>
      <c r="T13" s="90"/>
      <c r="U13" s="90"/>
      <c r="V13" s="95">
        <f>Calc!$E$338</f>
        <v>1.2030229931269503</v>
      </c>
      <c r="W13" s="95"/>
      <c r="X13" s="90"/>
      <c r="Y13" s="90"/>
    </row>
    <row r="14" spans="1:26" x14ac:dyDescent="0.25">
      <c r="B14" s="93"/>
      <c r="C14" s="93"/>
      <c r="D14" s="90"/>
      <c r="E14" s="90"/>
      <c r="F14" s="91"/>
      <c r="G14" s="91"/>
      <c r="H14" s="90"/>
      <c r="I14" s="90"/>
      <c r="J14" s="91"/>
      <c r="K14" s="91"/>
      <c r="L14" s="90"/>
      <c r="M14" s="90"/>
      <c r="N14" s="94"/>
      <c r="O14" s="94"/>
      <c r="P14" s="90"/>
      <c r="Q14" s="90"/>
      <c r="R14" s="93"/>
      <c r="S14" s="93"/>
      <c r="T14" s="90"/>
      <c r="U14" s="90"/>
      <c r="V14" s="95"/>
      <c r="W14" s="95"/>
      <c r="X14" s="90"/>
      <c r="Y14" s="90"/>
    </row>
    <row r="15" spans="1:26" x14ac:dyDescent="0.25">
      <c r="B15" s="7" t="s">
        <v>448</v>
      </c>
      <c r="C15" s="8" t="s">
        <v>449</v>
      </c>
      <c r="D15" s="8" t="s">
        <v>450</v>
      </c>
      <c r="E15" s="9" t="s">
        <v>144</v>
      </c>
      <c r="F15" s="7" t="s">
        <v>448</v>
      </c>
      <c r="G15" s="8" t="s">
        <v>449</v>
      </c>
      <c r="H15" s="8" t="s">
        <v>450</v>
      </c>
      <c r="I15" s="9" t="s">
        <v>144</v>
      </c>
      <c r="J15" s="7" t="s">
        <v>448</v>
      </c>
      <c r="K15" s="8" t="s">
        <v>449</v>
      </c>
      <c r="L15" s="8" t="s">
        <v>450</v>
      </c>
      <c r="M15" s="9" t="s">
        <v>144</v>
      </c>
      <c r="N15" s="7" t="s">
        <v>448</v>
      </c>
      <c r="O15" s="8" t="s">
        <v>449</v>
      </c>
      <c r="P15" s="8" t="s">
        <v>450</v>
      </c>
      <c r="Q15" s="9" t="s">
        <v>144</v>
      </c>
      <c r="R15" s="7" t="s">
        <v>448</v>
      </c>
      <c r="S15" s="8" t="s">
        <v>449</v>
      </c>
      <c r="T15" s="8" t="s">
        <v>450</v>
      </c>
      <c r="U15" s="9" t="s">
        <v>144</v>
      </c>
      <c r="V15" s="7" t="s">
        <v>448</v>
      </c>
      <c r="W15" s="8" t="s">
        <v>449</v>
      </c>
      <c r="X15" s="8" t="s">
        <v>450</v>
      </c>
      <c r="Y15" s="9" t="s">
        <v>144</v>
      </c>
    </row>
    <row r="16" spans="1:26" x14ac:dyDescent="0.25">
      <c r="B16" s="10">
        <f>Calc!$J$310</f>
        <v>-0.23178242141611219</v>
      </c>
      <c r="C16" s="11">
        <f>Calc!$L$310</f>
        <v>-7.9881467584795293E-2</v>
      </c>
      <c r="D16" s="11">
        <f>Calc!$N$310</f>
        <v>1.0829110564161983</v>
      </c>
      <c r="E16" s="12">
        <f>Calc!$O$310</f>
        <v>1</v>
      </c>
      <c r="F16" s="13">
        <f>Calc!$I$334</f>
        <v>-12.904405172050215</v>
      </c>
      <c r="G16" s="14">
        <f>Calc!$K$334</f>
        <v>-3.7996363515293341</v>
      </c>
      <c r="H16" s="14">
        <f>Calc!$M$334</f>
        <v>25.957716272166831</v>
      </c>
      <c r="I16" s="12">
        <f>Calc!$O$334</f>
        <v>1</v>
      </c>
      <c r="J16" s="13">
        <f>Calc!$I$335</f>
        <v>1.936550304127918</v>
      </c>
      <c r="K16" s="14">
        <f>Calc!$K$335</f>
        <v>0.56658465276382131</v>
      </c>
      <c r="L16" s="14">
        <f>Calc!$M$335</f>
        <v>2.1970528008981418</v>
      </c>
      <c r="M16" s="12">
        <f>Calc!$O$335</f>
        <v>1</v>
      </c>
      <c r="N16" s="15">
        <f>Calc!$I$336</f>
        <v>11.390250947587248</v>
      </c>
      <c r="O16" s="16">
        <f>Calc!$K$336</f>
        <v>3.2921442408919148</v>
      </c>
      <c r="P16" s="16">
        <f>Calc!$M$336</f>
        <v>11.19545798416469</v>
      </c>
      <c r="Q16" s="12">
        <f>Calc!$O$336</f>
        <v>1</v>
      </c>
      <c r="R16" s="10">
        <f>Calc!$J$319</f>
        <v>0.11527709988019696</v>
      </c>
      <c r="S16" s="11">
        <f>Calc!$L$319</f>
        <v>3.059601128386796E-2</v>
      </c>
      <c r="T16" s="11">
        <f>Calc!$N$319</f>
        <v>-0.16922822673938198</v>
      </c>
      <c r="U16" s="12">
        <f>Calc!$O$319</f>
        <v>1</v>
      </c>
      <c r="V16" s="17">
        <f>Calc!$I$338</f>
        <v>0.16176444572351278</v>
      </c>
      <c r="W16" s="18">
        <f>Calc!$K$338</f>
        <v>4.8195586526258882E-2</v>
      </c>
      <c r="X16" s="18">
        <f>Calc!$M$338</f>
        <v>-0.31007501941593518</v>
      </c>
      <c r="Y16" s="12">
        <f>Calc!$O$338</f>
        <v>1</v>
      </c>
    </row>
    <row r="17" spans="2:25" ht="6" customHeight="1" x14ac:dyDescent="0.25"/>
    <row r="18" spans="2:25" ht="18" customHeight="1" x14ac:dyDescent="0.25">
      <c r="B18" s="6" t="str">
        <f>"Executive summary: generated from the numbers, "&amp;PerLbl</f>
        <v>Executive summary: generated from the numbers, YTD Oct 2026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</row>
    <row r="19" spans="2:25" x14ac:dyDescent="0.25">
      <c r="B19" s="96" t="s">
        <v>461</v>
      </c>
      <c r="C19" s="96"/>
      <c r="D19" s="97" t="str">
        <f>"Net revenue "&amp;UnitLbl&amp;" "&amp;FIXED(Calc!$E$300,1)&amp;" is "&amp;IF(Calc!$J$300*100&gt;=0,"+","-")&amp;FIXED(ABS(Calc!$J$300*100),1)&amp;"% vs budget, "&amp;IF(Calc!$L$300*100&gt;=0,"+","-")&amp;FIXED(ABS(Calc!$L$300*100),1)&amp;"% vs forecast and "&amp;IF(Calc!$N$300*100&gt;=0,"+","-")&amp;FIXED(ABS(Calc!$N$300*100),1)&amp;"% vs prior year. Trade and returns rate "&amp;FIXED(Calc!$E$325*100,1)&amp;"% of gross sales ("&amp;IF(Calc!$I$325&gt;=0,"+","-")&amp;FIXED(ABS(Calc!$I$325),1)&amp;"pp vs budget)."</f>
        <v>Net revenue $m 415.6 is -0.2% vs budget, -0.1% vs forecast and +8.1% vs prior year. Trade and returns rate 17.6% of gross sales (+0.2pp vs budget).</v>
      </c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  <c r="P19" s="97"/>
      <c r="Q19" s="97"/>
      <c r="R19" s="97"/>
      <c r="S19" s="97"/>
      <c r="T19" s="97"/>
      <c r="U19" s="97"/>
      <c r="V19" s="97"/>
      <c r="W19" s="97"/>
      <c r="X19" s="97"/>
      <c r="Y19" s="97"/>
    </row>
    <row r="20" spans="2:25" x14ac:dyDescent="0.25">
      <c r="B20" s="96" t="s">
        <v>462</v>
      </c>
      <c r="C20" s="96"/>
      <c r="D20" s="97" t="str">
        <f>"EBITDA "&amp;UnitLbl&amp;" "&amp;FIXED(Calc!$E$307,1)&amp;" ("&amp;FIXED(Calc!$E$331*100,1)&amp;"% margin) is "&amp;IF(Calc!$I$307&gt;=0,"+","-")&amp;FIXED(ABS(Calc!$I$307),1)&amp;" vs budget. Biggest tailwind: "&amp;INDEX(Calc!$A$496:$A$501,MATCH(MAX(Calc!$B$496:$B$501),Calc!$B$496:$B$501,0))&amp;" ("&amp;IF(MAX(Calc!$B$496:$B$501)&gt;=0,"+","-")&amp;FIXED(ABS(MAX(Calc!$B$496:$B$501)),1)&amp;"). Biggest headwind: "&amp;INDEX(Calc!$A$496:$A$501,MATCH(MIN(Calc!$B$496:$B$501),Calc!$B$496:$B$501,0))&amp;" ("&amp;IF(MIN(Calc!$B$496:$B$501)&gt;=0,"+","-")&amp;FIXED(ABS(MIN(Calc!$B$496:$B$501)),1)&amp;")."</f>
        <v>EBITDA $m 81.8 (19.7% margin) is -3.8 vs budget. Biggest tailwind: Price, mix, trade (+2.1). Biggest headwind: COGS rate (-4.6).</v>
      </c>
      <c r="E20" s="97"/>
      <c r="F20" s="97"/>
      <c r="G20" s="97"/>
      <c r="H20" s="97"/>
      <c r="I20" s="97"/>
      <c r="J20" s="97"/>
      <c r="K20" s="97"/>
      <c r="L20" s="97"/>
      <c r="M20" s="97"/>
      <c r="N20" s="97"/>
      <c r="O20" s="97"/>
      <c r="P20" s="97"/>
      <c r="Q20" s="97"/>
      <c r="R20" s="97"/>
      <c r="S20" s="97"/>
      <c r="T20" s="97"/>
      <c r="U20" s="97"/>
      <c r="V20" s="97"/>
      <c r="W20" s="97"/>
      <c r="X20" s="97"/>
      <c r="Y20" s="97"/>
    </row>
    <row r="21" spans="2:25" x14ac:dyDescent="0.25">
      <c r="B21" s="96" t="s">
        <v>463</v>
      </c>
      <c r="C21" s="96"/>
      <c r="D21" s="97" t="str">
        <f>"Net revenue vs budget, "&amp;UnitLbl&amp;". Best channel: "&amp;INDEX(Channel!$B$14:$B$19,MATCH(MAX(Channel!$G$14:$G$19),Channel!$G$14:$G$19,0))&amp;" ("&amp;IF(MAX(Channel!$G$14:$G$19)&gt;=0,"+","-")&amp;FIXED(ABS(MAX(Channel!$G$14:$G$19)),1)&amp;"). Weakest: "&amp;INDEX(Channel!$B$14:$B$19,MATCH(MIN(Channel!$G$14:$G$19),Channel!$G$14:$G$19,0))&amp;" ("&amp;IF(MIN(Channel!$G$14:$G$19)&gt;=0,"+","-")&amp;FIXED(ABS(MIN(Channel!$G$14:$G$19)),1)&amp;")."</f>
        <v>Net revenue vs budget, $m. Best channel: Marketplaces (+5.9). Weakest: Hypermarkets (-5.9).</v>
      </c>
      <c r="E21" s="97"/>
      <c r="F21" s="97"/>
      <c r="G21" s="97"/>
      <c r="H21" s="97"/>
      <c r="I21" s="97"/>
      <c r="J21" s="97"/>
      <c r="K21" s="97"/>
      <c r="L21" s="97"/>
      <c r="M21" s="97"/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7"/>
    </row>
    <row r="22" spans="2:25" x14ac:dyDescent="0.25">
      <c r="B22" s="96" t="s">
        <v>464</v>
      </c>
      <c r="C22" s="96"/>
      <c r="D22" s="97" t="str">
        <f>"Net revenue vs budget, "&amp;UnitLbl&amp;". Best brand: "&amp;INDEX(Brand!$B$14:$B$19,MATCH(MAX(Brand!$G$14:$G$19),Brand!$G$14:$G$19,0))&amp;" ("&amp;IF(MAX(Brand!$G$14:$G$19)&gt;=0,"+","-")&amp;FIXED(ABS(MAX(Brand!$G$14:$G$19)),1)&amp;"). Weakest: "&amp;INDEX(Brand!$B$14:$B$19,MATCH(MIN(Brand!$G$14:$G$19),Brand!$G$14:$G$19,0))&amp;" ("&amp;IF(MIN(Brand!$G$14:$G$19)&gt;=0,"+","-")&amp;FIXED(ABS(MIN(Brand!$G$14:$G$19)),1)&amp;")."</f>
        <v>Net revenue vs budget, $m. Best brand: Aurelia (+4.5). Weakest: Everwood (-3.1).</v>
      </c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  <c r="T22" s="97"/>
      <c r="U22" s="97"/>
      <c r="V22" s="97"/>
      <c r="W22" s="97"/>
      <c r="X22" s="97"/>
      <c r="Y22" s="97"/>
    </row>
    <row r="23" spans="2:25" x14ac:dyDescent="0.25">
      <c r="B23" s="96" t="s">
        <v>27</v>
      </c>
      <c r="C23" s="96"/>
      <c r="D23" s="97" t="str">
        <f>"Free cash flow "&amp;UnitLbl&amp;" "&amp;FIXED(Calc!$E$310,1)&amp;" ("&amp;IF(Calc!$I$310&gt;=0,"+","-")&amp;FIXED(ABS(Calc!$I$310),1)&amp;" vs budget), cash conversion "&amp;FIXED(Calc!$E$334*100,0)&amp;"%. Cash cycle "&amp;FIXED(Calc!$E$336,1)&amp;" days ("&amp;IF(Calc!$I$336&gt;=0,"+","-")&amp;FIXED(ABS(Calc!$I$336),1)&amp;" vs budget). Leverage "&amp;FIXED(Calc!$E$338,2)&amp;"x."</f>
        <v>Free cash flow $m 43.2 (-13.0 vs budget), cash conversion 53%. Cash cycle 84.1 days (+11.4 vs budget). Leverage 1.20x.</v>
      </c>
      <c r="E23" s="97"/>
      <c r="F23" s="97"/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  <c r="T23" s="97"/>
      <c r="U23" s="97"/>
      <c r="V23" s="97"/>
      <c r="W23" s="97"/>
      <c r="X23" s="97"/>
      <c r="Y23" s="97"/>
    </row>
    <row r="24" spans="2:25" x14ac:dyDescent="0.25">
      <c r="B24" s="96" t="s">
        <v>465</v>
      </c>
      <c r="C24" s="96"/>
      <c r="D24" s="97" t="str">
        <f>"Full-year latest estimate: net revenue "&amp;UnitLbl&amp;" "&amp;FIXED(SUM(Calc!$D$144:$O$144),1)&amp;" ("&amp;IF(SUM(Calc!$D$144:$O$144)-SUM(Calc!$D$156:$O$156)&gt;=0,"+","-")&amp;FIXED(ABS(SUM(Calc!$D$144:$O$144)-SUM(Calc!$D$156:$O$156)),1)&amp;" vs budget), EBITDA "&amp;UnitLbl&amp;" "&amp;FIXED(SUM(Calc!$D$151:$O$151),1)&amp;" ("&amp;IF(SUM(Calc!$D$151:$O$151)-SUM(Calc!$D$163:$O$163)&gt;=0,"+","-")&amp;FIXED(ABS(SUM(Calc!$D$151:$O$151)-SUM(Calc!$D$163:$O$163)),1)&amp;" vs budget)."</f>
        <v>Full-year latest estimate: net revenue $m 519.5 (-1.0 vs budget), EBITDA $m 106.0 (-4.6 vs budget).</v>
      </c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  <c r="T24" s="97"/>
      <c r="U24" s="97"/>
      <c r="V24" s="97"/>
      <c r="W24" s="97"/>
      <c r="X24" s="97"/>
      <c r="Y24" s="97"/>
    </row>
    <row r="25" spans="2:25" ht="6" customHeight="1" x14ac:dyDescent="0.25"/>
    <row r="26" spans="2:25" ht="18" customHeight="1" x14ac:dyDescent="0.25">
      <c r="B26" s="6" t="s">
        <v>466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</row>
    <row r="42" spans="2:25" ht="18" customHeight="1" x14ac:dyDescent="0.25">
      <c r="B42" s="6" t="s">
        <v>467</v>
      </c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</row>
    <row r="58" spans="2:25" ht="18" customHeight="1" x14ac:dyDescent="0.25">
      <c r="B58" s="6" t="s">
        <v>468</v>
      </c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74" spans="2:25" ht="18" customHeight="1" x14ac:dyDescent="0.25">
      <c r="B74" s="6" t="s">
        <v>469</v>
      </c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90" spans="2:25" ht="18" customHeight="1" x14ac:dyDescent="0.25">
      <c r="B90" s="6" t="s">
        <v>470</v>
      </c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106" spans="2:25" ht="18" customHeight="1" x14ac:dyDescent="0.25">
      <c r="B106" s="6" t="str">
        <f>"KPI scorecard: "&amp;PerLbl</f>
        <v>KPI scorecard: YTD Oct 2026</v>
      </c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2:25" ht="22.5" customHeight="1" x14ac:dyDescent="0.25">
      <c r="B107" s="98" t="s">
        <v>136</v>
      </c>
      <c r="C107" s="98"/>
      <c r="D107" s="98"/>
      <c r="E107" s="98"/>
      <c r="F107" s="20" t="str">
        <f>AcLbl</f>
        <v>Actual</v>
      </c>
      <c r="G107" s="20" t="s">
        <v>50</v>
      </c>
      <c r="H107" s="20" t="s">
        <v>333</v>
      </c>
      <c r="I107" s="20" t="s">
        <v>334</v>
      </c>
      <c r="J107" s="20" t="s">
        <v>51</v>
      </c>
      <c r="K107" s="20" t="s">
        <v>389</v>
      </c>
      <c r="L107" s="20" t="s">
        <v>335</v>
      </c>
      <c r="M107" s="20" t="s">
        <v>471</v>
      </c>
      <c r="N107" s="20" t="s">
        <v>472</v>
      </c>
      <c r="O107" s="20" t="s">
        <v>336</v>
      </c>
      <c r="P107" s="20" t="s">
        <v>144</v>
      </c>
      <c r="Q107" s="99" t="s">
        <v>473</v>
      </c>
      <c r="R107" s="99"/>
      <c r="S107" s="99"/>
      <c r="T107" s="98" t="s">
        <v>474</v>
      </c>
      <c r="U107" s="98"/>
      <c r="V107" s="98"/>
      <c r="W107" s="98"/>
      <c r="X107" s="98"/>
      <c r="Y107" s="98"/>
    </row>
    <row r="108" spans="2:25" x14ac:dyDescent="0.25">
      <c r="B108" s="21" t="s">
        <v>475</v>
      </c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</row>
    <row r="109" spans="2:25" x14ac:dyDescent="0.25">
      <c r="B109" s="100" t="str">
        <f>Calc!$B$300</f>
        <v>Net revenue</v>
      </c>
      <c r="C109" s="100"/>
      <c r="D109" s="100"/>
      <c r="E109" s="100"/>
      <c r="F109" s="23">
        <f>Calc!$E$300</f>
        <v>415.57</v>
      </c>
      <c r="G109" s="23">
        <f>Calc!$F$300</f>
        <v>416.42200000000008</v>
      </c>
      <c r="H109" s="24">
        <f>Calc!$I$300</f>
        <v>-0.85200000000008913</v>
      </c>
      <c r="I109" s="25">
        <f>Calc!$J$300</f>
        <v>-2.0460014120293572E-3</v>
      </c>
      <c r="J109" s="23">
        <f>Calc!$G$300</f>
        <v>416.00700000000001</v>
      </c>
      <c r="K109" s="24">
        <f>Calc!$K$300</f>
        <v>-0.43700000000001182</v>
      </c>
      <c r="L109" s="25">
        <f>Calc!$L$300</f>
        <v>-1.0504630931691338E-3</v>
      </c>
      <c r="M109" s="23">
        <f>Calc!$H$300</f>
        <v>384.51800000000003</v>
      </c>
      <c r="N109" s="24">
        <f>Calc!$M$300</f>
        <v>31.051999999999964</v>
      </c>
      <c r="O109" s="25">
        <f>Calc!$N$300</f>
        <v>8.0755647329903826E-2</v>
      </c>
      <c r="P109" s="26">
        <f>Calc!$O$300</f>
        <v>2</v>
      </c>
      <c r="Q109" s="100"/>
      <c r="R109" s="100"/>
      <c r="S109" s="100"/>
      <c r="T109" s="101" t="s">
        <v>476</v>
      </c>
      <c r="U109" s="101"/>
      <c r="V109" s="101"/>
      <c r="W109" s="101"/>
      <c r="X109" s="101"/>
      <c r="Y109" s="101"/>
    </row>
    <row r="110" spans="2:25" x14ac:dyDescent="0.25">
      <c r="B110" s="100" t="str">
        <f>Calc!$B$313</f>
        <v>Volume (k units)</v>
      </c>
      <c r="C110" s="100"/>
      <c r="D110" s="100"/>
      <c r="E110" s="100"/>
      <c r="F110" s="27">
        <f>Calc!$E$313</f>
        <v>52604.6</v>
      </c>
      <c r="G110" s="27">
        <f>Calc!$F$313</f>
        <v>52974.3</v>
      </c>
      <c r="H110" s="28">
        <f>Calc!$I$313</f>
        <v>-369.70000000000437</v>
      </c>
      <c r="I110" s="25">
        <f>Calc!$J$313</f>
        <v>-6.9788557847862897E-3</v>
      </c>
      <c r="J110" s="27">
        <f>Calc!$G$313</f>
        <v>52742.3</v>
      </c>
      <c r="K110" s="28">
        <f>Calc!$K$313</f>
        <v>-137.70000000000437</v>
      </c>
      <c r="L110" s="25">
        <f>Calc!$L$313</f>
        <v>-2.6108076439594853E-3</v>
      </c>
      <c r="M110" s="27">
        <f>Calc!$H$313</f>
        <v>49700.499999999993</v>
      </c>
      <c r="N110" s="28">
        <f>Calc!$M$313</f>
        <v>2904.1000000000058</v>
      </c>
      <c r="O110" s="25">
        <f>Calc!$N$313</f>
        <v>5.8432007726280544E-2</v>
      </c>
      <c r="P110" s="26">
        <f>Calc!$O$313</f>
        <v>2</v>
      </c>
      <c r="Q110" s="100"/>
      <c r="R110" s="100"/>
      <c r="S110" s="100"/>
      <c r="T110" s="101" t="s">
        <v>477</v>
      </c>
      <c r="U110" s="101"/>
      <c r="V110" s="101"/>
      <c r="W110" s="101"/>
      <c r="X110" s="101"/>
      <c r="Y110" s="101"/>
    </row>
    <row r="111" spans="2:25" x14ac:dyDescent="0.25">
      <c r="B111" s="100" t="str">
        <f>Calc!$B$324</f>
        <v>Net revenue per unit</v>
      </c>
      <c r="C111" s="100"/>
      <c r="D111" s="100"/>
      <c r="E111" s="100"/>
      <c r="F111" s="29">
        <f>Calc!$E$324</f>
        <v>7.8998794782205364</v>
      </c>
      <c r="G111" s="29">
        <f>Calc!$F$324</f>
        <v>7.8608306291918915</v>
      </c>
      <c r="H111" s="30">
        <f>Calc!$I$324</f>
        <v>3.9048849028644916E-2</v>
      </c>
      <c r="I111" s="25">
        <f>Calc!$J$324</f>
        <v>4.9675219923494543E-3</v>
      </c>
      <c r="J111" s="29">
        <f>Calc!$G$324</f>
        <v>7.8875399821395726</v>
      </c>
      <c r="K111" s="30">
        <f>Calc!$K$324</f>
        <v>1.2339496080963741E-2</v>
      </c>
      <c r="L111" s="25">
        <f>Calc!$L$324</f>
        <v>1.564428973913934E-3</v>
      </c>
      <c r="M111" s="29">
        <f>Calc!$H$324</f>
        <v>7.7367028500719321</v>
      </c>
      <c r="N111" s="30">
        <f>Calc!$M$324</f>
        <v>0.16317662814860423</v>
      </c>
      <c r="O111" s="25">
        <f>Calc!$N$324</f>
        <v>2.1091236320015458E-2</v>
      </c>
      <c r="P111" s="26">
        <f>Calc!$O$324</f>
        <v>3</v>
      </c>
      <c r="Q111" s="100"/>
      <c r="R111" s="100"/>
      <c r="S111" s="100"/>
      <c r="T111" s="101" t="s">
        <v>478</v>
      </c>
      <c r="U111" s="101"/>
      <c r="V111" s="101"/>
      <c r="W111" s="101"/>
      <c r="X111" s="101"/>
      <c r="Y111" s="101"/>
    </row>
    <row r="112" spans="2:25" x14ac:dyDescent="0.25">
      <c r="B112" s="100" t="str">
        <f>Calc!$B$325</f>
        <v>Trade and returns rate</v>
      </c>
      <c r="C112" s="100"/>
      <c r="D112" s="100"/>
      <c r="E112" s="100"/>
      <c r="F112" s="31">
        <f>Calc!$E$325</f>
        <v>0.17580140060411223</v>
      </c>
      <c r="G112" s="31">
        <f>Calc!$F$325</f>
        <v>0.17376751236604693</v>
      </c>
      <c r="H112" s="32">
        <f>Calc!$I$325</f>
        <v>0.20338882380653012</v>
      </c>
      <c r="I112" s="25">
        <f>Calc!$J$325</f>
        <v>1.1704651867150227E-2</v>
      </c>
      <c r="J112" s="31">
        <f>Calc!$G$325</f>
        <v>0.17525856993035416</v>
      </c>
      <c r="K112" s="32">
        <f>Calc!$K$325</f>
        <v>5.4283067375807126E-2</v>
      </c>
      <c r="L112" s="25">
        <f>Calc!$L$325</f>
        <v>3.0973131526394757E-3</v>
      </c>
      <c r="M112" s="31">
        <f>Calc!$H$325</f>
        <v>0.17021189357629485</v>
      </c>
      <c r="N112" s="32">
        <f>Calc!$M$325</f>
        <v>0.55895070278173808</v>
      </c>
      <c r="O112" s="25">
        <f>Calc!$N$325</f>
        <v>3.2838522093710042E-2</v>
      </c>
      <c r="P112" s="26">
        <f>Calc!$O$325</f>
        <v>2</v>
      </c>
      <c r="Q112" s="100"/>
      <c r="R112" s="100"/>
      <c r="S112" s="100"/>
      <c r="T112" s="101" t="s">
        <v>479</v>
      </c>
      <c r="U112" s="101"/>
      <c r="V112" s="101"/>
      <c r="W112" s="101"/>
      <c r="X112" s="101"/>
      <c r="Y112" s="101"/>
    </row>
    <row r="113" spans="2:25" x14ac:dyDescent="0.25">
      <c r="B113" s="21" t="s">
        <v>480</v>
      </c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</row>
    <row r="114" spans="2:25" x14ac:dyDescent="0.25">
      <c r="B114" s="100" t="str">
        <f>Calc!$B$326</f>
        <v>Gross margin</v>
      </c>
      <c r="C114" s="100"/>
      <c r="D114" s="100"/>
      <c r="E114" s="100"/>
      <c r="F114" s="31">
        <f>Calc!$E$326</f>
        <v>0.56085857978198628</v>
      </c>
      <c r="G114" s="31">
        <f>Calc!$F$326</f>
        <v>0.56983540735119653</v>
      </c>
      <c r="H114" s="32">
        <f>Calc!$I$326</f>
        <v>-0.8976827569210255</v>
      </c>
      <c r="I114" s="25">
        <f>Calc!$J$326</f>
        <v>-1.5753369224523681E-2</v>
      </c>
      <c r="J114" s="31">
        <f>Calc!$G$326</f>
        <v>0.56334388604037922</v>
      </c>
      <c r="K114" s="32">
        <f>Calc!$K$326</f>
        <v>-0.24853062583929386</v>
      </c>
      <c r="L114" s="25">
        <f>Calc!$L$326</f>
        <v>-4.4117036147522824E-3</v>
      </c>
      <c r="M114" s="31">
        <f>Calc!$H$326</f>
        <v>0.5784566652276355</v>
      </c>
      <c r="N114" s="32">
        <f>Calc!$M$326</f>
        <v>-1.7598085445649225</v>
      </c>
      <c r="O114" s="25">
        <f>Calc!$N$326</f>
        <v>-3.0422478473342493E-2</v>
      </c>
      <c r="P114" s="26">
        <f>Calc!$O$326</f>
        <v>2</v>
      </c>
      <c r="Q114" s="100"/>
      <c r="R114" s="100"/>
      <c r="S114" s="100"/>
      <c r="T114" s="101" t="s">
        <v>481</v>
      </c>
      <c r="U114" s="101"/>
      <c r="V114" s="101"/>
      <c r="W114" s="101"/>
      <c r="X114" s="101"/>
      <c r="Y114" s="101"/>
    </row>
    <row r="115" spans="2:25" x14ac:dyDescent="0.25">
      <c r="B115" s="100" t="str">
        <f>Calc!$B$327</f>
        <v>A&amp;P as % of net revenue</v>
      </c>
      <c r="C115" s="100"/>
      <c r="D115" s="100"/>
      <c r="E115" s="100"/>
      <c r="F115" s="31">
        <f>Calc!$E$327</f>
        <v>8.5807445195755241E-2</v>
      </c>
      <c r="G115" s="31">
        <f>Calc!$F$327</f>
        <v>8.9056293855752061E-2</v>
      </c>
      <c r="H115" s="32">
        <f>Calc!$I$327</f>
        <v>-0.32488486599968197</v>
      </c>
      <c r="I115" s="25">
        <f>Calc!$J$327</f>
        <v>-3.6480842839239483E-2</v>
      </c>
      <c r="J115" s="31">
        <f>Calc!$G$327</f>
        <v>8.670046417488167E-2</v>
      </c>
      <c r="K115" s="32">
        <f>Calc!$K$327</f>
        <v>-8.9301897912642814E-2</v>
      </c>
      <c r="L115" s="25">
        <f>Calc!$L$327</f>
        <v>-1.0300048421022735E-2</v>
      </c>
      <c r="M115" s="31">
        <f>Calc!$H$327</f>
        <v>9.6445419980338995E-2</v>
      </c>
      <c r="N115" s="32">
        <f>Calc!$M$327</f>
        <v>-1.0637974784583752</v>
      </c>
      <c r="O115" s="25">
        <f>Calc!$N$327</f>
        <v>-0.1103004661782008</v>
      </c>
      <c r="P115" s="26"/>
      <c r="Q115" s="100"/>
      <c r="R115" s="100"/>
      <c r="S115" s="100"/>
      <c r="T115" s="101" t="s">
        <v>482</v>
      </c>
      <c r="U115" s="101"/>
      <c r="V115" s="101"/>
      <c r="W115" s="101"/>
      <c r="X115" s="101"/>
      <c r="Y115" s="101"/>
    </row>
    <row r="116" spans="2:25" x14ac:dyDescent="0.25">
      <c r="B116" s="100" t="str">
        <f>Calc!$B$328</f>
        <v>Cost to serve %</v>
      </c>
      <c r="C116" s="100"/>
      <c r="D116" s="100"/>
      <c r="E116" s="100"/>
      <c r="F116" s="31">
        <f>Calc!$E$328</f>
        <v>9.3418677960391758E-2</v>
      </c>
      <c r="G116" s="31">
        <f>Calc!$F$328</f>
        <v>9.0523555431749517E-2</v>
      </c>
      <c r="H116" s="32">
        <f>Calc!$I$328</f>
        <v>0.28951225286422411</v>
      </c>
      <c r="I116" s="25">
        <f>Calc!$J$328</f>
        <v>3.1981979881744997E-2</v>
      </c>
      <c r="J116" s="31">
        <f>Calc!$G$328</f>
        <v>9.2621037626770722E-2</v>
      </c>
      <c r="K116" s="32">
        <f>Calc!$K$328</f>
        <v>7.9764033362103581E-2</v>
      </c>
      <c r="L116" s="25">
        <f>Calc!$L$328</f>
        <v>8.6118699817987129E-3</v>
      </c>
      <c r="M116" s="31">
        <f>Calc!$H$328</f>
        <v>8.9813740839180464E-2</v>
      </c>
      <c r="N116" s="32">
        <f>Calc!$M$328</f>
        <v>0.36049371212112935</v>
      </c>
      <c r="O116" s="25">
        <f>Calc!$N$328</f>
        <v>4.0137924192092785E-2</v>
      </c>
      <c r="P116" s="26">
        <f>Calc!$O$328</f>
        <v>1</v>
      </c>
      <c r="Q116" s="100"/>
      <c r="R116" s="100"/>
      <c r="S116" s="100"/>
      <c r="T116" s="101" t="s">
        <v>483</v>
      </c>
      <c r="U116" s="101"/>
      <c r="V116" s="101"/>
      <c r="W116" s="101"/>
      <c r="X116" s="101"/>
      <c r="Y116" s="101"/>
    </row>
    <row r="117" spans="2:25" x14ac:dyDescent="0.25">
      <c r="B117" s="100" t="str">
        <f>Calc!$B$329</f>
        <v>Contribution margin %</v>
      </c>
      <c r="C117" s="100"/>
      <c r="D117" s="100"/>
      <c r="E117" s="100"/>
      <c r="F117" s="31">
        <f>Calc!$E$329</f>
        <v>0.38163245662583922</v>
      </c>
      <c r="G117" s="31">
        <f>Calc!$F$329</f>
        <v>0.39025555806369494</v>
      </c>
      <c r="H117" s="32">
        <f>Calc!$I$329</f>
        <v>-0.8623101437855718</v>
      </c>
      <c r="I117" s="25">
        <f>Calc!$J$329</f>
        <v>-2.2096037480261364E-2</v>
      </c>
      <c r="J117" s="31">
        <f>Calc!$G$329</f>
        <v>0.3840223842387267</v>
      </c>
      <c r="K117" s="32">
        <f>Calc!$K$329</f>
        <v>-0.23899276128874769</v>
      </c>
      <c r="L117" s="25">
        <f>Calc!$L$329</f>
        <v>-6.2234070485896039E-3</v>
      </c>
      <c r="M117" s="31">
        <f>Calc!$H$329</f>
        <v>0.39219750440811602</v>
      </c>
      <c r="N117" s="32">
        <f>Calc!$M$329</f>
        <v>-1.0565047782276793</v>
      </c>
      <c r="O117" s="25">
        <f>Calc!$N$329</f>
        <v>-2.693808008345441E-2</v>
      </c>
      <c r="P117" s="26">
        <f>Calc!$O$329</f>
        <v>1</v>
      </c>
      <c r="Q117" s="100"/>
      <c r="R117" s="100"/>
      <c r="S117" s="100"/>
      <c r="T117" s="101" t="s">
        <v>484</v>
      </c>
      <c r="U117" s="101"/>
      <c r="V117" s="101"/>
      <c r="W117" s="101"/>
      <c r="X117" s="101"/>
      <c r="Y117" s="101"/>
    </row>
    <row r="118" spans="2:25" x14ac:dyDescent="0.25">
      <c r="B118" s="100" t="str">
        <f>Calc!$B$330</f>
        <v>Overheads %</v>
      </c>
      <c r="C118" s="100"/>
      <c r="D118" s="100"/>
      <c r="E118" s="100"/>
      <c r="F118" s="31">
        <f>Calc!$E$330</f>
        <v>0.18477031547031786</v>
      </c>
      <c r="G118" s="31">
        <f>Calc!$F$330</f>
        <v>0.18478130358146305</v>
      </c>
      <c r="H118" s="32">
        <f>Calc!$I$330</f>
        <v>-1.0988111145193713E-3</v>
      </c>
      <c r="I118" s="25">
        <f>Calc!$J$330</f>
        <v>-5.9465492082912342E-5</v>
      </c>
      <c r="J118" s="31">
        <f>Calc!$G$330</f>
        <v>0.18465314285576928</v>
      </c>
      <c r="K118" s="32">
        <f>Calc!$K$330</f>
        <v>1.1717261454857741E-2</v>
      </c>
      <c r="L118" s="25">
        <f>Calc!$L$330</f>
        <v>6.3455521382649717E-4</v>
      </c>
      <c r="M118" s="31">
        <f>Calc!$H$330</f>
        <v>0.19111198955575551</v>
      </c>
      <c r="N118" s="32">
        <f>Calc!$M$330</f>
        <v>-0.63416740854376485</v>
      </c>
      <c r="O118" s="25">
        <f>Calc!$N$330</f>
        <v>-3.3183025827835423E-2</v>
      </c>
      <c r="P118" s="26">
        <f>Calc!$O$330</f>
        <v>3</v>
      </c>
      <c r="Q118" s="100"/>
      <c r="R118" s="100"/>
      <c r="S118" s="100"/>
      <c r="T118" s="101" t="s">
        <v>485</v>
      </c>
      <c r="U118" s="101"/>
      <c r="V118" s="101"/>
      <c r="W118" s="101"/>
      <c r="X118" s="101"/>
      <c r="Y118" s="101"/>
    </row>
    <row r="119" spans="2:25" x14ac:dyDescent="0.25">
      <c r="B119" s="100" t="str">
        <f>Calc!$B$307</f>
        <v>EBITDA</v>
      </c>
      <c r="C119" s="100"/>
      <c r="D119" s="100"/>
      <c r="E119" s="100"/>
      <c r="F119" s="23">
        <f>Calc!$E$307</f>
        <v>81.81</v>
      </c>
      <c r="G119" s="23">
        <f>Calc!$F$307</f>
        <v>85.564000000000007</v>
      </c>
      <c r="H119" s="24">
        <f>Calc!$I$307</f>
        <v>-3.7540000000000049</v>
      </c>
      <c r="I119" s="25">
        <f>Calc!$J$307</f>
        <v>-4.3873591697442905E-2</v>
      </c>
      <c r="J119" s="23">
        <f>Calc!$G$307</f>
        <v>82.938999999999993</v>
      </c>
      <c r="K119" s="24">
        <f>Calc!$K$307</f>
        <v>-1.1289999999999907</v>
      </c>
      <c r="L119" s="25">
        <f>Calc!$L$307</f>
        <v>-1.361241394277711E-2</v>
      </c>
      <c r="M119" s="23">
        <f>Calc!$H$307</f>
        <v>77.32099999999997</v>
      </c>
      <c r="N119" s="24">
        <f>Calc!$M$307</f>
        <v>4.4890000000000327</v>
      </c>
      <c r="O119" s="25">
        <f>Calc!$N$307</f>
        <v>5.805667283144339E-2</v>
      </c>
      <c r="P119" s="26">
        <f>Calc!$O$307</f>
        <v>1</v>
      </c>
      <c r="Q119" s="100"/>
      <c r="R119" s="100"/>
      <c r="S119" s="100"/>
      <c r="T119" s="101" t="s">
        <v>486</v>
      </c>
      <c r="U119" s="101"/>
      <c r="V119" s="101"/>
      <c r="W119" s="101"/>
      <c r="X119" s="101"/>
      <c r="Y119" s="101"/>
    </row>
    <row r="120" spans="2:25" x14ac:dyDescent="0.25">
      <c r="B120" s="100" t="str">
        <f>Calc!$B$331</f>
        <v>EBITDA margin</v>
      </c>
      <c r="C120" s="100"/>
      <c r="D120" s="100"/>
      <c r="E120" s="100"/>
      <c r="F120" s="31">
        <f>Calc!$E$331</f>
        <v>0.19686214115552134</v>
      </c>
      <c r="G120" s="31">
        <f>Calc!$F$331</f>
        <v>0.20547425448223194</v>
      </c>
      <c r="H120" s="32">
        <f>Calc!$I$331</f>
        <v>-0.86121133267106076</v>
      </c>
      <c r="I120" s="25">
        <f>Calc!$J$331</f>
        <v>-4.1913345048565809E-2</v>
      </c>
      <c r="J120" s="31">
        <f>Calc!$G$331</f>
        <v>0.19936924138295747</v>
      </c>
      <c r="K120" s="32">
        <f>Calc!$K$331</f>
        <v>-0.25071002274361376</v>
      </c>
      <c r="L120" s="25">
        <f>Calc!$L$331</f>
        <v>-1.2575160591700231E-2</v>
      </c>
      <c r="M120" s="31">
        <f>Calc!$H$331</f>
        <v>0.20108551485236054</v>
      </c>
      <c r="N120" s="32">
        <f>Calc!$M$331</f>
        <v>-0.42233736968391999</v>
      </c>
      <c r="O120" s="25">
        <f>Calc!$N$331</f>
        <v>-2.1002873826789826E-2</v>
      </c>
      <c r="P120" s="26">
        <f>Calc!$O$331</f>
        <v>1</v>
      </c>
      <c r="Q120" s="100"/>
      <c r="R120" s="100"/>
      <c r="S120" s="100"/>
      <c r="T120" s="101" t="s">
        <v>487</v>
      </c>
      <c r="U120" s="101"/>
      <c r="V120" s="101"/>
      <c r="W120" s="101"/>
      <c r="X120" s="101"/>
      <c r="Y120" s="101"/>
    </row>
    <row r="121" spans="2:25" x14ac:dyDescent="0.25">
      <c r="B121" s="100" t="str">
        <f>Calc!$B$308</f>
        <v>EBIT</v>
      </c>
      <c r="C121" s="100"/>
      <c r="D121" s="100"/>
      <c r="E121" s="100"/>
      <c r="F121" s="23">
        <f>Calc!$E$308</f>
        <v>67.010000000000005</v>
      </c>
      <c r="G121" s="23">
        <f>Calc!$F$308</f>
        <v>70.76400000000001</v>
      </c>
      <c r="H121" s="24">
        <f>Calc!$I$308</f>
        <v>-3.7540000000000049</v>
      </c>
      <c r="I121" s="25">
        <f>Calc!$J$308</f>
        <v>-5.3049573229325707E-2</v>
      </c>
      <c r="J121" s="23">
        <f>Calc!$G$308</f>
        <v>68.138999999999996</v>
      </c>
      <c r="K121" s="24">
        <f>Calc!$K$308</f>
        <v>-1.1289999999999907</v>
      </c>
      <c r="L121" s="25">
        <f>Calc!$L$308</f>
        <v>-1.6569072043910105E-2</v>
      </c>
      <c r="M121" s="23">
        <f>Calc!$H$308</f>
        <v>63.190999999999974</v>
      </c>
      <c r="N121" s="24">
        <f>Calc!$M$308</f>
        <v>3.819000000000031</v>
      </c>
      <c r="O121" s="25">
        <f>Calc!$N$308</f>
        <v>6.0435821556867789E-2</v>
      </c>
      <c r="P121" s="26">
        <f>Calc!$O$308</f>
        <v>1</v>
      </c>
      <c r="Q121" s="100"/>
      <c r="R121" s="100"/>
      <c r="S121" s="100"/>
      <c r="T121" s="101" t="s">
        <v>488</v>
      </c>
      <c r="U121" s="101"/>
      <c r="V121" s="101"/>
      <c r="W121" s="101"/>
      <c r="X121" s="101"/>
      <c r="Y121" s="101"/>
    </row>
    <row r="122" spans="2:25" x14ac:dyDescent="0.25">
      <c r="B122" s="100" t="str">
        <f>Calc!$B$309</f>
        <v>Net income</v>
      </c>
      <c r="C122" s="100"/>
      <c r="D122" s="100"/>
      <c r="E122" s="100"/>
      <c r="F122" s="23">
        <f>Calc!$E$309</f>
        <v>44.995000000000005</v>
      </c>
      <c r="G122" s="23">
        <f>Calc!$F$309</f>
        <v>47.817000000000014</v>
      </c>
      <c r="H122" s="24">
        <f>Calc!$I$309</f>
        <v>-2.8220000000000098</v>
      </c>
      <c r="I122" s="25">
        <f>Calc!$J$309</f>
        <v>-5.9016667712320073E-2</v>
      </c>
      <c r="J122" s="23">
        <f>Calc!$G$309</f>
        <v>45.844000000000001</v>
      </c>
      <c r="K122" s="24">
        <f>Calc!$K$309</f>
        <v>-0.84899999999999665</v>
      </c>
      <c r="L122" s="25">
        <f>Calc!$L$309</f>
        <v>-1.8519326411307841E-2</v>
      </c>
      <c r="M122" s="23">
        <f>Calc!$H$309</f>
        <v>41.852999999999973</v>
      </c>
      <c r="N122" s="24">
        <f>Calc!$M$309</f>
        <v>3.1420000000000314</v>
      </c>
      <c r="O122" s="25">
        <f>Calc!$N$309</f>
        <v>7.5072276778248473E-2</v>
      </c>
      <c r="P122" s="26">
        <f>Calc!$O$309</f>
        <v>1</v>
      </c>
      <c r="Q122" s="100"/>
      <c r="R122" s="100"/>
      <c r="S122" s="100"/>
      <c r="T122" s="101" t="s">
        <v>489</v>
      </c>
      <c r="U122" s="101"/>
      <c r="V122" s="101"/>
      <c r="W122" s="101"/>
      <c r="X122" s="101"/>
      <c r="Y122" s="101"/>
    </row>
    <row r="123" spans="2:25" x14ac:dyDescent="0.25">
      <c r="B123" s="21" t="s">
        <v>490</v>
      </c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</row>
    <row r="124" spans="2:25" x14ac:dyDescent="0.25">
      <c r="B124" s="100" t="str">
        <f>Calc!$B$310</f>
        <v>Free cash flow</v>
      </c>
      <c r="C124" s="100"/>
      <c r="D124" s="100"/>
      <c r="E124" s="100"/>
      <c r="F124" s="23">
        <f>Calc!$E$310</f>
        <v>43.160000000000004</v>
      </c>
      <c r="G124" s="23">
        <f>Calc!$F$310</f>
        <v>56.182000000000023</v>
      </c>
      <c r="H124" s="24">
        <f>Calc!$I$310</f>
        <v>-13.02200000000002</v>
      </c>
      <c r="I124" s="25">
        <f>Calc!$J$310</f>
        <v>-0.23178242141611219</v>
      </c>
      <c r="J124" s="23">
        <f>Calc!$G$310</f>
        <v>46.906999999999996</v>
      </c>
      <c r="K124" s="24">
        <f>Calc!$K$310</f>
        <v>-3.7469999999999928</v>
      </c>
      <c r="L124" s="25">
        <f>Calc!$L$310</f>
        <v>-7.9881467584795293E-2</v>
      </c>
      <c r="M124" s="23">
        <f>Calc!$H$310</f>
        <v>20.720999999999979</v>
      </c>
      <c r="N124" s="24">
        <f>Calc!$M$310</f>
        <v>22.439000000000025</v>
      </c>
      <c r="O124" s="25">
        <f>Calc!$N$310</f>
        <v>1.0829110564161983</v>
      </c>
      <c r="P124" s="26">
        <f>Calc!$O$310</f>
        <v>1</v>
      </c>
      <c r="Q124" s="100"/>
      <c r="R124" s="100"/>
      <c r="S124" s="100"/>
      <c r="T124" s="101" t="s">
        <v>491</v>
      </c>
      <c r="U124" s="101"/>
      <c r="V124" s="101"/>
      <c r="W124" s="101"/>
      <c r="X124" s="101"/>
      <c r="Y124" s="101"/>
    </row>
    <row r="125" spans="2:25" x14ac:dyDescent="0.25">
      <c r="B125" s="100" t="str">
        <f>Calc!$B$334</f>
        <v>Cash conversion (FCF / EBITDA)</v>
      </c>
      <c r="C125" s="100"/>
      <c r="D125" s="100"/>
      <c r="E125" s="100"/>
      <c r="F125" s="31">
        <f>Calc!$E$334</f>
        <v>0.52756386749786088</v>
      </c>
      <c r="G125" s="31">
        <f>Calc!$F$334</f>
        <v>0.65660791921836303</v>
      </c>
      <c r="H125" s="32">
        <f>Calc!$I$334</f>
        <v>-12.904405172050215</v>
      </c>
      <c r="I125" s="25">
        <f>Calc!$J$334</f>
        <v>-0.19653136665503262</v>
      </c>
      <c r="J125" s="31">
        <f>Calc!$G$334</f>
        <v>0.56556023101315422</v>
      </c>
      <c r="K125" s="32">
        <f>Calc!$K$334</f>
        <v>-3.7996363515293341</v>
      </c>
      <c r="L125" s="25">
        <f>Calc!$L$334</f>
        <v>-6.7183584403072344E-2</v>
      </c>
      <c r="M125" s="31">
        <f>Calc!$H$334</f>
        <v>0.26798670477619257</v>
      </c>
      <c r="N125" s="32">
        <f>Calc!$M$334</f>
        <v>25.957716272166831</v>
      </c>
      <c r="O125" s="25">
        <f>Calc!$N$334</f>
        <v>0.96861955498297037</v>
      </c>
      <c r="P125" s="26">
        <f>Calc!$O$334</f>
        <v>1</v>
      </c>
      <c r="Q125" s="100"/>
      <c r="R125" s="100"/>
      <c r="S125" s="100"/>
      <c r="T125" s="101" t="s">
        <v>492</v>
      </c>
      <c r="U125" s="101"/>
      <c r="V125" s="101"/>
      <c r="W125" s="101"/>
      <c r="X125" s="101"/>
      <c r="Y125" s="101"/>
    </row>
    <row r="126" spans="2:25" x14ac:dyDescent="0.25">
      <c r="B126" s="100" t="str">
        <f>Calc!$B$335</f>
        <v>NWC % of LTM net revenue</v>
      </c>
      <c r="C126" s="100"/>
      <c r="D126" s="100"/>
      <c r="E126" s="100"/>
      <c r="F126" s="31">
        <f>Calc!$E$335</f>
        <v>0.19178165235212216</v>
      </c>
      <c r="G126" s="31">
        <f>Calc!$F$335</f>
        <v>0.17241614931084298</v>
      </c>
      <c r="H126" s="32">
        <f>Calc!$I$335</f>
        <v>1.936550304127918</v>
      </c>
      <c r="I126" s="25">
        <f>Calc!$J$335</f>
        <v>0.1123183826960768</v>
      </c>
      <c r="J126" s="31">
        <f>Calc!$G$335</f>
        <v>0.18611580582448395</v>
      </c>
      <c r="K126" s="32">
        <f>Calc!$K$335</f>
        <v>0.56658465276382131</v>
      </c>
      <c r="L126" s="25">
        <f>Calc!$L$335</f>
        <v>3.0442586552704588E-2</v>
      </c>
      <c r="M126" s="31">
        <f>Calc!$H$335</f>
        <v>0.16981112434314075</v>
      </c>
      <c r="N126" s="32">
        <f>Calc!$M$335</f>
        <v>2.1970528008981418</v>
      </c>
      <c r="O126" s="25">
        <f>Calc!$N$335</f>
        <v>0.12938214792445005</v>
      </c>
      <c r="P126" s="26">
        <f>Calc!$O$335</f>
        <v>1</v>
      </c>
      <c r="Q126" s="100"/>
      <c r="R126" s="100"/>
      <c r="S126" s="100"/>
      <c r="T126" s="101" t="s">
        <v>493</v>
      </c>
      <c r="U126" s="101"/>
      <c r="V126" s="101"/>
      <c r="W126" s="101"/>
      <c r="X126" s="101"/>
      <c r="Y126" s="101"/>
    </row>
    <row r="127" spans="2:25" x14ac:dyDescent="0.25">
      <c r="B127" s="100" t="str">
        <f>Calc!$B$320</f>
        <v>DSO</v>
      </c>
      <c r="C127" s="100"/>
      <c r="D127" s="100"/>
      <c r="E127" s="100"/>
      <c r="F127" s="33">
        <f>Calc!$E$320</f>
        <v>48.148776844738244</v>
      </c>
      <c r="G127" s="33">
        <f>Calc!$F$320</f>
        <v>45.715512039619739</v>
      </c>
      <c r="H127" s="24">
        <f>Calc!$I$320</f>
        <v>2.4332648051185046</v>
      </c>
      <c r="I127" s="25">
        <f>Calc!$J$320</f>
        <v>5.3226239771955196E-2</v>
      </c>
      <c r="J127" s="33">
        <f>Calc!$G$320</f>
        <v>47.297772076117162</v>
      </c>
      <c r="K127" s="24">
        <f>Calc!$K$320</f>
        <v>0.8510047686210811</v>
      </c>
      <c r="L127" s="25">
        <f>Calc!$L$320</f>
        <v>1.7992491638962268E-2</v>
      </c>
      <c r="M127" s="33">
        <f>Calc!$H$320</f>
        <v>46.038410830898286</v>
      </c>
      <c r="N127" s="24">
        <f>Calc!$M$320</f>
        <v>2.1103660138399576</v>
      </c>
      <c r="O127" s="25">
        <f>Calc!$N$320</f>
        <v>4.5839245442060382E-2</v>
      </c>
      <c r="P127" s="26">
        <f>Calc!$O$320</f>
        <v>1</v>
      </c>
      <c r="Q127" s="100"/>
      <c r="R127" s="100"/>
      <c r="S127" s="100"/>
      <c r="T127" s="101" t="s">
        <v>494</v>
      </c>
      <c r="U127" s="101"/>
      <c r="V127" s="101"/>
      <c r="W127" s="101"/>
      <c r="X127" s="101"/>
      <c r="Y127" s="101"/>
    </row>
    <row r="128" spans="2:25" x14ac:dyDescent="0.25">
      <c r="B128" s="100" t="str">
        <f>Calc!$B$321</f>
        <v>DIO</v>
      </c>
      <c r="C128" s="100"/>
      <c r="D128" s="100"/>
      <c r="E128" s="100"/>
      <c r="F128" s="33">
        <f>Calc!$E$321</f>
        <v>96.834320682247238</v>
      </c>
      <c r="G128" s="33">
        <f>Calc!$F$321</f>
        <v>90.121254632080465</v>
      </c>
      <c r="H128" s="24">
        <f>Calc!$I$321</f>
        <v>6.7130660501667734</v>
      </c>
      <c r="I128" s="25">
        <f>Calc!$J$321</f>
        <v>7.4489265352250464E-2</v>
      </c>
      <c r="J128" s="33">
        <f>Calc!$G$321</f>
        <v>94.911056703554976</v>
      </c>
      <c r="K128" s="24">
        <f>Calc!$K$321</f>
        <v>1.9232639786922618</v>
      </c>
      <c r="L128" s="25">
        <f>Calc!$L$321</f>
        <v>2.0263855924598766E-2</v>
      </c>
      <c r="M128" s="33">
        <f>Calc!$H$321</f>
        <v>90.089248943913105</v>
      </c>
      <c r="N128" s="24">
        <f>Calc!$M$321</f>
        <v>6.7450717383341328</v>
      </c>
      <c r="O128" s="25">
        <f>Calc!$N$321</f>
        <v>7.4870995345220542E-2</v>
      </c>
      <c r="P128" s="26">
        <f>Calc!$O$321</f>
        <v>1</v>
      </c>
      <c r="Q128" s="100"/>
      <c r="R128" s="100"/>
      <c r="S128" s="100"/>
      <c r="T128" s="101" t="s">
        <v>495</v>
      </c>
      <c r="U128" s="101"/>
      <c r="V128" s="101"/>
      <c r="W128" s="101"/>
      <c r="X128" s="101"/>
      <c r="Y128" s="101"/>
    </row>
    <row r="129" spans="2:25" x14ac:dyDescent="0.25">
      <c r="B129" s="100" t="str">
        <f>Calc!$B$322</f>
        <v>DPO</v>
      </c>
      <c r="C129" s="100"/>
      <c r="D129" s="100"/>
      <c r="E129" s="100"/>
      <c r="F129" s="33">
        <f>Calc!$E$322</f>
        <v>60.917752750471976</v>
      </c>
      <c r="G129" s="33">
        <f>Calc!$F$322</f>
        <v>63.16167284277396</v>
      </c>
      <c r="H129" s="24">
        <f>Calc!$I$322</f>
        <v>-2.243920092301984</v>
      </c>
      <c r="I129" s="25">
        <f>Calc!$J$322</f>
        <v>-3.552660959261944E-2</v>
      </c>
      <c r="J129" s="33">
        <f>Calc!$G$322</f>
        <v>61.435628244050534</v>
      </c>
      <c r="K129" s="24">
        <f>Calc!$K$322</f>
        <v>-0.51787549357855767</v>
      </c>
      <c r="L129" s="25">
        <f>Calc!$L$322</f>
        <v>-8.4295629161846991E-3</v>
      </c>
      <c r="M129" s="33">
        <f>Calc!$H$322</f>
        <v>63.257772982462555</v>
      </c>
      <c r="N129" s="24">
        <f>Calc!$M$322</f>
        <v>-2.3400202319905787</v>
      </c>
      <c r="O129" s="25">
        <f>Calc!$N$322</f>
        <v>-3.6991821268183449E-2</v>
      </c>
      <c r="P129" s="26">
        <f>Calc!$O$322</f>
        <v>1</v>
      </c>
      <c r="Q129" s="100"/>
      <c r="R129" s="100"/>
      <c r="S129" s="100"/>
      <c r="T129" s="101" t="s">
        <v>496</v>
      </c>
      <c r="U129" s="101"/>
      <c r="V129" s="101"/>
      <c r="W129" s="101"/>
      <c r="X129" s="101"/>
      <c r="Y129" s="101"/>
    </row>
    <row r="130" spans="2:25" x14ac:dyDescent="0.25">
      <c r="B130" s="100" t="str">
        <f>Calc!$B$336</f>
        <v>Cash conversion cycle</v>
      </c>
      <c r="C130" s="100"/>
      <c r="D130" s="100"/>
      <c r="E130" s="100"/>
      <c r="F130" s="33">
        <f>Calc!$E$336</f>
        <v>84.065344776513513</v>
      </c>
      <c r="G130" s="33">
        <f>Calc!$F$336</f>
        <v>72.675093828926265</v>
      </c>
      <c r="H130" s="24">
        <f>Calc!$I$336</f>
        <v>11.390250947587248</v>
      </c>
      <c r="I130" s="25">
        <f>Calc!$J$336</f>
        <v>0.15672839686178267</v>
      </c>
      <c r="J130" s="33">
        <f>Calc!$G$336</f>
        <v>80.773200535621598</v>
      </c>
      <c r="K130" s="24">
        <f>Calc!$K$336</f>
        <v>3.2921442408919148</v>
      </c>
      <c r="L130" s="25">
        <f>Calc!$L$336</f>
        <v>4.0757877848854755E-2</v>
      </c>
      <c r="M130" s="33">
        <f>Calc!$H$336</f>
        <v>72.869886792348822</v>
      </c>
      <c r="N130" s="24">
        <f>Calc!$M$336</f>
        <v>11.19545798416469</v>
      </c>
      <c r="O130" s="25">
        <f>Calc!$N$336</f>
        <v>0.15363627524312537</v>
      </c>
      <c r="P130" s="26">
        <f>Calc!$O$336</f>
        <v>1</v>
      </c>
      <c r="Q130" s="100"/>
      <c r="R130" s="100"/>
      <c r="S130" s="100"/>
      <c r="T130" s="101" t="s">
        <v>497</v>
      </c>
      <c r="U130" s="101"/>
      <c r="V130" s="101"/>
      <c r="W130" s="101"/>
      <c r="X130" s="101"/>
      <c r="Y130" s="101"/>
    </row>
    <row r="131" spans="2:25" x14ac:dyDescent="0.25">
      <c r="B131" s="100" t="str">
        <f>Calc!$B$337</f>
        <v>Capex % of net revenue</v>
      </c>
      <c r="C131" s="100"/>
      <c r="D131" s="100"/>
      <c r="E131" s="100"/>
      <c r="F131" s="31">
        <f>Calc!$E$337</f>
        <v>3.2129364487330656E-2</v>
      </c>
      <c r="G131" s="31">
        <f>Calc!$F$337</f>
        <v>3.0997401674263125E-2</v>
      </c>
      <c r="H131" s="32">
        <f>Calc!$I$337</f>
        <v>0.11319628130675302</v>
      </c>
      <c r="I131" s="25">
        <f>Calc!$J$337</f>
        <v>3.651799028069469E-2</v>
      </c>
      <c r="J131" s="31">
        <f>Calc!$G$337</f>
        <v>3.1898501707903953E-2</v>
      </c>
      <c r="K131" s="32">
        <f>Calc!$K$337</f>
        <v>2.3086277942670208E-2</v>
      </c>
      <c r="L131" s="25">
        <f>Calc!$L$337</f>
        <v>7.2374176549332364E-3</v>
      </c>
      <c r="M131" s="31">
        <f>Calc!$H$337</f>
        <v>3.0999849161807772E-2</v>
      </c>
      <c r="N131" s="32">
        <f>Calc!$M$337</f>
        <v>0.1129515325522884</v>
      </c>
      <c r="O131" s="25">
        <f>Calc!$N$337</f>
        <v>3.6436155531829557E-2</v>
      </c>
      <c r="P131" s="26"/>
      <c r="Q131" s="100"/>
      <c r="R131" s="100"/>
      <c r="S131" s="100"/>
      <c r="T131" s="101" t="s">
        <v>498</v>
      </c>
      <c r="U131" s="101"/>
      <c r="V131" s="101"/>
      <c r="W131" s="101"/>
      <c r="X131" s="101"/>
      <c r="Y131" s="101"/>
    </row>
    <row r="132" spans="2:25" x14ac:dyDescent="0.25">
      <c r="B132" s="21" t="s">
        <v>499</v>
      </c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</row>
    <row r="133" spans="2:25" x14ac:dyDescent="0.25">
      <c r="B133" s="100" t="str">
        <f>Calc!$B$318</f>
        <v>Cash</v>
      </c>
      <c r="C133" s="100"/>
      <c r="D133" s="100"/>
      <c r="E133" s="100"/>
      <c r="F133" s="23">
        <f>Calc!$E$318</f>
        <v>56.825000000000003</v>
      </c>
      <c r="G133" s="23">
        <f>Calc!$F$318</f>
        <v>69.814999999999998</v>
      </c>
      <c r="H133" s="24">
        <f>Calc!$I$318</f>
        <v>-12.989999999999995</v>
      </c>
      <c r="I133" s="25">
        <f>Calc!$J$318</f>
        <v>-0.18606316694120167</v>
      </c>
      <c r="J133" s="23">
        <f>Calc!$G$318</f>
        <v>60.555999999999997</v>
      </c>
      <c r="K133" s="24">
        <f>Calc!$K$318</f>
        <v>-3.7309999999999945</v>
      </c>
      <c r="L133" s="25">
        <f>Calc!$L$318</f>
        <v>-6.1612391835656165E-2</v>
      </c>
      <c r="M133" s="23">
        <f>Calc!$H$318</f>
        <v>41.225000000000001</v>
      </c>
      <c r="N133" s="24">
        <f>Calc!$M$318</f>
        <v>15.600000000000001</v>
      </c>
      <c r="O133" s="25">
        <f>Calc!$N$318</f>
        <v>0.37841115827774413</v>
      </c>
      <c r="P133" s="26">
        <f>Calc!$O$318</f>
        <v>1</v>
      </c>
      <c r="Q133" s="100"/>
      <c r="R133" s="100"/>
      <c r="S133" s="100"/>
      <c r="T133" s="101" t="s">
        <v>500</v>
      </c>
      <c r="U133" s="101"/>
      <c r="V133" s="101"/>
      <c r="W133" s="101"/>
      <c r="X133" s="101"/>
      <c r="Y133" s="101"/>
    </row>
    <row r="134" spans="2:25" x14ac:dyDescent="0.25">
      <c r="B134" s="100" t="str">
        <f>Calc!$B$319</f>
        <v>Net debt</v>
      </c>
      <c r="C134" s="100"/>
      <c r="D134" s="100"/>
      <c r="E134" s="100"/>
      <c r="F134" s="23">
        <f>Calc!$E$319</f>
        <v>125.675</v>
      </c>
      <c r="G134" s="23">
        <f>Calc!$F$319</f>
        <v>112.685</v>
      </c>
      <c r="H134" s="24">
        <f>Calc!$I$319</f>
        <v>12.989999999999995</v>
      </c>
      <c r="I134" s="25">
        <f>Calc!$J$319</f>
        <v>0.11527709988019696</v>
      </c>
      <c r="J134" s="23">
        <f>Calc!$G$319</f>
        <v>121.944</v>
      </c>
      <c r="K134" s="24">
        <f>Calc!$K$319</f>
        <v>3.7309999999999945</v>
      </c>
      <c r="L134" s="25">
        <f>Calc!$L$319</f>
        <v>3.059601128386796E-2</v>
      </c>
      <c r="M134" s="23">
        <f>Calc!$H$319</f>
        <v>151.27500000000001</v>
      </c>
      <c r="N134" s="24">
        <f>Calc!$M$319</f>
        <v>-25.600000000000009</v>
      </c>
      <c r="O134" s="25">
        <f>Calc!$N$319</f>
        <v>-0.16922822673938198</v>
      </c>
      <c r="P134" s="26">
        <f>Calc!$O$319</f>
        <v>1</v>
      </c>
      <c r="Q134" s="100"/>
      <c r="R134" s="100"/>
      <c r="S134" s="100"/>
      <c r="T134" s="101" t="s">
        <v>501</v>
      </c>
      <c r="U134" s="101"/>
      <c r="V134" s="101"/>
      <c r="W134" s="101"/>
      <c r="X134" s="101"/>
      <c r="Y134" s="101"/>
    </row>
    <row r="135" spans="2:25" x14ac:dyDescent="0.25">
      <c r="B135" s="100" t="str">
        <f>Calc!$B$338</f>
        <v>Net debt / LTM EBITDA</v>
      </c>
      <c r="C135" s="100"/>
      <c r="D135" s="100"/>
      <c r="E135" s="100"/>
      <c r="F135" s="34">
        <f>Calc!$E$338</f>
        <v>1.2030229931269503</v>
      </c>
      <c r="G135" s="34">
        <f>Calc!$F$338</f>
        <v>1.0412585474034375</v>
      </c>
      <c r="H135" s="35">
        <f>Calc!$I$338</f>
        <v>0.16176444572351278</v>
      </c>
      <c r="I135" s="25">
        <f>Calc!$J$338</f>
        <v>0.1553547350241696</v>
      </c>
      <c r="J135" s="34">
        <f>Calc!$G$338</f>
        <v>1.1548274066006914</v>
      </c>
      <c r="K135" s="35">
        <f>Calc!$K$338</f>
        <v>4.8195586526258882E-2</v>
      </c>
      <c r="L135" s="25">
        <f>Calc!$L$338</f>
        <v>4.1734016919572153E-2</v>
      </c>
      <c r="M135" s="34">
        <f>Calc!$H$338</f>
        <v>1.5130980125428855</v>
      </c>
      <c r="N135" s="35">
        <f>Calc!$M$338</f>
        <v>-0.31007501941593518</v>
      </c>
      <c r="O135" s="25">
        <f>Calc!$N$338</f>
        <v>-0.20492725312276938</v>
      </c>
      <c r="P135" s="26">
        <f>Calc!$O$338</f>
        <v>1</v>
      </c>
      <c r="Q135" s="100"/>
      <c r="R135" s="100"/>
      <c r="S135" s="100"/>
      <c r="T135" s="101" t="s">
        <v>210</v>
      </c>
      <c r="U135" s="101"/>
      <c r="V135" s="101"/>
      <c r="W135" s="101"/>
      <c r="X135" s="101"/>
      <c r="Y135" s="101"/>
    </row>
    <row r="136" spans="2:25" x14ac:dyDescent="0.25">
      <c r="B136" s="100" t="str">
        <f>Calc!$B$339</f>
        <v>Interest cover (EBITDA / interest)</v>
      </c>
      <c r="C136" s="100"/>
      <c r="D136" s="100"/>
      <c r="E136" s="100"/>
      <c r="F136" s="34">
        <f>Calc!$E$339</f>
        <v>11.668806161745827</v>
      </c>
      <c r="G136" s="34">
        <f>Calc!$F$339</f>
        <v>12.204250463557267</v>
      </c>
      <c r="H136" s="35">
        <f>Calc!$I$339</f>
        <v>-0.53544430181143987</v>
      </c>
      <c r="I136" s="25">
        <f>Calc!$J$339</f>
        <v>-4.3873591697442905E-2</v>
      </c>
      <c r="J136" s="34">
        <f>Calc!$G$339</f>
        <v>11.829838824704035</v>
      </c>
      <c r="K136" s="35">
        <f>Calc!$K$339</f>
        <v>-0.16103266295820795</v>
      </c>
      <c r="L136" s="25">
        <f>Calc!$L$339</f>
        <v>-1.3612413942777174E-2</v>
      </c>
      <c r="M136" s="34">
        <f>Calc!$H$339</f>
        <v>10.465755278830532</v>
      </c>
      <c r="N136" s="35">
        <f>Calc!$M$339</f>
        <v>1.2030508829152957</v>
      </c>
      <c r="O136" s="25">
        <f>Calc!$N$339</f>
        <v>0.11495117656235962</v>
      </c>
      <c r="P136" s="26">
        <f>Calc!$O$339</f>
        <v>1</v>
      </c>
      <c r="Q136" s="100"/>
      <c r="R136" s="100"/>
      <c r="S136" s="100"/>
      <c r="T136" s="101" t="s">
        <v>502</v>
      </c>
      <c r="U136" s="101"/>
      <c r="V136" s="101"/>
      <c r="W136" s="101"/>
      <c r="X136" s="101"/>
      <c r="Y136" s="101"/>
    </row>
    <row r="137" spans="2:25" x14ac:dyDescent="0.25">
      <c r="B137" s="21" t="s">
        <v>503</v>
      </c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</row>
    <row r="138" spans="2:25" x14ac:dyDescent="0.25">
      <c r="B138" s="100" t="str">
        <f>Calc!$B$323</f>
        <v>Headcount (FTE)</v>
      </c>
      <c r="C138" s="100"/>
      <c r="D138" s="100"/>
      <c r="E138" s="100"/>
      <c r="F138" s="27">
        <f>Calc!$E$323</f>
        <v>1197</v>
      </c>
      <c r="G138" s="27">
        <f>Calc!$F$323</f>
        <v>1196</v>
      </c>
      <c r="H138" s="28">
        <f>Calc!$I$323</f>
        <v>1</v>
      </c>
      <c r="I138" s="25">
        <f>Calc!$J$323</f>
        <v>8.3612040133779263E-4</v>
      </c>
      <c r="J138" s="27">
        <f>Calc!$G$323</f>
        <v>1197</v>
      </c>
      <c r="K138" s="28">
        <f>Calc!$K$323</f>
        <v>0</v>
      </c>
      <c r="L138" s="25">
        <f>Calc!$L$323</f>
        <v>0</v>
      </c>
      <c r="M138" s="27">
        <f>Calc!$H$323</f>
        <v>1161</v>
      </c>
      <c r="N138" s="28">
        <f>Calc!$M$323</f>
        <v>36</v>
      </c>
      <c r="O138" s="25">
        <f>Calc!$N$323</f>
        <v>3.1007751937984496E-2</v>
      </c>
      <c r="P138" s="26">
        <f>Calc!$O$323</f>
        <v>2</v>
      </c>
      <c r="Q138" s="100"/>
      <c r="R138" s="100"/>
      <c r="S138" s="100"/>
      <c r="T138" s="101" t="s">
        <v>504</v>
      </c>
      <c r="U138" s="101"/>
      <c r="V138" s="101"/>
      <c r="W138" s="101"/>
      <c r="X138" s="101"/>
      <c r="Y138" s="101"/>
    </row>
    <row r="139" spans="2:25" x14ac:dyDescent="0.25">
      <c r="B139" s="100" t="str">
        <f>Calc!$B$340</f>
        <v>LTM net revenue per FTE (k)</v>
      </c>
      <c r="C139" s="100"/>
      <c r="D139" s="100"/>
      <c r="E139" s="100"/>
      <c r="F139" s="29">
        <f>Calc!$E$340</f>
        <v>427.2080200501253</v>
      </c>
      <c r="G139" s="29">
        <f>Calc!$F$340</f>
        <v>428.27759197324417</v>
      </c>
      <c r="H139" s="30">
        <f>Calc!$I$340</f>
        <v>-1.0695719231188718</v>
      </c>
      <c r="I139" s="25">
        <f>Calc!$J$340</f>
        <v>-2.4973800711611625E-3</v>
      </c>
      <c r="J139" s="29">
        <f>Calc!$G$340</f>
        <v>427.57309941520469</v>
      </c>
      <c r="K139" s="30">
        <f>Calc!$K$340</f>
        <v>-0.36507936507939576</v>
      </c>
      <c r="L139" s="25">
        <f>Calc!$L$340</f>
        <v>-8.5384081828047151E-4</v>
      </c>
      <c r="M139" s="29">
        <f>Calc!$H$340</f>
        <v>413.70887166236002</v>
      </c>
      <c r="N139" s="30">
        <f>Calc!$M$340</f>
        <v>13.499148387765274</v>
      </c>
      <c r="O139" s="25">
        <f>Calc!$N$340</f>
        <v>3.2629584020094027E-2</v>
      </c>
      <c r="P139" s="26">
        <f>Calc!$O$340</f>
        <v>2</v>
      </c>
      <c r="Q139" s="100"/>
      <c r="R139" s="100"/>
      <c r="S139" s="100"/>
      <c r="T139" s="101" t="s">
        <v>505</v>
      </c>
      <c r="U139" s="101"/>
      <c r="V139" s="101"/>
      <c r="W139" s="101"/>
      <c r="X139" s="101"/>
      <c r="Y139" s="101"/>
    </row>
    <row r="140" spans="2:25" x14ac:dyDescent="0.25">
      <c r="B140" s="100" t="str">
        <f>Calc!$B$341</f>
        <v>Forecast accuracy: net revenue</v>
      </c>
      <c r="C140" s="100"/>
      <c r="D140" s="100"/>
      <c r="E140" s="100"/>
      <c r="F140" s="31">
        <f>Calc!$E$341</f>
        <v>0.99894953690683086</v>
      </c>
      <c r="G140" s="31">
        <f>Calc!$F$341</f>
        <v>0.97</v>
      </c>
      <c r="H140" s="32">
        <f>Calc!$I$341</f>
        <v>2.8949536906830886</v>
      </c>
      <c r="I140" s="25">
        <f>Calc!$J$341</f>
        <v>2.9844883409104007E-2</v>
      </c>
      <c r="J140" s="31"/>
      <c r="K140" s="31"/>
      <c r="L140" s="31"/>
      <c r="M140" s="31"/>
      <c r="N140" s="31"/>
      <c r="O140" s="31"/>
      <c r="P140" s="26">
        <f>Calc!$O$341</f>
        <v>3</v>
      </c>
      <c r="Q140" s="100"/>
      <c r="R140" s="100"/>
      <c r="S140" s="100"/>
      <c r="T140" s="101" t="s">
        <v>506</v>
      </c>
      <c r="U140" s="101"/>
      <c r="V140" s="101"/>
      <c r="W140" s="101"/>
      <c r="X140" s="101"/>
      <c r="Y140" s="101"/>
    </row>
    <row r="141" spans="2:25" x14ac:dyDescent="0.25">
      <c r="B141" s="100" t="str">
        <f>Calc!$B$342</f>
        <v>Forecast accuracy: EBITDA</v>
      </c>
      <c r="C141" s="100"/>
      <c r="D141" s="100"/>
      <c r="E141" s="100"/>
      <c r="F141" s="31">
        <f>Calc!$E$342</f>
        <v>0.98638758605722288</v>
      </c>
      <c r="G141" s="31">
        <f>Calc!$F$342</f>
        <v>0.97</v>
      </c>
      <c r="H141" s="32">
        <f>Calc!$I$342</f>
        <v>1.6387586057222903</v>
      </c>
      <c r="I141" s="25">
        <f>Calc!$J$342</f>
        <v>1.6894418615693716E-2</v>
      </c>
      <c r="J141" s="31"/>
      <c r="K141" s="31"/>
      <c r="L141" s="31"/>
      <c r="M141" s="31"/>
      <c r="N141" s="31"/>
      <c r="O141" s="31"/>
      <c r="P141" s="26">
        <f>Calc!$O$342</f>
        <v>3</v>
      </c>
      <c r="Q141" s="100"/>
      <c r="R141" s="100"/>
      <c r="S141" s="100"/>
      <c r="T141" s="101" t="s">
        <v>506</v>
      </c>
      <c r="U141" s="101"/>
      <c r="V141" s="101"/>
      <c r="W141" s="101"/>
      <c r="X141" s="101"/>
      <c r="Y141" s="101"/>
    </row>
    <row r="143" spans="2:25" x14ac:dyDescent="0.25">
      <c r="B143" s="36" t="s">
        <v>507</v>
      </c>
    </row>
  </sheetData>
  <mergeCells count="154">
    <mergeCell ref="B139:E139"/>
    <mergeCell ref="Q139:S139"/>
    <mergeCell ref="T139:Y139"/>
    <mergeCell ref="B140:E140"/>
    <mergeCell ref="Q140:S140"/>
    <mergeCell ref="T140:Y140"/>
    <mergeCell ref="B141:E141"/>
    <mergeCell ref="Q141:S141"/>
    <mergeCell ref="T141:Y141"/>
    <mergeCell ref="B135:E135"/>
    <mergeCell ref="Q135:S135"/>
    <mergeCell ref="T135:Y135"/>
    <mergeCell ref="B136:E136"/>
    <mergeCell ref="Q136:S136"/>
    <mergeCell ref="T136:Y136"/>
    <mergeCell ref="B138:E138"/>
    <mergeCell ref="Q138:S138"/>
    <mergeCell ref="T138:Y138"/>
    <mergeCell ref="B131:E131"/>
    <mergeCell ref="Q131:S131"/>
    <mergeCell ref="T131:Y131"/>
    <mergeCell ref="B133:E133"/>
    <mergeCell ref="Q133:S133"/>
    <mergeCell ref="T133:Y133"/>
    <mergeCell ref="B134:E134"/>
    <mergeCell ref="Q134:S134"/>
    <mergeCell ref="T134:Y134"/>
    <mergeCell ref="B128:E128"/>
    <mergeCell ref="Q128:S128"/>
    <mergeCell ref="T128:Y128"/>
    <mergeCell ref="B129:E129"/>
    <mergeCell ref="Q129:S129"/>
    <mergeCell ref="T129:Y129"/>
    <mergeCell ref="B130:E130"/>
    <mergeCell ref="Q130:S130"/>
    <mergeCell ref="T130:Y130"/>
    <mergeCell ref="B125:E125"/>
    <mergeCell ref="Q125:S125"/>
    <mergeCell ref="T125:Y125"/>
    <mergeCell ref="B126:E126"/>
    <mergeCell ref="Q126:S126"/>
    <mergeCell ref="T126:Y126"/>
    <mergeCell ref="B127:E127"/>
    <mergeCell ref="Q127:S127"/>
    <mergeCell ref="T127:Y127"/>
    <mergeCell ref="B121:E121"/>
    <mergeCell ref="Q121:S121"/>
    <mergeCell ref="T121:Y121"/>
    <mergeCell ref="B122:E122"/>
    <mergeCell ref="Q122:S122"/>
    <mergeCell ref="T122:Y122"/>
    <mergeCell ref="B124:E124"/>
    <mergeCell ref="Q124:S124"/>
    <mergeCell ref="T124:Y124"/>
    <mergeCell ref="B118:E118"/>
    <mergeCell ref="Q118:S118"/>
    <mergeCell ref="T118:Y118"/>
    <mergeCell ref="B119:E119"/>
    <mergeCell ref="Q119:S119"/>
    <mergeCell ref="T119:Y119"/>
    <mergeCell ref="B120:E120"/>
    <mergeCell ref="Q120:S120"/>
    <mergeCell ref="T120:Y120"/>
    <mergeCell ref="B115:E115"/>
    <mergeCell ref="Q115:S115"/>
    <mergeCell ref="T115:Y115"/>
    <mergeCell ref="B116:E116"/>
    <mergeCell ref="Q116:S116"/>
    <mergeCell ref="T116:Y116"/>
    <mergeCell ref="B117:E117"/>
    <mergeCell ref="Q117:S117"/>
    <mergeCell ref="T117:Y117"/>
    <mergeCell ref="B111:E111"/>
    <mergeCell ref="Q111:S111"/>
    <mergeCell ref="T111:Y111"/>
    <mergeCell ref="B112:E112"/>
    <mergeCell ref="Q112:S112"/>
    <mergeCell ref="T112:Y112"/>
    <mergeCell ref="B114:E114"/>
    <mergeCell ref="Q114:S114"/>
    <mergeCell ref="T114:Y114"/>
    <mergeCell ref="B24:C24"/>
    <mergeCell ref="D24:Y24"/>
    <mergeCell ref="B107:E107"/>
    <mergeCell ref="Q107:S107"/>
    <mergeCell ref="T107:Y107"/>
    <mergeCell ref="B109:E109"/>
    <mergeCell ref="Q109:S109"/>
    <mergeCell ref="T109:Y109"/>
    <mergeCell ref="B110:E110"/>
    <mergeCell ref="Q110:S110"/>
    <mergeCell ref="T110:Y110"/>
    <mergeCell ref="B19:C19"/>
    <mergeCell ref="D19:Y19"/>
    <mergeCell ref="B20:C20"/>
    <mergeCell ref="D20:Y20"/>
    <mergeCell ref="B21:C21"/>
    <mergeCell ref="D21:Y21"/>
    <mergeCell ref="B22:C22"/>
    <mergeCell ref="D22:Y22"/>
    <mergeCell ref="B23:C23"/>
    <mergeCell ref="D23:Y23"/>
    <mergeCell ref="N12:Q12"/>
    <mergeCell ref="N13:O14"/>
    <mergeCell ref="P13:Q14"/>
    <mergeCell ref="R12:U12"/>
    <mergeCell ref="R13:S14"/>
    <mergeCell ref="T13:U14"/>
    <mergeCell ref="V12:Y12"/>
    <mergeCell ref="V13:W14"/>
    <mergeCell ref="X13:Y14"/>
    <mergeCell ref="B12:E12"/>
    <mergeCell ref="B13:C14"/>
    <mergeCell ref="D13:E14"/>
    <mergeCell ref="F12:I12"/>
    <mergeCell ref="F13:G14"/>
    <mergeCell ref="H13:I14"/>
    <mergeCell ref="J12:M12"/>
    <mergeCell ref="J13:K14"/>
    <mergeCell ref="L13:M14"/>
    <mergeCell ref="U2:V2"/>
    <mergeCell ref="U3:V3"/>
    <mergeCell ref="W2:X2"/>
    <mergeCell ref="W3:X3"/>
    <mergeCell ref="B6:E6"/>
    <mergeCell ref="B7:C8"/>
    <mergeCell ref="D7:E8"/>
    <mergeCell ref="F6:I6"/>
    <mergeCell ref="F7:G8"/>
    <mergeCell ref="H7:I8"/>
    <mergeCell ref="J6:M6"/>
    <mergeCell ref="J7:K8"/>
    <mergeCell ref="L7:M8"/>
    <mergeCell ref="N6:Q6"/>
    <mergeCell ref="N7:O8"/>
    <mergeCell ref="P7:Q8"/>
    <mergeCell ref="R6:U6"/>
    <mergeCell ref="R7:S8"/>
    <mergeCell ref="T7:U8"/>
    <mergeCell ref="V6:Y6"/>
    <mergeCell ref="V7:W8"/>
    <mergeCell ref="X7:Y8"/>
    <mergeCell ref="P2:Q2"/>
    <mergeCell ref="P3:Q3"/>
    <mergeCell ref="B2:O2"/>
    <mergeCell ref="B3:O3"/>
    <mergeCell ref="B4:C4"/>
    <mergeCell ref="D4:E4"/>
    <mergeCell ref="F4:G4"/>
    <mergeCell ref="H4:I4"/>
    <mergeCell ref="J4:K4"/>
    <mergeCell ref="L4:M4"/>
    <mergeCell ref="S2:T2"/>
    <mergeCell ref="S3:T3"/>
  </mergeCells>
  <conditionalFormatting sqref="B10:D10">
    <cfRule type="cellIs" dxfId="185" priority="1" operator="greaterThan">
      <formula>0</formula>
    </cfRule>
    <cfRule type="cellIs" dxfId="184" priority="2" operator="lessThan">
      <formula>0</formula>
    </cfRule>
  </conditionalFormatting>
  <conditionalFormatting sqref="B16:D16">
    <cfRule type="cellIs" dxfId="183" priority="31" operator="greaterThan">
      <formula>0</formula>
    </cfRule>
    <cfRule type="cellIs" dxfId="182" priority="32" operator="lessThan">
      <formula>0</formula>
    </cfRule>
  </conditionalFormatting>
  <conditionalFormatting sqref="E10">
    <cfRule type="cellIs" dxfId="181" priority="3" operator="equal">
      <formula>3</formula>
    </cfRule>
    <cfRule type="cellIs" dxfId="180" priority="4" operator="equal">
      <formula>2</formula>
    </cfRule>
    <cfRule type="cellIs" dxfId="179" priority="5" operator="equal">
      <formula>1</formula>
    </cfRule>
  </conditionalFormatting>
  <conditionalFormatting sqref="E16">
    <cfRule type="cellIs" dxfId="178" priority="33" operator="equal">
      <formula>3</formula>
    </cfRule>
    <cfRule type="cellIs" dxfId="177" priority="34" operator="equal">
      <formula>2</formula>
    </cfRule>
    <cfRule type="cellIs" dxfId="176" priority="35" operator="equal">
      <formula>1</formula>
    </cfRule>
  </conditionalFormatting>
  <conditionalFormatting sqref="F10:H10">
    <cfRule type="cellIs" dxfId="175" priority="6" operator="greaterThan">
      <formula>0</formula>
    </cfRule>
    <cfRule type="cellIs" dxfId="174" priority="7" operator="lessThan">
      <formula>0</formula>
    </cfRule>
  </conditionalFormatting>
  <conditionalFormatting sqref="F16:H16">
    <cfRule type="cellIs" dxfId="173" priority="37" operator="lessThan">
      <formula>0</formula>
    </cfRule>
    <cfRule type="cellIs" dxfId="172" priority="36" operator="greaterThan">
      <formula>0</formula>
    </cfRule>
  </conditionalFormatting>
  <conditionalFormatting sqref="H109:I111">
    <cfRule type="cellIs" dxfId="171" priority="62" operator="lessThan">
      <formula>0</formula>
    </cfRule>
    <cfRule type="cellIs" dxfId="170" priority="61" operator="greaterThan">
      <formula>0</formula>
    </cfRule>
  </conditionalFormatting>
  <conditionalFormatting sqref="H112:I112">
    <cfRule type="cellIs" dxfId="169" priority="101" operator="greaterThan">
      <formula>0</formula>
    </cfRule>
    <cfRule type="cellIs" dxfId="168" priority="100" operator="lessThan">
      <formula>0</formula>
    </cfRule>
  </conditionalFormatting>
  <conditionalFormatting sqref="H114:I114">
    <cfRule type="cellIs" dxfId="167" priority="113" operator="greaterThan">
      <formula>0</formula>
    </cfRule>
    <cfRule type="cellIs" dxfId="166" priority="114" operator="lessThan">
      <formula>0</formula>
    </cfRule>
  </conditionalFormatting>
  <conditionalFormatting sqref="H116:I116">
    <cfRule type="cellIs" dxfId="165" priority="127" operator="greaterThan">
      <formula>0</formula>
    </cfRule>
    <cfRule type="cellIs" dxfId="164" priority="126" operator="lessThan">
      <formula>0</formula>
    </cfRule>
  </conditionalFormatting>
  <conditionalFormatting sqref="H117:I117">
    <cfRule type="cellIs" dxfId="163" priority="140" operator="lessThan">
      <formula>0</formula>
    </cfRule>
    <cfRule type="cellIs" dxfId="162" priority="139" operator="greaterThan">
      <formula>0</formula>
    </cfRule>
  </conditionalFormatting>
  <conditionalFormatting sqref="H118:I118">
    <cfRule type="cellIs" dxfId="161" priority="153" operator="greaterThan">
      <formula>0</formula>
    </cfRule>
    <cfRule type="cellIs" dxfId="160" priority="152" operator="lessThan">
      <formula>0</formula>
    </cfRule>
  </conditionalFormatting>
  <conditionalFormatting sqref="H119:I122">
    <cfRule type="cellIs" dxfId="159" priority="165" operator="greaterThan">
      <formula>0</formula>
    </cfRule>
    <cfRule type="cellIs" dxfId="158" priority="166" operator="lessThan">
      <formula>0</formula>
    </cfRule>
  </conditionalFormatting>
  <conditionalFormatting sqref="H124:I125">
    <cfRule type="cellIs" dxfId="157" priority="217" operator="greaterThan">
      <formula>0</formula>
    </cfRule>
    <cfRule type="cellIs" dxfId="156" priority="218" operator="lessThan">
      <formula>0</formula>
    </cfRule>
  </conditionalFormatting>
  <conditionalFormatting sqref="H126:I128">
    <cfRule type="cellIs" dxfId="155" priority="244" operator="greaterThan">
      <formula>0</formula>
    </cfRule>
    <cfRule type="cellIs" dxfId="154" priority="243" operator="lessThan">
      <formula>0</formula>
    </cfRule>
  </conditionalFormatting>
  <conditionalFormatting sqref="H129:I129">
    <cfRule type="cellIs" dxfId="153" priority="282" operator="greaterThan">
      <formula>0</formula>
    </cfRule>
    <cfRule type="cellIs" dxfId="152" priority="283" operator="lessThan">
      <formula>0</formula>
    </cfRule>
  </conditionalFormatting>
  <conditionalFormatting sqref="H130:I130">
    <cfRule type="cellIs" dxfId="151" priority="296" operator="greaterThan">
      <formula>0</formula>
    </cfRule>
    <cfRule type="cellIs" dxfId="150" priority="295" operator="lessThan">
      <formula>0</formula>
    </cfRule>
  </conditionalFormatting>
  <conditionalFormatting sqref="H133:I133">
    <cfRule type="cellIs" dxfId="149" priority="308" operator="greaterThan">
      <formula>0</formula>
    </cfRule>
    <cfRule type="cellIs" dxfId="148" priority="309" operator="lessThan">
      <formula>0</formula>
    </cfRule>
  </conditionalFormatting>
  <conditionalFormatting sqref="H134:I135">
    <cfRule type="cellIs" dxfId="147" priority="321" operator="lessThan">
      <formula>0</formula>
    </cfRule>
    <cfRule type="cellIs" dxfId="146" priority="322" operator="greaterThan">
      <formula>0</formula>
    </cfRule>
  </conditionalFormatting>
  <conditionalFormatting sqref="H136:I136">
    <cfRule type="cellIs" dxfId="145" priority="347" operator="greaterThan">
      <formula>0</formula>
    </cfRule>
    <cfRule type="cellIs" dxfId="144" priority="348" operator="lessThan">
      <formula>0</formula>
    </cfRule>
  </conditionalFormatting>
  <conditionalFormatting sqref="H138:I138">
    <cfRule type="cellIs" dxfId="143" priority="360" operator="lessThan">
      <formula>0</formula>
    </cfRule>
    <cfRule type="cellIs" dxfId="142" priority="361" operator="greaterThan">
      <formula>0</formula>
    </cfRule>
  </conditionalFormatting>
  <conditionalFormatting sqref="H139:I141">
    <cfRule type="cellIs" dxfId="141" priority="373" operator="greaterThan">
      <formula>0</formula>
    </cfRule>
    <cfRule type="cellIs" dxfId="140" priority="374" operator="lessThan">
      <formula>0</formula>
    </cfRule>
  </conditionalFormatting>
  <conditionalFormatting sqref="I10">
    <cfRule type="cellIs" dxfId="139" priority="9" operator="equal">
      <formula>2</formula>
    </cfRule>
    <cfRule type="cellIs" dxfId="138" priority="10" operator="equal">
      <formula>1</formula>
    </cfRule>
    <cfRule type="cellIs" dxfId="137" priority="8" operator="equal">
      <formula>3</formula>
    </cfRule>
  </conditionalFormatting>
  <conditionalFormatting sqref="I16">
    <cfRule type="cellIs" dxfId="136" priority="40" operator="equal">
      <formula>1</formula>
    </cfRule>
    <cfRule type="cellIs" dxfId="135" priority="38" operator="equal">
      <formula>3</formula>
    </cfRule>
    <cfRule type="cellIs" dxfId="134" priority="39" operator="equal">
      <formula>2</formula>
    </cfRule>
  </conditionalFormatting>
  <conditionalFormatting sqref="J10:L10">
    <cfRule type="cellIs" dxfId="133" priority="12" operator="lessThan">
      <formula>0</formula>
    </cfRule>
    <cfRule type="cellIs" dxfId="132" priority="11" operator="greaterThan">
      <formula>0</formula>
    </cfRule>
  </conditionalFormatting>
  <conditionalFormatting sqref="J16:L16">
    <cfRule type="cellIs" dxfId="131" priority="41" operator="lessThan">
      <formula>0</formula>
    </cfRule>
    <cfRule type="cellIs" dxfId="130" priority="42" operator="greaterThan">
      <formula>0</formula>
    </cfRule>
  </conditionalFormatting>
  <conditionalFormatting sqref="K109:L111">
    <cfRule type="cellIs" dxfId="129" priority="65" operator="greaterThan">
      <formula>0</formula>
    </cfRule>
    <cfRule type="cellIs" dxfId="128" priority="66" operator="lessThan">
      <formula>0</formula>
    </cfRule>
  </conditionalFormatting>
  <conditionalFormatting sqref="K112:L112">
    <cfRule type="cellIs" dxfId="127" priority="105" operator="greaterThan">
      <formula>0</formula>
    </cfRule>
    <cfRule type="cellIs" dxfId="126" priority="104" operator="lessThan">
      <formula>0</formula>
    </cfRule>
  </conditionalFormatting>
  <conditionalFormatting sqref="K114:L114">
    <cfRule type="cellIs" dxfId="125" priority="118" operator="lessThan">
      <formula>0</formula>
    </cfRule>
    <cfRule type="cellIs" dxfId="124" priority="117" operator="greaterThan">
      <formula>0</formula>
    </cfRule>
  </conditionalFormatting>
  <conditionalFormatting sqref="K116:L116">
    <cfRule type="cellIs" dxfId="123" priority="130" operator="lessThan">
      <formula>0</formula>
    </cfRule>
    <cfRule type="cellIs" dxfId="122" priority="131" operator="greaterThan">
      <formula>0</formula>
    </cfRule>
  </conditionalFormatting>
  <conditionalFormatting sqref="K117:L117">
    <cfRule type="cellIs" dxfId="121" priority="143" operator="greaterThan">
      <formula>0</formula>
    </cfRule>
    <cfRule type="cellIs" dxfId="120" priority="144" operator="lessThan">
      <formula>0</formula>
    </cfRule>
  </conditionalFormatting>
  <conditionalFormatting sqref="K118:L118">
    <cfRule type="cellIs" dxfId="119" priority="156" operator="lessThan">
      <formula>0</formula>
    </cfRule>
    <cfRule type="cellIs" dxfId="118" priority="157" operator="greaterThan">
      <formula>0</formula>
    </cfRule>
  </conditionalFormatting>
  <conditionalFormatting sqref="K119:L122">
    <cfRule type="cellIs" dxfId="117" priority="170" operator="lessThan">
      <formula>0</formula>
    </cfRule>
    <cfRule type="cellIs" dxfId="116" priority="169" operator="greaterThan">
      <formula>0</formula>
    </cfRule>
  </conditionalFormatting>
  <conditionalFormatting sqref="K124:L125">
    <cfRule type="cellIs" dxfId="115" priority="222" operator="lessThan">
      <formula>0</formula>
    </cfRule>
    <cfRule type="cellIs" dxfId="114" priority="221" operator="greaterThan">
      <formula>0</formula>
    </cfRule>
  </conditionalFormatting>
  <conditionalFormatting sqref="K126:L128">
    <cfRule type="cellIs" dxfId="113" priority="248" operator="greaterThan">
      <formula>0</formula>
    </cfRule>
    <cfRule type="cellIs" dxfId="112" priority="247" operator="lessThan">
      <formula>0</formula>
    </cfRule>
  </conditionalFormatting>
  <conditionalFormatting sqref="K129:L129">
    <cfRule type="cellIs" dxfId="111" priority="286" operator="greaterThan">
      <formula>0</formula>
    </cfRule>
    <cfRule type="cellIs" dxfId="110" priority="287" operator="lessThan">
      <formula>0</formula>
    </cfRule>
  </conditionalFormatting>
  <conditionalFormatting sqref="K130:L130">
    <cfRule type="cellIs" dxfId="109" priority="299" operator="lessThan">
      <formula>0</formula>
    </cfRule>
    <cfRule type="cellIs" dxfId="108" priority="300" operator="greaterThan">
      <formula>0</formula>
    </cfRule>
  </conditionalFormatting>
  <conditionalFormatting sqref="K133:L133">
    <cfRule type="cellIs" dxfId="107" priority="312" operator="greaterThan">
      <formula>0</formula>
    </cfRule>
    <cfRule type="cellIs" dxfId="106" priority="313" operator="lessThan">
      <formula>0</formula>
    </cfRule>
  </conditionalFormatting>
  <conditionalFormatting sqref="K134:L135">
    <cfRule type="cellIs" dxfId="105" priority="326" operator="greaterThan">
      <formula>0</formula>
    </cfRule>
    <cfRule type="cellIs" dxfId="104" priority="325" operator="lessThan">
      <formula>0</formula>
    </cfRule>
  </conditionalFormatting>
  <conditionalFormatting sqref="K136:L136">
    <cfRule type="cellIs" dxfId="103" priority="352" operator="lessThan">
      <formula>0</formula>
    </cfRule>
    <cfRule type="cellIs" dxfId="102" priority="351" operator="greaterThan">
      <formula>0</formula>
    </cfRule>
  </conditionalFormatting>
  <conditionalFormatting sqref="K138:L138">
    <cfRule type="cellIs" dxfId="101" priority="365" operator="greaterThan">
      <formula>0</formula>
    </cfRule>
    <cfRule type="cellIs" dxfId="100" priority="364" operator="lessThan">
      <formula>0</formula>
    </cfRule>
  </conditionalFormatting>
  <conditionalFormatting sqref="K139:L141">
    <cfRule type="cellIs" dxfId="99" priority="378" operator="lessThan">
      <formula>0</formula>
    </cfRule>
    <cfRule type="cellIs" dxfId="98" priority="377" operator="greaterThan">
      <formula>0</formula>
    </cfRule>
  </conditionalFormatting>
  <conditionalFormatting sqref="M10">
    <cfRule type="cellIs" dxfId="97" priority="13" operator="equal">
      <formula>3</formula>
    </cfRule>
    <cfRule type="cellIs" dxfId="96" priority="15" operator="equal">
      <formula>1</formula>
    </cfRule>
    <cfRule type="cellIs" dxfId="95" priority="14" operator="equal">
      <formula>2</formula>
    </cfRule>
  </conditionalFormatting>
  <conditionalFormatting sqref="M16">
    <cfRule type="cellIs" dxfId="94" priority="44" operator="equal">
      <formula>2</formula>
    </cfRule>
    <cfRule type="cellIs" dxfId="93" priority="45" operator="equal">
      <formula>1</formula>
    </cfRule>
    <cfRule type="cellIs" dxfId="92" priority="43" operator="equal">
      <formula>3</formula>
    </cfRule>
  </conditionalFormatting>
  <conditionalFormatting sqref="N109:O111">
    <cfRule type="cellIs" dxfId="91" priority="69" operator="greaterThan">
      <formula>0</formula>
    </cfRule>
    <cfRule type="cellIs" dxfId="90" priority="70" operator="lessThan">
      <formula>0</formula>
    </cfRule>
  </conditionalFormatting>
  <conditionalFormatting sqref="N112:O112">
    <cfRule type="cellIs" dxfId="89" priority="108" operator="lessThan">
      <formula>0</formula>
    </cfRule>
    <cfRule type="cellIs" dxfId="88" priority="109" operator="greaterThan">
      <formula>0</formula>
    </cfRule>
  </conditionalFormatting>
  <conditionalFormatting sqref="N114:O114">
    <cfRule type="cellIs" dxfId="87" priority="121" operator="greaterThan">
      <formula>0</formula>
    </cfRule>
    <cfRule type="cellIs" dxfId="86" priority="122" operator="lessThan">
      <formula>0</formula>
    </cfRule>
  </conditionalFormatting>
  <conditionalFormatting sqref="N116:O116">
    <cfRule type="cellIs" dxfId="85" priority="135" operator="greaterThan">
      <formula>0</formula>
    </cfRule>
    <cfRule type="cellIs" dxfId="84" priority="134" operator="lessThan">
      <formula>0</formula>
    </cfRule>
  </conditionalFormatting>
  <conditionalFormatting sqref="N117:O117">
    <cfRule type="cellIs" dxfId="83" priority="147" operator="greaterThan">
      <formula>0</formula>
    </cfRule>
    <cfRule type="cellIs" dxfId="82" priority="148" operator="lessThan">
      <formula>0</formula>
    </cfRule>
  </conditionalFormatting>
  <conditionalFormatting sqref="N118:O118">
    <cfRule type="cellIs" dxfId="81" priority="161" operator="greaterThan">
      <formula>0</formula>
    </cfRule>
    <cfRule type="cellIs" dxfId="80" priority="160" operator="lessThan">
      <formula>0</formula>
    </cfRule>
  </conditionalFormatting>
  <conditionalFormatting sqref="N119:O122">
    <cfRule type="cellIs" dxfId="79" priority="174" operator="lessThan">
      <formula>0</formula>
    </cfRule>
    <cfRule type="cellIs" dxfId="78" priority="173" operator="greaterThan">
      <formula>0</formula>
    </cfRule>
  </conditionalFormatting>
  <conditionalFormatting sqref="N124:O125">
    <cfRule type="cellIs" dxfId="77" priority="226" operator="lessThan">
      <formula>0</formula>
    </cfRule>
    <cfRule type="cellIs" dxfId="76" priority="225" operator="greaterThan">
      <formula>0</formula>
    </cfRule>
  </conditionalFormatting>
  <conditionalFormatting sqref="N126:O128">
    <cfRule type="cellIs" dxfId="75" priority="251" operator="lessThan">
      <formula>0</formula>
    </cfRule>
    <cfRule type="cellIs" dxfId="74" priority="252" operator="greaterThan">
      <formula>0</formula>
    </cfRule>
  </conditionalFormatting>
  <conditionalFormatting sqref="N129:O129">
    <cfRule type="cellIs" dxfId="73" priority="291" operator="lessThan">
      <formula>0</formula>
    </cfRule>
    <cfRule type="cellIs" dxfId="72" priority="290" operator="greaterThan">
      <formula>0</formula>
    </cfRule>
  </conditionalFormatting>
  <conditionalFormatting sqref="N130:O130">
    <cfRule type="cellIs" dxfId="71" priority="304" operator="greaterThan">
      <formula>0</formula>
    </cfRule>
    <cfRule type="cellIs" dxfId="70" priority="303" operator="lessThan">
      <formula>0</formula>
    </cfRule>
  </conditionalFormatting>
  <conditionalFormatting sqref="N133:O133">
    <cfRule type="cellIs" dxfId="69" priority="317" operator="lessThan">
      <formula>0</formula>
    </cfRule>
    <cfRule type="cellIs" dxfId="68" priority="316" operator="greaterThan">
      <formula>0</formula>
    </cfRule>
  </conditionalFormatting>
  <conditionalFormatting sqref="N134:O135">
    <cfRule type="cellIs" dxfId="67" priority="330" operator="greaterThan">
      <formula>0</formula>
    </cfRule>
    <cfRule type="cellIs" dxfId="66" priority="329" operator="lessThan">
      <formula>0</formula>
    </cfRule>
  </conditionalFormatting>
  <conditionalFormatting sqref="N136:O136">
    <cfRule type="cellIs" dxfId="65" priority="355" operator="greaterThan">
      <formula>0</formula>
    </cfRule>
    <cfRule type="cellIs" dxfId="64" priority="356" operator="lessThan">
      <formula>0</formula>
    </cfRule>
  </conditionalFormatting>
  <conditionalFormatting sqref="N138:O138">
    <cfRule type="cellIs" dxfId="63" priority="368" operator="lessThan">
      <formula>0</formula>
    </cfRule>
    <cfRule type="cellIs" dxfId="62" priority="369" operator="greaterThan">
      <formula>0</formula>
    </cfRule>
  </conditionalFormatting>
  <conditionalFormatting sqref="N139:O141">
    <cfRule type="cellIs" dxfId="61" priority="381" operator="greaterThan">
      <formula>0</formula>
    </cfRule>
    <cfRule type="cellIs" dxfId="60" priority="382" operator="lessThan">
      <formula>0</formula>
    </cfRule>
  </conditionalFormatting>
  <conditionalFormatting sqref="N10:P10">
    <cfRule type="cellIs" dxfId="59" priority="17" operator="lessThan">
      <formula>0</formula>
    </cfRule>
    <cfRule type="cellIs" dxfId="58" priority="16" operator="greaterThan">
      <formula>0</formula>
    </cfRule>
  </conditionalFormatting>
  <conditionalFormatting sqref="N16:P16">
    <cfRule type="cellIs" dxfId="57" priority="47" operator="greaterThan">
      <formula>0</formula>
    </cfRule>
    <cfRule type="cellIs" dxfId="56" priority="46" operator="lessThan">
      <formula>0</formula>
    </cfRule>
  </conditionalFormatting>
  <conditionalFormatting sqref="P109">
    <cfRule type="iconSet" priority="73">
      <iconSet showValue="0">
        <cfvo type="percent" val="0"/>
        <cfvo type="num" val="2"/>
        <cfvo type="num" val="3"/>
      </iconSet>
    </cfRule>
  </conditionalFormatting>
  <conditionalFormatting sqref="P110">
    <cfRule type="iconSet" priority="86">
      <iconSet showValue="0">
        <cfvo type="percent" val="0"/>
        <cfvo type="num" val="2"/>
        <cfvo type="num" val="3"/>
      </iconSet>
    </cfRule>
  </conditionalFormatting>
  <conditionalFormatting sqref="P111">
    <cfRule type="iconSet" priority="99">
      <iconSet showValue="0">
        <cfvo type="percent" val="0"/>
        <cfvo type="num" val="2"/>
        <cfvo type="num" val="3"/>
      </iconSet>
    </cfRule>
  </conditionalFormatting>
  <conditionalFormatting sqref="P112">
    <cfRule type="iconSet" priority="112">
      <iconSet showValue="0">
        <cfvo type="percent" val="0"/>
        <cfvo type="num" val="2"/>
        <cfvo type="num" val="3"/>
      </iconSet>
    </cfRule>
  </conditionalFormatting>
  <conditionalFormatting sqref="P114">
    <cfRule type="iconSet" priority="125">
      <iconSet showValue="0">
        <cfvo type="percent" val="0"/>
        <cfvo type="num" val="2"/>
        <cfvo type="num" val="3"/>
      </iconSet>
    </cfRule>
  </conditionalFormatting>
  <conditionalFormatting sqref="P116">
    <cfRule type="iconSet" priority="138">
      <iconSet showValue="0">
        <cfvo type="percent" val="0"/>
        <cfvo type="num" val="2"/>
        <cfvo type="num" val="3"/>
      </iconSet>
    </cfRule>
  </conditionalFormatting>
  <conditionalFormatting sqref="P117">
    <cfRule type="iconSet" priority="151">
      <iconSet showValue="0">
        <cfvo type="percent" val="0"/>
        <cfvo type="num" val="2"/>
        <cfvo type="num" val="3"/>
      </iconSet>
    </cfRule>
  </conditionalFormatting>
  <conditionalFormatting sqref="P118">
    <cfRule type="iconSet" priority="164">
      <iconSet showValue="0">
        <cfvo type="percent" val="0"/>
        <cfvo type="num" val="2"/>
        <cfvo type="num" val="3"/>
      </iconSet>
    </cfRule>
  </conditionalFormatting>
  <conditionalFormatting sqref="P119">
    <cfRule type="iconSet" priority="177">
      <iconSet showValue="0">
        <cfvo type="percent" val="0"/>
        <cfvo type="num" val="2"/>
        <cfvo type="num" val="3"/>
      </iconSet>
    </cfRule>
  </conditionalFormatting>
  <conditionalFormatting sqref="P120">
    <cfRule type="iconSet" priority="190">
      <iconSet showValue="0">
        <cfvo type="percent" val="0"/>
        <cfvo type="num" val="2"/>
        <cfvo type="num" val="3"/>
      </iconSet>
    </cfRule>
  </conditionalFormatting>
  <conditionalFormatting sqref="P121">
    <cfRule type="iconSet" priority="203">
      <iconSet showValue="0">
        <cfvo type="percent" val="0"/>
        <cfvo type="num" val="2"/>
        <cfvo type="num" val="3"/>
      </iconSet>
    </cfRule>
  </conditionalFormatting>
  <conditionalFormatting sqref="P122">
    <cfRule type="iconSet" priority="216">
      <iconSet showValue="0">
        <cfvo type="percent" val="0"/>
        <cfvo type="num" val="2"/>
        <cfvo type="num" val="3"/>
      </iconSet>
    </cfRule>
  </conditionalFormatting>
  <conditionalFormatting sqref="P124">
    <cfRule type="iconSet" priority="229">
      <iconSet showValue="0">
        <cfvo type="percent" val="0"/>
        <cfvo type="num" val="2"/>
        <cfvo type="num" val="3"/>
      </iconSet>
    </cfRule>
  </conditionalFormatting>
  <conditionalFormatting sqref="P125">
    <cfRule type="iconSet" priority="242">
      <iconSet showValue="0">
        <cfvo type="percent" val="0"/>
        <cfvo type="num" val="2"/>
        <cfvo type="num" val="3"/>
      </iconSet>
    </cfRule>
  </conditionalFormatting>
  <conditionalFormatting sqref="P126">
    <cfRule type="iconSet" priority="255">
      <iconSet showValue="0">
        <cfvo type="percent" val="0"/>
        <cfvo type="num" val="2"/>
        <cfvo type="num" val="3"/>
      </iconSet>
    </cfRule>
  </conditionalFormatting>
  <conditionalFormatting sqref="P127">
    <cfRule type="iconSet" priority="268">
      <iconSet showValue="0">
        <cfvo type="percent" val="0"/>
        <cfvo type="num" val="2"/>
        <cfvo type="num" val="3"/>
      </iconSet>
    </cfRule>
  </conditionalFormatting>
  <conditionalFormatting sqref="P128">
    <cfRule type="iconSet" priority="281">
      <iconSet showValue="0">
        <cfvo type="percent" val="0"/>
        <cfvo type="num" val="2"/>
        <cfvo type="num" val="3"/>
      </iconSet>
    </cfRule>
  </conditionalFormatting>
  <conditionalFormatting sqref="P129">
    <cfRule type="iconSet" priority="294">
      <iconSet showValue="0">
        <cfvo type="percent" val="0"/>
        <cfvo type="num" val="2"/>
        <cfvo type="num" val="3"/>
      </iconSet>
    </cfRule>
  </conditionalFormatting>
  <conditionalFormatting sqref="P130">
    <cfRule type="iconSet" priority="307">
      <iconSet showValue="0">
        <cfvo type="percent" val="0"/>
        <cfvo type="num" val="2"/>
        <cfvo type="num" val="3"/>
      </iconSet>
    </cfRule>
  </conditionalFormatting>
  <conditionalFormatting sqref="P133">
    <cfRule type="iconSet" priority="320">
      <iconSet showValue="0">
        <cfvo type="percent" val="0"/>
        <cfvo type="num" val="2"/>
        <cfvo type="num" val="3"/>
      </iconSet>
    </cfRule>
  </conditionalFormatting>
  <conditionalFormatting sqref="P134">
    <cfRule type="iconSet" priority="333">
      <iconSet showValue="0">
        <cfvo type="percent" val="0"/>
        <cfvo type="num" val="2"/>
        <cfvo type="num" val="3"/>
      </iconSet>
    </cfRule>
  </conditionalFormatting>
  <conditionalFormatting sqref="P135">
    <cfRule type="iconSet" priority="346">
      <iconSet showValue="0">
        <cfvo type="percent" val="0"/>
        <cfvo type="num" val="2"/>
        <cfvo type="num" val="3"/>
      </iconSet>
    </cfRule>
  </conditionalFormatting>
  <conditionalFormatting sqref="P136">
    <cfRule type="iconSet" priority="359">
      <iconSet showValue="0">
        <cfvo type="percent" val="0"/>
        <cfvo type="num" val="2"/>
        <cfvo type="num" val="3"/>
      </iconSet>
    </cfRule>
  </conditionalFormatting>
  <conditionalFormatting sqref="P138">
    <cfRule type="iconSet" priority="372">
      <iconSet showValue="0">
        <cfvo type="percent" val="0"/>
        <cfvo type="num" val="2"/>
        <cfvo type="num" val="3"/>
      </iconSet>
    </cfRule>
  </conditionalFormatting>
  <conditionalFormatting sqref="P139">
    <cfRule type="iconSet" priority="385">
      <iconSet showValue="0">
        <cfvo type="percent" val="0"/>
        <cfvo type="num" val="2"/>
        <cfvo type="num" val="3"/>
      </iconSet>
    </cfRule>
  </conditionalFormatting>
  <conditionalFormatting sqref="P140">
    <cfRule type="iconSet" priority="398">
      <iconSet showValue="0">
        <cfvo type="percent" val="0"/>
        <cfvo type="num" val="2"/>
        <cfvo type="num" val="3"/>
      </iconSet>
    </cfRule>
  </conditionalFormatting>
  <conditionalFormatting sqref="P141">
    <cfRule type="iconSet" priority="411">
      <iconSet showValue="0">
        <cfvo type="percent" val="0"/>
        <cfvo type="num" val="2"/>
        <cfvo type="num" val="3"/>
      </iconSet>
    </cfRule>
  </conditionalFormatting>
  <conditionalFormatting sqref="P3:Q3">
    <cfRule type="expression" dxfId="55" priority="412">
      <formula>ChecksOK&lt;&gt;1</formula>
    </cfRule>
  </conditionalFormatting>
  <conditionalFormatting sqref="Q10">
    <cfRule type="cellIs" dxfId="54" priority="20" operator="equal">
      <formula>1</formula>
    </cfRule>
    <cfRule type="cellIs" dxfId="53" priority="19" operator="equal">
      <formula>2</formula>
    </cfRule>
    <cfRule type="cellIs" dxfId="52" priority="18" operator="equal">
      <formula>3</formula>
    </cfRule>
  </conditionalFormatting>
  <conditionalFormatting sqref="Q16">
    <cfRule type="cellIs" dxfId="51" priority="50" operator="equal">
      <formula>1</formula>
    </cfRule>
    <cfRule type="cellIs" dxfId="50" priority="49" operator="equal">
      <formula>2</formula>
    </cfRule>
    <cfRule type="cellIs" dxfId="49" priority="48" operator="equal">
      <formula>3</formula>
    </cfRule>
  </conditionalFormatting>
  <conditionalFormatting sqref="R10:T10">
    <cfRule type="cellIs" dxfId="48" priority="22" operator="lessThan">
      <formula>0</formula>
    </cfRule>
    <cfRule type="cellIs" dxfId="47" priority="21" operator="greaterThan">
      <formula>0</formula>
    </cfRule>
  </conditionalFormatting>
  <conditionalFormatting sqref="R16:T16">
    <cfRule type="cellIs" dxfId="46" priority="52" operator="greaterThan">
      <formula>0</formula>
    </cfRule>
    <cfRule type="cellIs" dxfId="45" priority="51" operator="lessThan">
      <formula>0</formula>
    </cfRule>
  </conditionalFormatting>
  <conditionalFormatting sqref="U10">
    <cfRule type="cellIs" dxfId="44" priority="25" operator="equal">
      <formula>1</formula>
    </cfRule>
    <cfRule type="cellIs" dxfId="43" priority="23" operator="equal">
      <formula>3</formula>
    </cfRule>
    <cfRule type="cellIs" dxfId="42" priority="24" operator="equal">
      <formula>2</formula>
    </cfRule>
  </conditionalFormatting>
  <conditionalFormatting sqref="U16">
    <cfRule type="cellIs" dxfId="41" priority="53" operator="equal">
      <formula>3</formula>
    </cfRule>
    <cfRule type="cellIs" dxfId="40" priority="54" operator="equal">
      <formula>2</formula>
    </cfRule>
    <cfRule type="cellIs" dxfId="39" priority="55" operator="equal">
      <formula>1</formula>
    </cfRule>
  </conditionalFormatting>
  <conditionalFormatting sqref="V10:X10">
    <cfRule type="cellIs" dxfId="38" priority="27" operator="lessThan">
      <formula>0</formula>
    </cfRule>
    <cfRule type="cellIs" dxfId="37" priority="26" operator="greaterThan">
      <formula>0</formula>
    </cfRule>
  </conditionalFormatting>
  <conditionalFormatting sqref="V16:X16">
    <cfRule type="cellIs" dxfId="36" priority="56" operator="lessThan">
      <formula>0</formula>
    </cfRule>
    <cfRule type="cellIs" dxfId="35" priority="57" operator="greaterThan">
      <formula>0</formula>
    </cfRule>
  </conditionalFormatting>
  <conditionalFormatting sqref="Y10">
    <cfRule type="cellIs" dxfId="34" priority="28" operator="equal">
      <formula>3</formula>
    </cfRule>
    <cfRule type="cellIs" dxfId="33" priority="30" operator="equal">
      <formula>1</formula>
    </cfRule>
    <cfRule type="cellIs" dxfId="32" priority="29" operator="equal">
      <formula>2</formula>
    </cfRule>
  </conditionalFormatting>
  <conditionalFormatting sqref="Y16">
    <cfRule type="cellIs" dxfId="31" priority="58" operator="equal">
      <formula>3</formula>
    </cfRule>
    <cfRule type="cellIs" dxfId="30" priority="59" operator="equal">
      <formula>2</formula>
    </cfRule>
    <cfRule type="cellIs" dxfId="29" priority="60" operator="equal">
      <formula>1</formula>
    </cfRule>
  </conditionalFormatting>
  <dataValidations count="2">
    <dataValidation type="list" allowBlank="1" showInputMessage="1" showErrorMessage="1" promptTitle="Fiscal year" prompt="Data must hold this year and the year before." sqref="S3" xr:uid="{00000000-0002-0000-0000-000000000000}">
      <formula1>"2025,2026,2027"</formula1>
    </dataValidation>
    <dataValidation type="list" allowBlank="1" showInputMessage="1" showErrorMessage="1" promptTitle="View" prompt="Month, year to date, or full-year outlook." sqref="W3" xr:uid="{00000000-0002-0000-0000-000002000000}">
      <formula1>"Month,YTD,Full Year"</formula1>
    </dataValidation>
  </dataValidations>
  <hyperlinks>
    <hyperlink ref="B4" location="Summary!A1" display="Summary" xr:uid="{00000000-0004-0000-0000-000000000000}"/>
    <hyperlink ref="D4" location="'P&amp;L'!A1" display="P&amp;L" xr:uid="{00000000-0004-0000-0000-000001000000}"/>
    <hyperlink ref="F4" location="Channel!A1" display="Channel" xr:uid="{00000000-0004-0000-0000-000002000000}"/>
    <hyperlink ref="H4" location="Brand!A1" display="Brand" xr:uid="{00000000-0004-0000-0000-000003000000}"/>
    <hyperlink ref="J4" location="Data!A1" display="Data" xr:uid="{00000000-0004-0000-0000-000004000000}"/>
    <hyperlink ref="L4" location="Guide!A1" display="Guide" xr:uid="{00000000-0004-0000-0000-000005000000}"/>
  </hyperlinks>
  <pageMargins left="0.3" right="0.3" top="0.4" bottom="0.4" header="0.3" footer="0.3"/>
  <pageSetup paperSize="9" fitToHeight="0" orientation="landscape"/>
  <rowBreaks count="2" manualBreakCount="2">
    <brk id="57" max="16383" man="1"/>
    <brk id="105" max="16383" man="1"/>
  </rowBreaks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Reporting month" prompt="Months after this use forecast." xr:uid="{00000000-0002-0000-0000-000001000000}">
          <x14:formula1>
            <xm:f>Calc!$D$4:$O$4</xm:f>
          </x14:formula1>
          <xm:sqref>U3</xm:sqref>
        </x14:dataValidation>
      </x14:dataValidations>
    </ext>
    <ext xmlns:x14="http://schemas.microsoft.com/office/spreadsheetml/2009/9/main" uri="{05C60535-1F16-4fd2-B633-F4F36F0B64E0}">
      <x14:sparklineGroups xmlns:xm="http://schemas.microsoft.com/office/excel/2006/main">
        <x14:sparklineGroup lineWeight="1.5" type="column" displayEmptyCellsAs="gap" last="1" xr2:uid="{00000000-0003-0000-0000-000026000000}">
          <x14:colorSeries rgb="FF12808A"/>
          <x14:colorNegative theme="5"/>
          <x14:colorAxis rgb="FF000000"/>
          <x14:colorMarkers theme="4" tint="-0.499984740745262"/>
          <x14:colorFirst theme="4" tint="0.39997558519241921"/>
          <x14:colorLast rgb="FF0F2A47"/>
          <x14:colorHigh theme="4"/>
          <x14:colorLow theme="4"/>
          <x14:sparklines>
            <x14:sparkline>
              <xm:f>Calc!D144:O144</xm:f>
              <xm:sqref>D7</xm:sqref>
            </x14:sparkline>
          </x14:sparklines>
        </x14:sparklineGroup>
        <x14:sparklineGroup lineWeight="1.5" displayEmptyCellsAs="gap" last="1" xr2:uid="{00000000-0003-0000-0000-000025000000}">
          <x14:colorSeries rgb="FF12808A"/>
          <x14:colorNegative theme="5"/>
          <x14:colorAxis rgb="FF000000"/>
          <x14:colorMarkers theme="4" tint="-0.499984740745262"/>
          <x14:colorFirst theme="4" tint="0.39997558519241921"/>
          <x14:colorLast rgb="FF0F2A47"/>
          <x14:colorHigh theme="4"/>
          <x14:colorLow theme="4"/>
          <x14:sparklines>
            <x14:sparkline>
              <xm:f>Calc!D200:O200</xm:f>
              <xm:sqref>H7</xm:sqref>
            </x14:sparkline>
          </x14:sparklines>
        </x14:sparklineGroup>
        <x14:sparklineGroup lineWeight="1.5" displayEmptyCellsAs="gap" last="1" xr2:uid="{00000000-0003-0000-0000-000024000000}">
          <x14:colorSeries rgb="FF12808A"/>
          <x14:colorNegative theme="5"/>
          <x14:colorAxis rgb="FF000000"/>
          <x14:colorMarkers theme="4" tint="-0.499984740745262"/>
          <x14:colorFirst theme="4" tint="0.39997558519241921"/>
          <x14:colorLast rgb="FF0F2A47"/>
          <x14:colorHigh theme="4"/>
          <x14:colorLow theme="4"/>
          <x14:sparklines>
            <x14:sparkline>
              <xm:f>Calc!D201:O201</xm:f>
              <xm:sqref>L7</xm:sqref>
            </x14:sparkline>
          </x14:sparklines>
        </x14:sparklineGroup>
        <x14:sparklineGroup lineWeight="1.5" type="column" displayEmptyCellsAs="gap" last="1" xr2:uid="{00000000-0003-0000-0000-000023000000}">
          <x14:colorSeries rgb="FF12808A"/>
          <x14:colorNegative theme="5"/>
          <x14:colorAxis rgb="FF000000"/>
          <x14:colorMarkers theme="4" tint="-0.499984740745262"/>
          <x14:colorFirst theme="4" tint="0.39997558519241921"/>
          <x14:colorLast rgb="FF0F2A47"/>
          <x14:colorHigh theme="4"/>
          <x14:colorLow theme="4"/>
          <x14:sparklines>
            <x14:sparkline>
              <xm:f>Calc!D151:O151</xm:f>
              <xm:sqref>P7</xm:sqref>
            </x14:sparkline>
          </x14:sparklines>
        </x14:sparklineGroup>
        <x14:sparklineGroup lineWeight="1.5" displayEmptyCellsAs="gap" last="1" xr2:uid="{00000000-0003-0000-0000-000022000000}">
          <x14:colorSeries rgb="FF12808A"/>
          <x14:colorNegative theme="5"/>
          <x14:colorAxis rgb="FF000000"/>
          <x14:colorMarkers theme="4" tint="-0.499984740745262"/>
          <x14:colorFirst theme="4" tint="0.39997558519241921"/>
          <x14:colorLast rgb="FF0F2A47"/>
          <x14:colorHigh theme="4"/>
          <x14:colorLow theme="4"/>
          <x14:sparklines>
            <x14:sparkline>
              <xm:f>Calc!D202:O202</xm:f>
              <xm:sqref>T7</xm:sqref>
            </x14:sparkline>
          </x14:sparklines>
        </x14:sparklineGroup>
        <x14:sparklineGroup lineWeight="1.5" type="column" displayEmptyCellsAs="gap" last="1" xr2:uid="{00000000-0003-0000-0000-000021000000}">
          <x14:colorSeries rgb="FF12808A"/>
          <x14:colorNegative theme="5"/>
          <x14:colorAxis rgb="FF000000"/>
          <x14:colorMarkers theme="4" tint="-0.499984740745262"/>
          <x14:colorFirst theme="4" tint="0.39997558519241921"/>
          <x14:colorLast rgb="FF0F2A47"/>
          <x14:colorHigh theme="4"/>
          <x14:colorLow theme="4"/>
          <x14:sparklines>
            <x14:sparkline>
              <xm:f>Calc!D154:O154</xm:f>
              <xm:sqref>X7</xm:sqref>
            </x14:sparkline>
          </x14:sparklines>
        </x14:sparklineGroup>
        <x14:sparklineGroup lineWeight="1.5" type="column" displayEmptyCellsAs="gap" last="1" xr2:uid="{00000000-0003-0000-0000-000020000000}">
          <x14:colorSeries rgb="FF12808A"/>
          <x14:colorNegative theme="5"/>
          <x14:colorAxis rgb="FF000000"/>
          <x14:colorMarkers theme="4" tint="-0.499984740745262"/>
          <x14:colorFirst theme="4" tint="0.39997558519241921"/>
          <x14:colorLast rgb="FF0F2A47"/>
          <x14:colorHigh theme="4"/>
          <x14:colorLow theme="4"/>
          <x14:sparklines>
            <x14:sparkline>
              <xm:f>Calc!D192:O192</xm:f>
              <xm:sqref>D13</xm:sqref>
            </x14:sparkline>
          </x14:sparklines>
        </x14:sparklineGroup>
        <x14:sparklineGroup lineWeight="1.5" displayEmptyCellsAs="gap" last="1" xr2:uid="{00000000-0003-0000-0000-00001F000000}">
          <x14:colorSeries rgb="FF12808A"/>
          <x14:colorNegative theme="5"/>
          <x14:colorAxis rgb="FF000000"/>
          <x14:colorMarkers theme="4" tint="-0.499984740745262"/>
          <x14:colorFirst theme="4" tint="0.39997558519241921"/>
          <x14:colorLast rgb="FF0F2A47"/>
          <x14:colorHigh theme="4"/>
          <x14:colorLow theme="4"/>
          <x14:sparklines>
            <x14:sparkline>
              <xm:f>Calc!D192:O192</xm:f>
              <xm:sqref>H13</xm:sqref>
            </x14:sparkline>
          </x14:sparklines>
        </x14:sparklineGroup>
        <x14:sparklineGroup lineWeight="1.5" displayEmptyCellsAs="gap" last="1" xr2:uid="{00000000-0003-0000-0000-00001E000000}">
          <x14:colorSeries rgb="FF12808A"/>
          <x14:colorNegative theme="5"/>
          <x14:colorAxis rgb="FF000000"/>
          <x14:colorMarkers theme="4" tint="-0.499984740745262"/>
          <x14:colorFirst theme="4" tint="0.39997558519241921"/>
          <x14:colorLast rgb="FF0F2A47"/>
          <x14:colorHigh theme="4"/>
          <x14:colorLow theme="4"/>
          <x14:sparklines>
            <x14:sparkline>
              <xm:f>Calc!D211:O211</xm:f>
              <xm:sqref>L13</xm:sqref>
            </x14:sparkline>
          </x14:sparklines>
        </x14:sparklineGroup>
        <x14:sparklineGroup lineWeight="1.5" displayEmptyCellsAs="gap" last="1" xr2:uid="{00000000-0003-0000-0000-00001D000000}">
          <x14:colorSeries rgb="FF12808A"/>
          <x14:colorNegative theme="5"/>
          <x14:colorAxis rgb="FF000000"/>
          <x14:colorMarkers theme="4" tint="-0.499984740745262"/>
          <x14:colorFirst theme="4" tint="0.39997558519241921"/>
          <x14:colorLast rgb="FF0F2A47"/>
          <x14:colorHigh theme="4"/>
          <x14:colorLow theme="4"/>
          <x14:sparklines>
            <x14:sparkline>
              <xm:f>Calc!D199:O199</xm:f>
              <xm:sqref>P13</xm:sqref>
            </x14:sparkline>
          </x14:sparklines>
        </x14:sparklineGroup>
        <x14:sparklineGroup lineWeight="1.5" displayEmptyCellsAs="gap" last="1" xr2:uid="{00000000-0003-0000-0000-00001C000000}">
          <x14:colorSeries rgb="FF12808A"/>
          <x14:colorNegative theme="5"/>
          <x14:colorAxis rgb="FF000000"/>
          <x14:colorMarkers theme="4" tint="-0.499984740745262"/>
          <x14:colorFirst theme="4" tint="0.39997558519241921"/>
          <x14:colorLast rgb="FF0F2A47"/>
          <x14:colorHigh theme="4"/>
          <x14:colorLow theme="4"/>
          <x14:sparklines>
            <x14:sparkline>
              <xm:f>Calc!D193:O193</xm:f>
              <xm:sqref>T13</xm:sqref>
            </x14:sparkline>
          </x14:sparklines>
        </x14:sparklineGroup>
        <x14:sparklineGroup lineWeight="1.5" displayEmptyCellsAs="gap" last="1" xr2:uid="{00000000-0003-0000-0000-00001B000000}">
          <x14:colorSeries rgb="FF12808A"/>
          <x14:colorNegative theme="5"/>
          <x14:colorAxis rgb="FF000000"/>
          <x14:colorMarkers theme="4" tint="-0.499984740745262"/>
          <x14:colorFirst theme="4" tint="0.39997558519241921"/>
          <x14:colorLast rgb="FF0F2A47"/>
          <x14:colorHigh theme="4"/>
          <x14:colorLow theme="4"/>
          <x14:sparklines>
            <x14:sparkline>
              <xm:f>Calc!D212:O212</xm:f>
              <xm:sqref>X13</xm:sqref>
            </x14:sparkline>
          </x14:sparklines>
        </x14:sparklineGroup>
        <x14:sparklineGroup lineWeight="1" displayEmptyCellsAs="gap" last="1" xr2:uid="{00000000-0003-0000-0000-00001A000000}">
          <x14:colorSeries rgb="FF0F2A47"/>
          <x14:colorNegative theme="5"/>
          <x14:colorAxis rgb="FF000000"/>
          <x14:colorMarkers theme="4" tint="-0.499984740745262"/>
          <x14:colorFirst theme="4" tint="0.39997558519241921"/>
          <x14:colorLast rgb="FF12808A"/>
          <x14:colorHigh theme="4"/>
          <x14:colorLow theme="4"/>
          <x14:sparklines>
            <x14:sparkline>
              <xm:f>Calc!D144:O144</xm:f>
              <xm:sqref>Q109</xm:sqref>
            </x14:sparkline>
          </x14:sparklines>
        </x14:sparklineGroup>
        <x14:sparklineGroup lineWeight="1" displayEmptyCellsAs="gap" last="1" xr2:uid="{00000000-0003-0000-0000-000019000000}">
          <x14:colorSeries rgb="FF0F2A47"/>
          <x14:colorNegative theme="5"/>
          <x14:colorAxis rgb="FF000000"/>
          <x14:colorMarkers theme="4" tint="-0.499984740745262"/>
          <x14:colorFirst theme="4" tint="0.39997558519241921"/>
          <x14:colorLast rgb="FF12808A"/>
          <x14:colorHigh theme="4"/>
          <x14:colorLow theme="4"/>
          <x14:sparklines>
            <x14:sparkline>
              <xm:f>Calc!D118:O118</xm:f>
              <xm:sqref>Q110</xm:sqref>
            </x14:sparkline>
          </x14:sparklines>
        </x14:sparklineGroup>
        <x14:sparklineGroup lineWeight="1" displayEmptyCellsAs="gap" last="1" xr2:uid="{00000000-0003-0000-0000-000018000000}">
          <x14:colorSeries rgb="FF0F2A47"/>
          <x14:colorNegative theme="5"/>
          <x14:colorAxis rgb="FF000000"/>
          <x14:colorMarkers theme="4" tint="-0.499984740745262"/>
          <x14:colorFirst theme="4" tint="0.39997558519241921"/>
          <x14:colorLast rgb="FF12808A"/>
          <x14:colorHigh theme="4"/>
          <x14:colorLow theme="4"/>
          <x14:sparklines>
            <x14:sparkline>
              <xm:f>Calc!D210:O210</xm:f>
              <xm:sqref>Q111</xm:sqref>
            </x14:sparkline>
          </x14:sparklines>
        </x14:sparklineGroup>
        <x14:sparklineGroup lineWeight="1" displayEmptyCellsAs="gap" last="1" xr2:uid="{00000000-0003-0000-0000-000017000000}">
          <x14:colorSeries rgb="FF0F2A47"/>
          <x14:colorNegative theme="5"/>
          <x14:colorAxis rgb="FF000000"/>
          <x14:colorMarkers theme="4" tint="-0.499984740745262"/>
          <x14:colorFirst theme="4" tint="0.39997558519241921"/>
          <x14:colorLast rgb="FF12808A"/>
          <x14:colorHigh theme="4"/>
          <x14:colorLow theme="4"/>
          <x14:sparklines>
            <x14:sparkline>
              <xm:f>Calc!D209:O209</xm:f>
              <xm:sqref>Q112</xm:sqref>
            </x14:sparkline>
          </x14:sparklines>
        </x14:sparklineGroup>
        <x14:sparklineGroup lineWeight="1" displayEmptyCellsAs="gap" last="1" xr2:uid="{00000000-0003-0000-0000-000016000000}">
          <x14:colorSeries rgb="FF0F2A47"/>
          <x14:colorNegative theme="5"/>
          <x14:colorAxis rgb="FF000000"/>
          <x14:colorMarkers theme="4" tint="-0.499984740745262"/>
          <x14:colorFirst theme="4" tint="0.39997558519241921"/>
          <x14:colorLast rgb="FF12808A"/>
          <x14:colorHigh theme="4"/>
          <x14:colorLow theme="4"/>
          <x14:sparklines>
            <x14:sparkline>
              <xm:f>Calc!D200:O200</xm:f>
              <xm:sqref>Q114</xm:sqref>
            </x14:sparkline>
          </x14:sparklines>
        </x14:sparklineGroup>
        <x14:sparklineGroup lineWeight="1" displayEmptyCellsAs="gap" last="1" xr2:uid="{00000000-0003-0000-0000-000015000000}">
          <x14:colorSeries rgb="FF0F2A47"/>
          <x14:colorNegative theme="5"/>
          <x14:colorAxis rgb="FF000000"/>
          <x14:colorMarkers theme="4" tint="-0.499984740745262"/>
          <x14:colorFirst theme="4" tint="0.39997558519241921"/>
          <x14:colorLast rgb="FF12808A"/>
          <x14:colorHigh theme="4"/>
          <x14:colorLow theme="4"/>
          <x14:sparklines>
            <x14:sparkline>
              <xm:f>Calc!D205:O205</xm:f>
              <xm:sqref>Q115</xm:sqref>
            </x14:sparkline>
          </x14:sparklines>
        </x14:sparklineGroup>
        <x14:sparklineGroup lineWeight="1" displayEmptyCellsAs="gap" last="1" xr2:uid="{00000000-0003-0000-0000-000014000000}">
          <x14:colorSeries rgb="FF0F2A47"/>
          <x14:colorNegative theme="5"/>
          <x14:colorAxis rgb="FF000000"/>
          <x14:colorMarkers theme="4" tint="-0.499984740745262"/>
          <x14:colorFirst theme="4" tint="0.39997558519241921"/>
          <x14:colorLast rgb="FF12808A"/>
          <x14:colorHigh theme="4"/>
          <x14:colorLow theme="4"/>
          <x14:sparklines>
            <x14:sparkline>
              <xm:f>Calc!D206:O206</xm:f>
              <xm:sqref>Q116</xm:sqref>
            </x14:sparkline>
          </x14:sparklines>
        </x14:sparklineGroup>
        <x14:sparklineGroup lineWeight="1" displayEmptyCellsAs="gap" last="1" xr2:uid="{00000000-0003-0000-0000-000013000000}">
          <x14:colorSeries rgb="FF0F2A47"/>
          <x14:colorNegative theme="5"/>
          <x14:colorAxis rgb="FF000000"/>
          <x14:colorMarkers theme="4" tint="-0.499984740745262"/>
          <x14:colorFirst theme="4" tint="0.39997558519241921"/>
          <x14:colorLast rgb="FF12808A"/>
          <x14:colorHigh theme="4"/>
          <x14:colorLow theme="4"/>
          <x14:sparklines>
            <x14:sparkline>
              <xm:f>Calc!D201:O201</xm:f>
              <xm:sqref>Q117</xm:sqref>
            </x14:sparkline>
          </x14:sparklines>
        </x14:sparklineGroup>
        <x14:sparklineGroup lineWeight="1" displayEmptyCellsAs="gap" last="1" xr2:uid="{00000000-0003-0000-0000-000012000000}">
          <x14:colorSeries rgb="FF0F2A47"/>
          <x14:colorNegative theme="5"/>
          <x14:colorAxis rgb="FF000000"/>
          <x14:colorMarkers theme="4" tint="-0.499984740745262"/>
          <x14:colorFirst theme="4" tint="0.39997558519241921"/>
          <x14:colorLast rgb="FF12808A"/>
          <x14:colorHigh theme="4"/>
          <x14:colorLow theme="4"/>
          <x14:sparklines>
            <x14:sparkline>
              <xm:f>Calc!D207:O207</xm:f>
              <xm:sqref>Q118</xm:sqref>
            </x14:sparkline>
          </x14:sparklines>
        </x14:sparklineGroup>
        <x14:sparklineGroup lineWeight="1" displayEmptyCellsAs="gap" last="1" xr2:uid="{00000000-0003-0000-0000-000011000000}">
          <x14:colorSeries rgb="FF0F2A47"/>
          <x14:colorNegative theme="5"/>
          <x14:colorAxis rgb="FF000000"/>
          <x14:colorMarkers theme="4" tint="-0.499984740745262"/>
          <x14:colorFirst theme="4" tint="0.39997558519241921"/>
          <x14:colorLast rgb="FF12808A"/>
          <x14:colorHigh theme="4"/>
          <x14:colorLow theme="4"/>
          <x14:sparklines>
            <x14:sparkline>
              <xm:f>Calc!D151:O151</xm:f>
              <xm:sqref>Q119</xm:sqref>
            </x14:sparkline>
          </x14:sparklines>
        </x14:sparklineGroup>
        <x14:sparklineGroup lineWeight="1" displayEmptyCellsAs="gap" last="1" xr2:uid="{00000000-0003-0000-0000-000010000000}">
          <x14:colorSeries rgb="FF0F2A47"/>
          <x14:colorNegative theme="5"/>
          <x14:colorAxis rgb="FF000000"/>
          <x14:colorMarkers theme="4" tint="-0.499984740745262"/>
          <x14:colorFirst theme="4" tint="0.39997558519241921"/>
          <x14:colorLast rgb="FF12808A"/>
          <x14:colorHigh theme="4"/>
          <x14:colorLow theme="4"/>
          <x14:sparklines>
            <x14:sparkline>
              <xm:f>Calc!D202:O202</xm:f>
              <xm:sqref>Q120</xm:sqref>
            </x14:sparkline>
          </x14:sparklines>
        </x14:sparklineGroup>
        <x14:sparklineGroup lineWeight="1" displayEmptyCellsAs="gap" last="1" xr2:uid="{00000000-0003-0000-0000-00000F000000}">
          <x14:colorSeries rgb="FF0F2A47"/>
          <x14:colorNegative theme="5"/>
          <x14:colorAxis rgb="FF000000"/>
          <x14:colorMarkers theme="4" tint="-0.499984740745262"/>
          <x14:colorFirst theme="4" tint="0.39997558519241921"/>
          <x14:colorLast rgb="FF12808A"/>
          <x14:colorHigh theme="4"/>
          <x14:colorLow theme="4"/>
          <x14:sparklines>
            <x14:sparkline>
              <xm:f>Calc!D152:O152</xm:f>
              <xm:sqref>Q121</xm:sqref>
            </x14:sparkline>
          </x14:sparklines>
        </x14:sparklineGroup>
        <x14:sparklineGroup lineWeight="1" displayEmptyCellsAs="gap" last="1" xr2:uid="{00000000-0003-0000-0000-00000E000000}">
          <x14:colorSeries rgb="FF0F2A47"/>
          <x14:colorNegative theme="5"/>
          <x14:colorAxis rgb="FF000000"/>
          <x14:colorMarkers theme="4" tint="-0.499984740745262"/>
          <x14:colorFirst theme="4" tint="0.39997558519241921"/>
          <x14:colorLast rgb="FF12808A"/>
          <x14:colorHigh theme="4"/>
          <x14:colorLow theme="4"/>
          <x14:sparklines>
            <x14:sparkline>
              <xm:f>Calc!D154:O154</xm:f>
              <xm:sqref>Q122</xm:sqref>
            </x14:sparkline>
          </x14:sparklines>
        </x14:sparklineGroup>
        <x14:sparklineGroup lineWeight="1" displayEmptyCellsAs="gap" last="1" xr2:uid="{00000000-0003-0000-0000-00000D000000}">
          <x14:colorSeries rgb="FF0F2A47"/>
          <x14:colorNegative theme="5"/>
          <x14:colorAxis rgb="FF000000"/>
          <x14:colorMarkers theme="4" tint="-0.499984740745262"/>
          <x14:colorFirst theme="4" tint="0.39997558519241921"/>
          <x14:colorLast rgb="FF12808A"/>
          <x14:colorHigh theme="4"/>
          <x14:colorLow theme="4"/>
          <x14:sparklines>
            <x14:sparkline>
              <xm:f>Calc!D192:O192</xm:f>
              <xm:sqref>Q124</xm:sqref>
            </x14:sparkline>
          </x14:sparklines>
        </x14:sparklineGroup>
        <x14:sparklineGroup lineWeight="1" displayEmptyCellsAs="gap" last="1" xr2:uid="{00000000-0003-0000-0000-00000C000000}">
          <x14:colorSeries rgb="FF0F2A47"/>
          <x14:colorNegative theme="5"/>
          <x14:colorAxis rgb="FF000000"/>
          <x14:colorMarkers theme="4" tint="-0.499984740745262"/>
          <x14:colorFirst theme="4" tint="0.39997558519241921"/>
          <x14:colorLast rgb="FF12808A"/>
          <x14:colorHigh theme="4"/>
          <x14:colorLow theme="4"/>
          <x14:sparklines>
            <x14:sparkline>
              <xm:f>Calc!D192:O192</xm:f>
              <xm:sqref>Q125</xm:sqref>
            </x14:sparkline>
          </x14:sparklines>
        </x14:sparklineGroup>
        <x14:sparklineGroup lineWeight="1" displayEmptyCellsAs="gap" last="1" xr2:uid="{00000000-0003-0000-0000-00000B000000}">
          <x14:colorSeries rgb="FF0F2A47"/>
          <x14:colorNegative theme="5"/>
          <x14:colorAxis rgb="FF000000"/>
          <x14:colorMarkers theme="4" tint="-0.499984740745262"/>
          <x14:colorFirst theme="4" tint="0.39997558519241921"/>
          <x14:colorLast rgb="FF12808A"/>
          <x14:colorHigh theme="4"/>
          <x14:colorLow theme="4"/>
          <x14:sparklines>
            <x14:sparkline>
              <xm:f>Calc!D211:O211</xm:f>
              <xm:sqref>Q126</xm:sqref>
            </x14:sparkline>
          </x14:sparklines>
        </x14:sparklineGroup>
        <x14:sparklineGroup lineWeight="1" displayEmptyCellsAs="gap" last="1" xr2:uid="{00000000-0003-0000-0000-00000A000000}">
          <x14:colorSeries rgb="FF0F2A47"/>
          <x14:colorNegative theme="5"/>
          <x14:colorAxis rgb="FF000000"/>
          <x14:colorMarkers theme="4" tint="-0.499984740745262"/>
          <x14:colorFirst theme="4" tint="0.39997558519241921"/>
          <x14:colorLast rgb="FF12808A"/>
          <x14:colorHigh theme="4"/>
          <x14:colorLow theme="4"/>
          <x14:sparklines>
            <x14:sparkline>
              <xm:f>Calc!D196:O196</xm:f>
              <xm:sqref>Q127</xm:sqref>
            </x14:sparkline>
          </x14:sparklines>
        </x14:sparklineGroup>
        <x14:sparklineGroup lineWeight="1" displayEmptyCellsAs="gap" last="1" xr2:uid="{00000000-0003-0000-0000-000009000000}">
          <x14:colorSeries rgb="FF0F2A47"/>
          <x14:colorNegative theme="5"/>
          <x14:colorAxis rgb="FF000000"/>
          <x14:colorMarkers theme="4" tint="-0.499984740745262"/>
          <x14:colorFirst theme="4" tint="0.39997558519241921"/>
          <x14:colorLast rgb="FF12808A"/>
          <x14:colorHigh theme="4"/>
          <x14:colorLow theme="4"/>
          <x14:sparklines>
            <x14:sparkline>
              <xm:f>Calc!D197:O197</xm:f>
              <xm:sqref>Q128</xm:sqref>
            </x14:sparkline>
          </x14:sparklines>
        </x14:sparklineGroup>
        <x14:sparklineGroup lineWeight="1" displayEmptyCellsAs="gap" last="1" xr2:uid="{00000000-0003-0000-0000-000008000000}">
          <x14:colorSeries rgb="FF0F2A47"/>
          <x14:colorNegative theme="5"/>
          <x14:colorAxis rgb="FF000000"/>
          <x14:colorMarkers theme="4" tint="-0.499984740745262"/>
          <x14:colorFirst theme="4" tint="0.39997558519241921"/>
          <x14:colorLast rgb="FF12808A"/>
          <x14:colorHigh theme="4"/>
          <x14:colorLow theme="4"/>
          <x14:sparklines>
            <x14:sparkline>
              <xm:f>Calc!D198:O198</xm:f>
              <xm:sqref>Q129</xm:sqref>
            </x14:sparkline>
          </x14:sparklines>
        </x14:sparklineGroup>
        <x14:sparklineGroup lineWeight="1" displayEmptyCellsAs="gap" last="1" xr2:uid="{00000000-0003-0000-0000-000007000000}">
          <x14:colorSeries rgb="FF0F2A47"/>
          <x14:colorNegative theme="5"/>
          <x14:colorAxis rgb="FF000000"/>
          <x14:colorMarkers theme="4" tint="-0.499984740745262"/>
          <x14:colorFirst theme="4" tint="0.39997558519241921"/>
          <x14:colorLast rgb="FF12808A"/>
          <x14:colorHigh theme="4"/>
          <x14:colorLow theme="4"/>
          <x14:sparklines>
            <x14:sparkline>
              <xm:f>Calc!D199:O199</xm:f>
              <xm:sqref>Q130</xm:sqref>
            </x14:sparkline>
          </x14:sparklines>
        </x14:sparklineGroup>
        <x14:sparklineGroup lineWeight="1" displayEmptyCellsAs="gap" last="1" xr2:uid="{00000000-0003-0000-0000-000006000000}">
          <x14:colorSeries rgb="FF0F2A47"/>
          <x14:colorNegative theme="5"/>
          <x14:colorAxis rgb="FF000000"/>
          <x14:colorMarkers theme="4" tint="-0.499984740745262"/>
          <x14:colorFirst theme="4" tint="0.39997558519241921"/>
          <x14:colorLast rgb="FF12808A"/>
          <x14:colorHigh theme="4"/>
          <x14:colorLow theme="4"/>
          <x14:sparklines>
            <x14:sparkline>
              <xm:f>Calc!D208:O208</xm:f>
              <xm:sqref>Q131</xm:sqref>
            </x14:sparkline>
          </x14:sparklines>
        </x14:sparklineGroup>
        <x14:sparklineGroup lineWeight="1" displayEmptyCellsAs="gap" last="1" xr2:uid="{00000000-0003-0000-0000-000005000000}">
          <x14:colorSeries rgb="FF0F2A47"/>
          <x14:colorNegative theme="5"/>
          <x14:colorAxis rgb="FF000000"/>
          <x14:colorMarkers theme="4" tint="-0.499984740745262"/>
          <x14:colorFirst theme="4" tint="0.39997558519241921"/>
          <x14:colorLast rgb="FF12808A"/>
          <x14:colorHigh theme="4"/>
          <x14:colorLow theme="4"/>
          <x14:sparklines>
            <x14:sparkline>
              <xm:f>Calc!D140:O140</xm:f>
              <xm:sqref>Q133</xm:sqref>
            </x14:sparkline>
          </x14:sparklines>
        </x14:sparklineGroup>
        <x14:sparklineGroup lineWeight="1" displayEmptyCellsAs="gap" last="1" xr2:uid="{00000000-0003-0000-0000-000004000000}">
          <x14:colorSeries rgb="FF0F2A47"/>
          <x14:colorNegative theme="5"/>
          <x14:colorAxis rgb="FF000000"/>
          <x14:colorMarkers theme="4" tint="-0.499984740745262"/>
          <x14:colorFirst theme="4" tint="0.39997558519241921"/>
          <x14:colorLast rgb="FF12808A"/>
          <x14:colorHigh theme="4"/>
          <x14:colorLow theme="4"/>
          <x14:sparklines>
            <x14:sparkline>
              <xm:f>Calc!D193:O193</xm:f>
              <xm:sqref>Q134</xm:sqref>
            </x14:sparkline>
          </x14:sparklines>
        </x14:sparklineGroup>
        <x14:sparklineGroup lineWeight="1" displayEmptyCellsAs="gap" last="1" xr2:uid="{00000000-0003-0000-0000-000003000000}">
          <x14:colorSeries rgb="FF0F2A47"/>
          <x14:colorNegative theme="5"/>
          <x14:colorAxis rgb="FF000000"/>
          <x14:colorMarkers theme="4" tint="-0.499984740745262"/>
          <x14:colorFirst theme="4" tint="0.39997558519241921"/>
          <x14:colorLast rgb="FF12808A"/>
          <x14:colorHigh theme="4"/>
          <x14:colorLow theme="4"/>
          <x14:sparklines>
            <x14:sparkline>
              <xm:f>Calc!D212:O212</xm:f>
              <xm:sqref>Q135</xm:sqref>
            </x14:sparkline>
          </x14:sparklines>
        </x14:sparklineGroup>
        <x14:sparklineGroup lineWeight="1" displayEmptyCellsAs="gap" last="1" xr2:uid="{00000000-0003-0000-0000-000002000000}">
          <x14:colorSeries rgb="FF0F2A47"/>
          <x14:colorNegative theme="5"/>
          <x14:colorAxis rgb="FF000000"/>
          <x14:colorMarkers theme="4" tint="-0.499984740745262"/>
          <x14:colorFirst theme="4" tint="0.39997558519241921"/>
          <x14:colorLast rgb="FF12808A"/>
          <x14:colorHigh theme="4"/>
          <x14:colorLow theme="4"/>
          <x14:sparklines>
            <x14:sparkline>
              <xm:f>Calc!D151:O151</xm:f>
              <xm:sqref>Q136</xm:sqref>
            </x14:sparkline>
          </x14:sparklines>
        </x14:sparklineGroup>
        <x14:sparklineGroup lineWeight="1" displayEmptyCellsAs="gap" last="1" xr2:uid="{00000000-0003-0000-0000-000001000000}">
          <x14:colorSeries rgb="FF0F2A47"/>
          <x14:colorNegative theme="5"/>
          <x14:colorAxis rgb="FF000000"/>
          <x14:colorMarkers theme="4" tint="-0.499984740745262"/>
          <x14:colorFirst theme="4" tint="0.39997558519241921"/>
          <x14:colorLast rgb="FF12808A"/>
          <x14:colorHigh theme="4"/>
          <x14:colorLow theme="4"/>
          <x14:sparklines>
            <x14:sparkline>
              <xm:f>Calc!D142:O142</xm:f>
              <xm:sqref>Q138</xm:sqref>
            </x14:sparkline>
          </x14:sparklines>
        </x14:sparklineGroup>
        <x14:sparklineGroup lineWeight="1" displayEmptyCellsAs="gap" last="1" xr2:uid="{00000000-0003-0000-0000-000000000000}">
          <x14:colorSeries rgb="FF0F2A47"/>
          <x14:colorNegative theme="5"/>
          <x14:colorAxis rgb="FF000000"/>
          <x14:colorMarkers theme="4" tint="-0.499984740745262"/>
          <x14:colorFirst theme="4" tint="0.39997558519241921"/>
          <x14:colorLast rgb="FF12808A"/>
          <x14:colorHigh theme="4"/>
          <x14:colorLow theme="4"/>
          <x14:sparklines>
            <x14:sparkline>
              <xm:f>Calc!D213:O213</xm:f>
              <xm:sqref>Q139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F2A47"/>
    <pageSetUpPr fitToPage="1"/>
  </sheetPr>
  <dimension ref="A1:W51"/>
  <sheetViews>
    <sheetView showGridLines="0" zoomScale="90" zoomScaleNormal="90" workbookViewId="0">
      <pane xSplit="2" ySplit="6" topLeftCell="C47" activePane="bottomRight" state="frozen"/>
      <selection pane="topRight" activeCell="C1" sqref="C1"/>
      <selection pane="bottomLeft" activeCell="A7" sqref="A7"/>
      <selection pane="bottomRight"/>
    </sheetView>
  </sheetViews>
  <sheetFormatPr defaultColWidth="0" defaultRowHeight="15" x14ac:dyDescent="0.25"/>
  <cols>
    <col min="1" max="1" width="2" style="1" customWidth="1"/>
    <col min="2" max="2" width="30" style="1" customWidth="1"/>
    <col min="3" max="8" width="8.5703125" style="1" customWidth="1"/>
    <col min="9" max="9" width="1.140625" style="1" customWidth="1"/>
    <col min="10" max="15" width="8.5703125" style="1" customWidth="1"/>
    <col min="16" max="16" width="1.140625" style="1" customWidth="1"/>
    <col min="17" max="20" width="8.5703125" style="1" customWidth="1"/>
    <col min="21" max="21" width="1.140625" style="1" customWidth="1"/>
    <col min="22" max="22" width="60" style="1" customWidth="1"/>
    <col min="23" max="23" width="2" style="1" customWidth="1"/>
    <col min="24" max="24" width="0" hidden="1" customWidth="1"/>
  </cols>
  <sheetData>
    <row r="1" spans="1:23" s="2" customFormat="1" ht="4.5" customHeight="1" x14ac:dyDescent="0.25"/>
    <row r="2" spans="1:23" ht="21" customHeight="1" x14ac:dyDescent="0.25">
      <c r="A2" s="2"/>
      <c r="B2" s="82" t="str">
        <f>Company&amp;": P&amp;L, actual versus budget"</f>
        <v>Coskun Finance: P&amp;L, actual versus budget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2"/>
      <c r="Q2" s="2"/>
      <c r="R2" s="2"/>
      <c r="S2" s="2"/>
      <c r="T2" s="2"/>
      <c r="U2" s="2"/>
      <c r="V2" s="2"/>
      <c r="W2" s="2"/>
    </row>
    <row r="3" spans="1:23" ht="18" customHeight="1" x14ac:dyDescent="0.25">
      <c r="A3" s="2"/>
      <c r="B3" s="83" t="str">
        <f>selMonth&amp;" "&amp;selFY&amp;"  |  "&amp;UnitLbl&amp;"  |  positive variance = favourable, costs shown as negatives"</f>
        <v>Oct 2026  |  $m  |  positive variance = favourable, costs shown as negatives</v>
      </c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2"/>
      <c r="Q3" s="2"/>
      <c r="R3" s="2"/>
      <c r="S3" s="2"/>
      <c r="T3" s="2"/>
      <c r="U3" s="2"/>
      <c r="V3" s="2"/>
      <c r="W3" s="2"/>
    </row>
    <row r="4" spans="1:23" ht="16.5" customHeight="1" x14ac:dyDescent="0.25">
      <c r="B4" s="4" t="s">
        <v>326</v>
      </c>
      <c r="C4" s="3" t="s">
        <v>327</v>
      </c>
      <c r="D4" s="4" t="s">
        <v>3</v>
      </c>
      <c r="E4" s="4" t="s">
        <v>4</v>
      </c>
      <c r="F4" s="4" t="s">
        <v>328</v>
      </c>
      <c r="G4" s="4" t="s">
        <v>329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</row>
    <row r="5" spans="1:23" x14ac:dyDescent="0.25">
      <c r="B5" s="37" t="str">
        <f>UnitLbl</f>
        <v>$m</v>
      </c>
      <c r="C5" s="84" t="str">
        <f>"MONTH: "&amp;selMonth&amp;" "&amp;selFY</f>
        <v>MONTH: Oct 2026</v>
      </c>
      <c r="D5" s="84"/>
      <c r="E5" s="84"/>
      <c r="F5" s="84"/>
      <c r="G5" s="84"/>
      <c r="H5" s="84"/>
      <c r="J5" s="84" t="str">
        <f>"YEAR TO DATE: Jan to "&amp;selMonth</f>
        <v>YEAR TO DATE: Jan to Oct</v>
      </c>
      <c r="K5" s="84"/>
      <c r="L5" s="84"/>
      <c r="M5" s="84"/>
      <c r="N5" s="84"/>
      <c r="O5" s="84"/>
      <c r="Q5" s="84" t="str">
        <f>"FULL YEAR "&amp;selFY</f>
        <v>FULL YEAR 2026</v>
      </c>
      <c r="R5" s="84"/>
      <c r="S5" s="84"/>
      <c r="T5" s="84"/>
      <c r="V5" s="37" t="s">
        <v>385</v>
      </c>
    </row>
    <row r="6" spans="1:23" ht="22.5" customHeight="1" x14ac:dyDescent="0.25">
      <c r="B6" s="19" t="s">
        <v>386</v>
      </c>
      <c r="C6" s="20" t="s">
        <v>36</v>
      </c>
      <c r="D6" s="20" t="s">
        <v>50</v>
      </c>
      <c r="E6" s="20" t="s">
        <v>387</v>
      </c>
      <c r="F6" s="20" t="s">
        <v>388</v>
      </c>
      <c r="G6" s="20" t="s">
        <v>389</v>
      </c>
      <c r="H6" s="20" t="s">
        <v>336</v>
      </c>
      <c r="J6" s="20" t="s">
        <v>36</v>
      </c>
      <c r="K6" s="20" t="s">
        <v>50</v>
      </c>
      <c r="L6" s="20" t="s">
        <v>387</v>
      </c>
      <c r="M6" s="20" t="s">
        <v>388</v>
      </c>
      <c r="N6" s="20" t="s">
        <v>389</v>
      </c>
      <c r="O6" s="20" t="s">
        <v>336</v>
      </c>
      <c r="Q6" s="20" t="s">
        <v>390</v>
      </c>
      <c r="R6" s="20" t="s">
        <v>50</v>
      </c>
      <c r="S6" s="20" t="s">
        <v>387</v>
      </c>
      <c r="T6" s="20" t="s">
        <v>388</v>
      </c>
      <c r="V6" s="19" t="s">
        <v>391</v>
      </c>
    </row>
    <row r="7" spans="1:23" ht="22.5" customHeight="1" x14ac:dyDescent="0.25">
      <c r="B7" s="38" t="s">
        <v>149</v>
      </c>
      <c r="C7" s="39">
        <f>INDEX(Calc!$D$119:$O$119,mSel)</f>
        <v>61.573</v>
      </c>
      <c r="D7" s="39">
        <f>INDEX(Calc!$D$44:$O$44,mSel)</f>
        <v>61.737000000000002</v>
      </c>
      <c r="E7" s="40">
        <f t="shared" ref="E7:E30" si="0">C7-D7</f>
        <v>-0.16400000000000148</v>
      </c>
      <c r="F7" s="41">
        <f t="shared" ref="F7:F30" si="1">IFERROR(E7/ABS(D7),0)</f>
        <v>-2.6564296937007219E-3</v>
      </c>
      <c r="G7" s="40">
        <f>C7-INDEX(Calc!$D$69:$O$69,mSel)</f>
        <v>-0.19700000000000273</v>
      </c>
      <c r="H7" s="41">
        <f>IFERROR((C7-INDEX(Calc!$D$94:$O$94,mSel))/ABS(INDEX(Calc!$D$94:$O$94,mSel)),0)</f>
        <v>8.2640268668788402E-2</v>
      </c>
      <c r="J7" s="39">
        <f>SUM(INDEX(Calc!$D$119:$O$119,1):INDEX(Calc!$D$119:$O$119,mSel))</f>
        <v>504.21099999999996</v>
      </c>
      <c r="K7" s="39">
        <f>SUM(INDEX(Calc!$D$44:$O$44,1):INDEX(Calc!$D$44:$O$44,mSel))</f>
        <v>504.00099999999998</v>
      </c>
      <c r="L7" s="40">
        <f t="shared" ref="L7:L30" si="2">J7-K7</f>
        <v>0.20999999999997954</v>
      </c>
      <c r="M7" s="41">
        <f t="shared" ref="M7:M30" si="3">IFERROR(L7/ABS(K7),0)</f>
        <v>4.1666583994868969E-4</v>
      </c>
      <c r="N7" s="40">
        <f>J7-SUM(INDEX(Calc!$D$69:$O$69,1):INDEX(Calc!$D$69:$O$69,mSel))</f>
        <v>-0.19799999999997908</v>
      </c>
      <c r="O7" s="41">
        <f>IFERROR((J7-SUM(INDEX(Calc!$D$94:$O$94,1):INDEX(Calc!$D$94:$O$94,mSel)))/ABS(SUM(INDEX(Calc!$D$94:$O$94,1):INDEX(Calc!$D$94:$O$94,mSel))),0)</f>
        <v>8.808505954988527E-2</v>
      </c>
      <c r="Q7" s="39">
        <f>SUM(Calc!$D$119:$O$119)</f>
        <v>630.32899999999995</v>
      </c>
      <c r="R7" s="39">
        <f>SUM(Calc!$D$44:$O$44)</f>
        <v>629.99899999999991</v>
      </c>
      <c r="S7" s="40">
        <f t="shared" ref="S7:S30" si="4">Q7-R7</f>
        <v>0.33000000000004093</v>
      </c>
      <c r="T7" s="41">
        <f t="shared" ref="T7:T30" si="5">IFERROR(S7/ABS(R7),0)</f>
        <v>5.2381035525459721E-4</v>
      </c>
      <c r="V7" s="42" t="s">
        <v>392</v>
      </c>
    </row>
    <row r="8" spans="1:23" ht="22.5" customHeight="1" x14ac:dyDescent="0.25">
      <c r="B8" s="38" t="s">
        <v>363</v>
      </c>
      <c r="C8" s="39">
        <f>INDEX(Calc!$D$120:$O$120,mSel)</f>
        <v>-9.6159999999999997</v>
      </c>
      <c r="D8" s="39">
        <f>INDEX(Calc!$D$45:$O$45,mSel)</f>
        <v>-9.5449999999999999</v>
      </c>
      <c r="E8" s="40">
        <f t="shared" si="0"/>
        <v>-7.099999999999973E-2</v>
      </c>
      <c r="F8" s="41">
        <f t="shared" si="1"/>
        <v>-7.4384494499737802E-3</v>
      </c>
      <c r="G8" s="40">
        <f>C8-INDEX(Calc!$D$70:$O$70,mSel)</f>
        <v>3.0000000000001137E-3</v>
      </c>
      <c r="H8" s="41">
        <f>IFERROR((C8-INDEX(Calc!$D$95:$O$95,mSel))/ABS(INDEX(Calc!$D$95:$O$95,mSel)),0)</f>
        <v>-0.11697061215007547</v>
      </c>
      <c r="J8" s="39">
        <f>SUM(INDEX(Calc!$D$120:$O$120,1):INDEX(Calc!$D$120:$O$120,mSel))</f>
        <v>-78.726000000000013</v>
      </c>
      <c r="K8" s="39">
        <f>SUM(INDEX(Calc!$D$45:$O$45,1):INDEX(Calc!$D$45:$O$45,mSel))</f>
        <v>-77.914000000000001</v>
      </c>
      <c r="L8" s="40">
        <f t="shared" si="2"/>
        <v>-0.81200000000001182</v>
      </c>
      <c r="M8" s="41">
        <f t="shared" si="3"/>
        <v>-1.0421747054444796E-2</v>
      </c>
      <c r="N8" s="40">
        <f>J8-SUM(INDEX(Calc!$D$70:$O$70,1):INDEX(Calc!$D$70:$O$70,mSel))</f>
        <v>-0.17300000000001603</v>
      </c>
      <c r="O8" s="41">
        <f>IFERROR((J8-SUM(INDEX(Calc!$D$95:$O$95,1):INDEX(Calc!$D$95:$O$95,mSel)))/ABS(SUM(INDEX(Calc!$D$95:$O$95,1):INDEX(Calc!$D$95:$O$95,mSel))),0)</f>
        <v>-0.1225083411754643</v>
      </c>
      <c r="Q8" s="39">
        <f>SUM(Calc!$D$120:$O$120)</f>
        <v>-98.407000000000011</v>
      </c>
      <c r="R8" s="39">
        <f>SUM(Calc!$D$45:$O$45)</f>
        <v>-97.39200000000001</v>
      </c>
      <c r="S8" s="40">
        <f t="shared" si="4"/>
        <v>-1.0150000000000006</v>
      </c>
      <c r="T8" s="41">
        <f t="shared" si="5"/>
        <v>-1.0421800558567444E-2</v>
      </c>
      <c r="V8" s="42" t="s">
        <v>393</v>
      </c>
    </row>
    <row r="9" spans="1:23" x14ac:dyDescent="0.25">
      <c r="B9" s="38" t="s">
        <v>8</v>
      </c>
      <c r="C9" s="39">
        <f>INDEX(Calc!$D$121:$O$121,mSel)</f>
        <v>-1.212</v>
      </c>
      <c r="D9" s="39">
        <f>INDEX(Calc!$D$46:$O$46,mSel)</f>
        <v>-1.1879999999999999</v>
      </c>
      <c r="E9" s="40">
        <f t="shared" si="0"/>
        <v>-2.4000000000000021E-2</v>
      </c>
      <c r="F9" s="41">
        <f t="shared" si="1"/>
        <v>-2.0202020202020221E-2</v>
      </c>
      <c r="G9" s="40">
        <f>C9-INDEX(Calc!$D$71:$O$71,mSel)</f>
        <v>-2.9999999999998916E-3</v>
      </c>
      <c r="H9" s="41">
        <f>IFERROR((C9-INDEX(Calc!$D$96:$O$96,mSel))/ABS(INDEX(Calc!$D$96:$O$96,mSel)),0)</f>
        <v>-0.13059701492537304</v>
      </c>
      <c r="J9" s="39">
        <f>SUM(INDEX(Calc!$D$121:$O$121,1):INDEX(Calc!$D$121:$O$121,mSel))</f>
        <v>-9.9149999999999991</v>
      </c>
      <c r="K9" s="39">
        <f>SUM(INDEX(Calc!$D$46:$O$46,1):INDEX(Calc!$D$46:$O$46,mSel))</f>
        <v>-9.6650000000000009</v>
      </c>
      <c r="L9" s="40">
        <f t="shared" si="2"/>
        <v>-0.24999999999999822</v>
      </c>
      <c r="M9" s="41">
        <f t="shared" si="3"/>
        <v>-2.5866528711846686E-2</v>
      </c>
      <c r="N9" s="40">
        <f>J9-SUM(INDEX(Calc!$D$71:$O$71,1):INDEX(Calc!$D$71:$O$71,mSel))</f>
        <v>-6.6000000000000725E-2</v>
      </c>
      <c r="O9" s="41">
        <f>IFERROR((J9-SUM(INDEX(Calc!$D$96:$O$96,1):INDEX(Calc!$D$96:$O$96,mSel)))/ABS(SUM(INDEX(Calc!$D$96:$O$96,1):INDEX(Calc!$D$96:$O$96,mSel))),0)</f>
        <v>-0.13430957556343662</v>
      </c>
      <c r="Q9" s="39">
        <f>SUM(Calc!$D$121:$O$121)</f>
        <v>-12.390999999999998</v>
      </c>
      <c r="R9" s="39">
        <f>SUM(Calc!$D$46:$O$46)</f>
        <v>-12.081000000000001</v>
      </c>
      <c r="S9" s="40">
        <f t="shared" si="4"/>
        <v>-0.30999999999999694</v>
      </c>
      <c r="T9" s="41">
        <f t="shared" si="5"/>
        <v>-2.5660127472891061E-2</v>
      </c>
      <c r="V9" s="42"/>
    </row>
    <row r="10" spans="1:23" ht="22.5" customHeight="1" x14ac:dyDescent="0.25">
      <c r="B10" s="43" t="s">
        <v>146</v>
      </c>
      <c r="C10" s="44">
        <f>INDEX(Calc!$D$144:$O$144,mSel)</f>
        <v>50.744999999999997</v>
      </c>
      <c r="D10" s="44">
        <f>INDEX(Calc!$D$156:$O$156,mSel)</f>
        <v>51.003999999999998</v>
      </c>
      <c r="E10" s="45">
        <f t="shared" si="0"/>
        <v>-0.25900000000000034</v>
      </c>
      <c r="F10" s="46">
        <f t="shared" si="1"/>
        <v>-5.0780330954435012E-3</v>
      </c>
      <c r="G10" s="45">
        <f>C10-INDEX(Calc!$D$168:$O$168,mSel)</f>
        <v>-0.19700000000000273</v>
      </c>
      <c r="H10" s="46">
        <f>IFERROR((C10-INDEX(Calc!$D$180:$O$180,mSel))/ABS(INDEX(Calc!$D$180:$O$180,mSel)),0)</f>
        <v>7.5288184438040445E-2</v>
      </c>
      <c r="J10" s="44">
        <f>SUM(INDEX(Calc!$D$144:$O$144,1):INDEX(Calc!$D$144:$O$144,mSel))</f>
        <v>415.57</v>
      </c>
      <c r="K10" s="44">
        <f>SUM(INDEX(Calc!$D$156:$O$156,1):INDEX(Calc!$D$156:$O$156,mSel))</f>
        <v>416.42200000000008</v>
      </c>
      <c r="L10" s="45">
        <f t="shared" si="2"/>
        <v>-0.85200000000008913</v>
      </c>
      <c r="M10" s="46">
        <f t="shared" si="3"/>
        <v>-2.0460014120293572E-3</v>
      </c>
      <c r="N10" s="45">
        <f>J10-SUM(INDEX(Calc!$D$168:$O$168,1):INDEX(Calc!$D$168:$O$168,mSel))</f>
        <v>-0.43700000000001182</v>
      </c>
      <c r="O10" s="46">
        <f>IFERROR((J10-SUM(INDEX(Calc!$D$180:$O$180,1):INDEX(Calc!$D$180:$O$180,mSel)))/ABS(SUM(INDEX(Calc!$D$180:$O$180,1):INDEX(Calc!$D$180:$O$180,mSel))),0)</f>
        <v>8.0755647329903826E-2</v>
      </c>
      <c r="Q10" s="44">
        <f>SUM(Calc!$D$144:$O$144)</f>
        <v>519.53099999999995</v>
      </c>
      <c r="R10" s="44">
        <f>SUM(Calc!$D$156:$O$156)</f>
        <v>520.52600000000007</v>
      </c>
      <c r="S10" s="45">
        <f t="shared" si="4"/>
        <v>-0.99500000000011823</v>
      </c>
      <c r="T10" s="46">
        <f t="shared" si="5"/>
        <v>-1.9115279544155684E-3</v>
      </c>
      <c r="V10" s="42" t="s">
        <v>394</v>
      </c>
    </row>
    <row r="11" spans="1:23" ht="22.5" customHeight="1" x14ac:dyDescent="0.25">
      <c r="B11" s="38" t="s">
        <v>395</v>
      </c>
      <c r="C11" s="39">
        <f>INDEX(Calc!$D$122:$O$122,mSel)</f>
        <v>-15.920999999999999</v>
      </c>
      <c r="D11" s="39">
        <f>INDEX(Calc!$D$47:$O$47,mSel)</f>
        <v>-15.797000000000001</v>
      </c>
      <c r="E11" s="40">
        <f t="shared" si="0"/>
        <v>-0.12399999999999878</v>
      </c>
      <c r="F11" s="41">
        <f t="shared" si="1"/>
        <v>-7.8495916946254834E-3</v>
      </c>
      <c r="G11" s="40">
        <f>C11-INDEX(Calc!$D$72:$O$72,mSel)</f>
        <v>6.0000000000002274E-3</v>
      </c>
      <c r="H11" s="41">
        <f>IFERROR((C11-INDEX(Calc!$D$97:$O$97,mSel))/ABS(INDEX(Calc!$D$97:$O$97,mSel)),0)</f>
        <v>-0.11118090452261307</v>
      </c>
      <c r="J11" s="39">
        <f>SUM(INDEX(Calc!$D$122:$O$122,1):INDEX(Calc!$D$122:$O$122,mSel))</f>
        <v>-130.38900000000001</v>
      </c>
      <c r="K11" s="39">
        <f>SUM(INDEX(Calc!$D$47:$O$47,1):INDEX(Calc!$D$47:$O$47,mSel))</f>
        <v>-128.977</v>
      </c>
      <c r="L11" s="40">
        <f t="shared" si="2"/>
        <v>-1.4120000000000061</v>
      </c>
      <c r="M11" s="41">
        <f t="shared" si="3"/>
        <v>-1.094768834753488E-2</v>
      </c>
      <c r="N11" s="40">
        <f>J11-SUM(INDEX(Calc!$D$72:$O$72,1):INDEX(Calc!$D$72:$O$72,mSel))</f>
        <v>-0.32400000000001228</v>
      </c>
      <c r="O11" s="41">
        <f>IFERROR((J11-SUM(INDEX(Calc!$D$97:$O$97,1):INDEX(Calc!$D$97:$O$97,mSel)))/ABS(SUM(INDEX(Calc!$D$97:$O$97,1):INDEX(Calc!$D$97:$O$97,mSel))),0)</f>
        <v>-0.1164302043821871</v>
      </c>
      <c r="Q11" s="39">
        <f>SUM(Calc!$D$122:$O$122)</f>
        <v>-162.99100000000001</v>
      </c>
      <c r="R11" s="39">
        <f>SUM(Calc!$D$47:$O$47)</f>
        <v>-161.22699999999998</v>
      </c>
      <c r="S11" s="40">
        <f t="shared" si="4"/>
        <v>-1.7640000000000384</v>
      </c>
      <c r="T11" s="41">
        <f t="shared" si="5"/>
        <v>-1.0941095474083364E-2</v>
      </c>
      <c r="V11" s="42" t="s">
        <v>396</v>
      </c>
    </row>
    <row r="12" spans="1:23" x14ac:dyDescent="0.25">
      <c r="B12" s="38" t="s">
        <v>397</v>
      </c>
      <c r="C12" s="39">
        <f>INDEX(Calc!$D$123:$O$123,mSel)</f>
        <v>-3.919</v>
      </c>
      <c r="D12" s="39">
        <f>INDEX(Calc!$D$48:$O$48,mSel)</f>
        <v>-3.9470000000000001</v>
      </c>
      <c r="E12" s="40">
        <f t="shared" si="0"/>
        <v>2.8000000000000025E-2</v>
      </c>
      <c r="F12" s="41">
        <f t="shared" si="1"/>
        <v>7.0939954395743661E-3</v>
      </c>
      <c r="G12" s="40">
        <f>C12-INDEX(Calc!$D$73:$O$73,mSel)</f>
        <v>2.1999999999999797E-2</v>
      </c>
      <c r="H12" s="41">
        <f>IFERROR((C12-INDEX(Calc!$D$98:$O$98,mSel))/ABS(INDEX(Calc!$D$98:$O$98,mSel)),0)</f>
        <v>-7.7536431124553204E-2</v>
      </c>
      <c r="J12" s="39">
        <f>SUM(INDEX(Calc!$D$123:$O$123,1):INDEX(Calc!$D$123:$O$123,mSel))</f>
        <v>-32.117999999999995</v>
      </c>
      <c r="K12" s="39">
        <f>SUM(INDEX(Calc!$D$48:$O$48,1):INDEX(Calc!$D$48:$O$48,mSel))</f>
        <v>-32.244</v>
      </c>
      <c r="L12" s="40">
        <f t="shared" si="2"/>
        <v>0.12600000000000477</v>
      </c>
      <c r="M12" s="41">
        <f t="shared" si="3"/>
        <v>3.9077037588390023E-3</v>
      </c>
      <c r="N12" s="40">
        <f>J12-SUM(INDEX(Calc!$D$73:$O$73,1):INDEX(Calc!$D$73:$O$73,mSel))</f>
        <v>5.4000000000002046E-2</v>
      </c>
      <c r="O12" s="41">
        <f>IFERROR((J12-SUM(INDEX(Calc!$D$98:$O$98,1):INDEX(Calc!$D$98:$O$98,mSel)))/ABS(SUM(INDEX(Calc!$D$98:$O$98,1):INDEX(Calc!$D$98:$O$98,mSel))),0)</f>
        <v>-8.3530126172322902E-2</v>
      </c>
      <c r="Q12" s="39">
        <f>SUM(Calc!$D$123:$O$123)</f>
        <v>-40.153999999999996</v>
      </c>
      <c r="R12" s="39">
        <f>SUM(Calc!$D$48:$O$48)</f>
        <v>-40.305999999999997</v>
      </c>
      <c r="S12" s="40">
        <f t="shared" si="4"/>
        <v>0.15200000000000102</v>
      </c>
      <c r="T12" s="41">
        <f t="shared" si="5"/>
        <v>3.7711506971667007E-3</v>
      </c>
      <c r="V12" s="42"/>
    </row>
    <row r="13" spans="1:23" ht="22.5" customHeight="1" x14ac:dyDescent="0.25">
      <c r="B13" s="38" t="s">
        <v>398</v>
      </c>
      <c r="C13" s="39">
        <f>INDEX(Calc!$D$124:$O$124,mSel)</f>
        <v>-2.44</v>
      </c>
      <c r="D13" s="39">
        <f>INDEX(Calc!$D$49:$O$49,mSel)</f>
        <v>-2.1930000000000001</v>
      </c>
      <c r="E13" s="40">
        <f t="shared" si="0"/>
        <v>-0.24699999999999989</v>
      </c>
      <c r="F13" s="41">
        <f t="shared" si="1"/>
        <v>-0.11263109895120833</v>
      </c>
      <c r="G13" s="40">
        <f>C13-INDEX(Calc!$D$74:$O$74,mSel)</f>
        <v>-6.3000000000000167E-2</v>
      </c>
      <c r="H13" s="41">
        <f>IFERROR((C13-INDEX(Calc!$D$99:$O$99,mSel))/ABS(INDEX(Calc!$D$99:$O$99,mSel)),0)</f>
        <v>-0.27149557060969248</v>
      </c>
      <c r="J13" s="39">
        <f>SUM(INDEX(Calc!$D$124:$O$124,1):INDEX(Calc!$D$124:$O$124,mSel))</f>
        <v>-19.987000000000002</v>
      </c>
      <c r="K13" s="39">
        <f>SUM(INDEX(Calc!$D$49:$O$49,1):INDEX(Calc!$D$49:$O$49,mSel))</f>
        <v>-17.908999999999999</v>
      </c>
      <c r="L13" s="40">
        <f t="shared" si="2"/>
        <v>-2.078000000000003</v>
      </c>
      <c r="M13" s="41">
        <f t="shared" si="3"/>
        <v>-0.11603104584287247</v>
      </c>
      <c r="N13" s="40">
        <f>J13-SUM(INDEX(Calc!$D$74:$O$74,1):INDEX(Calc!$D$74:$O$74,mSel))</f>
        <v>-0.57200000000000628</v>
      </c>
      <c r="O13" s="41">
        <f>IFERROR((J13-SUM(INDEX(Calc!$D$99:$O$99,1):INDEX(Calc!$D$99:$O$99,mSel)))/ABS(SUM(INDEX(Calc!$D$99:$O$99,1):INDEX(Calc!$D$99:$O$99,mSel))),0)</f>
        <v>-0.27647209094392644</v>
      </c>
      <c r="Q13" s="39">
        <f>SUM(Calc!$D$124:$O$124)</f>
        <v>-24.970000000000002</v>
      </c>
      <c r="R13" s="39">
        <f>SUM(Calc!$D$49:$O$49)</f>
        <v>-22.385999999999996</v>
      </c>
      <c r="S13" s="40">
        <f t="shared" si="4"/>
        <v>-2.5840000000000067</v>
      </c>
      <c r="T13" s="41">
        <f t="shared" si="5"/>
        <v>-0.11542928616099381</v>
      </c>
      <c r="V13" s="42" t="s">
        <v>399</v>
      </c>
    </row>
    <row r="14" spans="1:23" x14ac:dyDescent="0.25">
      <c r="B14" s="43" t="s">
        <v>151</v>
      </c>
      <c r="C14" s="44">
        <f>INDEX(Calc!$D$146:$O$146,mSel)</f>
        <v>28.464999999999996</v>
      </c>
      <c r="D14" s="44">
        <f>INDEX(Calc!$D$158:$O$158,mSel)</f>
        <v>29.066999999999997</v>
      </c>
      <c r="E14" s="45">
        <f t="shared" si="0"/>
        <v>-0.60200000000000031</v>
      </c>
      <c r="F14" s="46">
        <f t="shared" si="1"/>
        <v>-2.0710771665462566E-2</v>
      </c>
      <c r="G14" s="45">
        <f>C14-INDEX(Calc!$D$170:$O$170,mSel)</f>
        <v>-0.23200000000000642</v>
      </c>
      <c r="H14" s="46">
        <f>IFERROR((C14-INDEX(Calc!$D$182:$O$182,mSel))/ABS(INDEX(Calc!$D$182:$O$182,mSel)),0)</f>
        <v>4.2368536692544451E-2</v>
      </c>
      <c r="J14" s="44">
        <f>SUM(INDEX(Calc!$D$146:$O$146,1):INDEX(Calc!$D$146:$O$146,mSel))</f>
        <v>233.07600000000002</v>
      </c>
      <c r="K14" s="44">
        <f>SUM(INDEX(Calc!$D$158:$O$158,1):INDEX(Calc!$D$158:$O$158,mSel))</f>
        <v>237.29200000000003</v>
      </c>
      <c r="L14" s="45">
        <f t="shared" si="2"/>
        <v>-4.2160000000000082</v>
      </c>
      <c r="M14" s="46">
        <f t="shared" si="3"/>
        <v>-1.7767139220875579E-2</v>
      </c>
      <c r="N14" s="45">
        <f>J14-SUM(INDEX(Calc!$D$170:$O$170,1):INDEX(Calc!$D$170:$O$170,mSel))</f>
        <v>-1.2789999999999964</v>
      </c>
      <c r="O14" s="46">
        <f>IFERROR((J14-SUM(INDEX(Calc!$D$182:$O$182,1):INDEX(Calc!$D$182:$O$182,mSel)))/ABS(SUM(INDEX(Calc!$D$182:$O$182,1):INDEX(Calc!$D$182:$O$182,mSel))),0)</f>
        <v>4.7876381914066457E-2</v>
      </c>
      <c r="Q14" s="44">
        <f>SUM(Calc!$D$146:$O$146)</f>
        <v>291.41600000000005</v>
      </c>
      <c r="R14" s="44">
        <f>SUM(Calc!$D$158:$O$158)</f>
        <v>296.60700000000003</v>
      </c>
      <c r="S14" s="45">
        <f t="shared" si="4"/>
        <v>-5.1909999999999741</v>
      </c>
      <c r="T14" s="46">
        <f t="shared" si="5"/>
        <v>-1.7501272727885632E-2</v>
      </c>
      <c r="V14" s="42"/>
    </row>
    <row r="15" spans="1:23" ht="22.5" customHeight="1" x14ac:dyDescent="0.25">
      <c r="B15" s="38" t="s">
        <v>12</v>
      </c>
      <c r="C15" s="39">
        <f>INDEX(Calc!$D$125:$O$125,mSel)</f>
        <v>-2.7450000000000001</v>
      </c>
      <c r="D15" s="39">
        <f>INDEX(Calc!$D$50:$O$50,mSel)</f>
        <v>-2.9529999999999998</v>
      </c>
      <c r="E15" s="40">
        <f t="shared" si="0"/>
        <v>0.20799999999999974</v>
      </c>
      <c r="F15" s="41">
        <f t="shared" si="1"/>
        <v>7.0436843887571876E-2</v>
      </c>
      <c r="G15" s="40">
        <f>C15-INDEX(Calc!$D$75:$O$75,mSel)</f>
        <v>5.7999999999999829E-2</v>
      </c>
      <c r="H15" s="41">
        <f>IFERROR((C15-INDEX(Calc!$D$100:$O$100,mSel))/ABS(INDEX(Calc!$D$100:$O$100,mSel)),0)</f>
        <v>7.0436843887571876E-2</v>
      </c>
      <c r="J15" s="39">
        <f>SUM(INDEX(Calc!$D$125:$O$125,1):INDEX(Calc!$D$125:$O$125,mSel))</f>
        <v>-22.417000000000002</v>
      </c>
      <c r="K15" s="39">
        <f>SUM(INDEX(Calc!$D$50:$O$50,1):INDEX(Calc!$D$50:$O$50,mSel))</f>
        <v>-24.112999999999996</v>
      </c>
      <c r="L15" s="40">
        <f t="shared" si="2"/>
        <v>1.6959999999999944</v>
      </c>
      <c r="M15" s="41">
        <f t="shared" si="3"/>
        <v>7.0335503670219165E-2</v>
      </c>
      <c r="N15" s="40">
        <f>J15-SUM(INDEX(Calc!$D$75:$O$75,1):INDEX(Calc!$D$75:$O$75,mSel))</f>
        <v>0.47499999999999787</v>
      </c>
      <c r="O15" s="41">
        <f>IFERROR((J15-SUM(INDEX(Calc!$D$100:$O$100,1):INDEX(Calc!$D$100:$O$100,mSel)))/ABS(SUM(INDEX(Calc!$D$100:$O$100,1):INDEX(Calc!$D$100:$O$100,mSel))),0)</f>
        <v>7.0335503670219165E-2</v>
      </c>
      <c r="Q15" s="39">
        <f>SUM(Calc!$D$125:$O$125)</f>
        <v>-28.033000000000001</v>
      </c>
      <c r="R15" s="39">
        <f>SUM(Calc!$D$50:$O$50)</f>
        <v>-30.141999999999996</v>
      </c>
      <c r="S15" s="40">
        <f t="shared" si="4"/>
        <v>2.1089999999999947</v>
      </c>
      <c r="T15" s="41">
        <f t="shared" si="5"/>
        <v>6.9968814279078861E-2</v>
      </c>
      <c r="V15" s="42" t="s">
        <v>400</v>
      </c>
    </row>
    <row r="16" spans="1:23" x14ac:dyDescent="0.25">
      <c r="B16" s="38" t="s">
        <v>13</v>
      </c>
      <c r="C16" s="39">
        <f>INDEX(Calc!$D$126:$O$126,mSel)</f>
        <v>-1.6240000000000001</v>
      </c>
      <c r="D16" s="39">
        <f>INDEX(Calc!$D$51:$O$51,mSel)</f>
        <v>-1.59</v>
      </c>
      <c r="E16" s="40">
        <f t="shared" si="0"/>
        <v>-3.400000000000003E-2</v>
      </c>
      <c r="F16" s="41">
        <f t="shared" si="1"/>
        <v>-2.1383647798742158E-2</v>
      </c>
      <c r="G16" s="40">
        <f>C16-INDEX(Calc!$D$76:$O$76,mSel)</f>
        <v>-1.1000000000000121E-2</v>
      </c>
      <c r="H16" s="41">
        <f>IFERROR((C16-INDEX(Calc!$D$101:$O$101,mSel))/ABS(INDEX(Calc!$D$101:$O$101,mSel)),0)</f>
        <v>-2.1383647798742158E-2</v>
      </c>
      <c r="J16" s="39">
        <f>SUM(INDEX(Calc!$D$126:$O$126,1):INDEX(Calc!$D$126:$O$126,mSel))</f>
        <v>-13.241999999999999</v>
      </c>
      <c r="K16" s="39">
        <f>SUM(INDEX(Calc!$D$51:$O$51,1):INDEX(Calc!$D$51:$O$51,mSel))</f>
        <v>-12.971999999999998</v>
      </c>
      <c r="L16" s="40">
        <f t="shared" si="2"/>
        <v>-0.27000000000000135</v>
      </c>
      <c r="M16" s="41">
        <f t="shared" si="3"/>
        <v>-2.0814061054579201E-2</v>
      </c>
      <c r="N16" s="40">
        <f>J16-SUM(INDEX(Calc!$D$76:$O$76,1):INDEX(Calc!$D$76:$O$76,mSel))</f>
        <v>-6.5999999999998948E-2</v>
      </c>
      <c r="O16" s="41">
        <f>IFERROR((J16-SUM(INDEX(Calc!$D$101:$O$101,1):INDEX(Calc!$D$101:$O$101,mSel)))/ABS(SUM(INDEX(Calc!$D$101:$O$101,1):INDEX(Calc!$D$101:$O$101,mSel))),0)</f>
        <v>-2.0814061054579201E-2</v>
      </c>
      <c r="Q16" s="39">
        <f>SUM(Calc!$D$126:$O$126)</f>
        <v>-16.550999999999998</v>
      </c>
      <c r="R16" s="39">
        <f>SUM(Calc!$D$51:$O$51)</f>
        <v>-16.218999999999998</v>
      </c>
      <c r="S16" s="40">
        <f t="shared" si="4"/>
        <v>-0.33200000000000074</v>
      </c>
      <c r="T16" s="41">
        <f t="shared" si="5"/>
        <v>-2.0469819347678699E-2</v>
      </c>
      <c r="V16" s="42"/>
    </row>
    <row r="17" spans="2:22" x14ac:dyDescent="0.25">
      <c r="B17" s="38" t="s">
        <v>401</v>
      </c>
      <c r="C17" s="39">
        <f>INDEX(Calc!$D$127:$O$127,mSel)</f>
        <v>-3.1389999999999998</v>
      </c>
      <c r="D17" s="39">
        <f>INDEX(Calc!$D$52:$O$52,mSel)</f>
        <v>-3.004</v>
      </c>
      <c r="E17" s="40">
        <f t="shared" si="0"/>
        <v>-0.13499999999999979</v>
      </c>
      <c r="F17" s="41">
        <f t="shared" si="1"/>
        <v>-4.4940079893475295E-2</v>
      </c>
      <c r="G17" s="40">
        <f>C17-INDEX(Calc!$D$77:$O$77,mSel)</f>
        <v>-3.0999999999999694E-2</v>
      </c>
      <c r="H17" s="41">
        <f>IFERROR((C17-INDEX(Calc!$D$102:$O$102,mSel))/ABS(INDEX(Calc!$D$102:$O$102,mSel)),0)</f>
        <v>-0.14436748086037182</v>
      </c>
      <c r="J17" s="39">
        <f>SUM(INDEX(Calc!$D$127:$O$127,1):INDEX(Calc!$D$127:$O$127,mSel))</f>
        <v>-25.693000000000001</v>
      </c>
      <c r="K17" s="39">
        <f>SUM(INDEX(Calc!$D$52:$O$52,1):INDEX(Calc!$D$52:$O$52,mSel))</f>
        <v>-24.534999999999997</v>
      </c>
      <c r="L17" s="40">
        <f t="shared" si="2"/>
        <v>-1.1580000000000048</v>
      </c>
      <c r="M17" s="41">
        <f t="shared" si="3"/>
        <v>-4.7197880578765235E-2</v>
      </c>
      <c r="N17" s="40">
        <f>J17-SUM(INDEX(Calc!$D$77:$O$77,1):INDEX(Calc!$D$77:$O$77,mSel))</f>
        <v>-0.30000000000000071</v>
      </c>
      <c r="O17" s="41">
        <f>IFERROR((J17-SUM(INDEX(Calc!$D$102:$O$102,1):INDEX(Calc!$D$102:$O$102,mSel)))/ABS(SUM(INDEX(Calc!$D$102:$O$102,1):INDEX(Calc!$D$102:$O$102,mSel))),0)</f>
        <v>-0.14767498994952433</v>
      </c>
      <c r="Q17" s="39">
        <f>SUM(Calc!$D$127:$O$127)</f>
        <v>-32.116</v>
      </c>
      <c r="R17" s="39">
        <f>SUM(Calc!$D$52:$O$52)</f>
        <v>-30.675999999999995</v>
      </c>
      <c r="S17" s="40">
        <f t="shared" si="4"/>
        <v>-1.4400000000000048</v>
      </c>
      <c r="T17" s="41">
        <f t="shared" si="5"/>
        <v>-4.6942234971965223E-2</v>
      </c>
      <c r="V17" s="42"/>
    </row>
    <row r="18" spans="2:22" x14ac:dyDescent="0.25">
      <c r="B18" s="38" t="s">
        <v>402</v>
      </c>
      <c r="C18" s="39">
        <f>INDEX(Calc!$D$128:$O$128,mSel)</f>
        <v>-1.603</v>
      </c>
      <c r="D18" s="39">
        <f>INDEX(Calc!$D$53:$O$53,mSel)</f>
        <v>-1.611</v>
      </c>
      <c r="E18" s="40">
        <f t="shared" si="0"/>
        <v>8.0000000000000071E-3</v>
      </c>
      <c r="F18" s="41">
        <f t="shared" si="1"/>
        <v>4.9658597144630707E-3</v>
      </c>
      <c r="G18" s="40">
        <f>C18-INDEX(Calc!$D$78:$O$78,mSel)</f>
        <v>7.0000000000001172E-3</v>
      </c>
      <c r="H18" s="41">
        <f>IFERROR((C18-INDEX(Calc!$D$103:$O$103,mSel))/ABS(INDEX(Calc!$D$103:$O$103,mSel)),0)</f>
        <v>-7.2958500669344034E-2</v>
      </c>
      <c r="J18" s="39">
        <f>SUM(INDEX(Calc!$D$128:$O$128,1):INDEX(Calc!$D$128:$O$128,mSel))</f>
        <v>-13.129</v>
      </c>
      <c r="K18" s="39">
        <f>SUM(INDEX(Calc!$D$53:$O$53,1):INDEX(Calc!$D$53:$O$53,mSel))</f>
        <v>-13.161000000000001</v>
      </c>
      <c r="L18" s="40">
        <f t="shared" si="2"/>
        <v>3.2000000000001805E-2</v>
      </c>
      <c r="M18" s="41">
        <f t="shared" si="3"/>
        <v>2.4314261834208497E-3</v>
      </c>
      <c r="N18" s="40">
        <f>J18-SUM(INDEX(Calc!$D$78:$O$78,1):INDEX(Calc!$D$78:$O$78,mSel))</f>
        <v>9.0000000000003411E-3</v>
      </c>
      <c r="O18" s="41">
        <f>IFERROR((J18-SUM(INDEX(Calc!$D$103:$O$103,1):INDEX(Calc!$D$103:$O$103,mSel)))/ABS(SUM(INDEX(Calc!$D$103:$O$103,1):INDEX(Calc!$D$103:$O$103,mSel))),0)</f>
        <v>-8.0754033585775584E-2</v>
      </c>
      <c r="Q18" s="39">
        <f>SUM(Calc!$D$128:$O$128)</f>
        <v>-16.411000000000001</v>
      </c>
      <c r="R18" s="39">
        <f>SUM(Calc!$D$53:$O$53)</f>
        <v>-16.450000000000003</v>
      </c>
      <c r="S18" s="40">
        <f t="shared" si="4"/>
        <v>3.9000000000001478E-2</v>
      </c>
      <c r="T18" s="41">
        <f t="shared" si="5"/>
        <v>2.3708206686930988E-3</v>
      </c>
      <c r="V18" s="42"/>
    </row>
    <row r="19" spans="2:22" x14ac:dyDescent="0.25">
      <c r="B19" s="43" t="s">
        <v>157</v>
      </c>
      <c r="C19" s="44">
        <f>INDEX(Calc!$D$149:$O$149,mSel)</f>
        <v>19.353999999999996</v>
      </c>
      <c r="D19" s="44">
        <f>INDEX(Calc!$D$161:$O$161,mSel)</f>
        <v>19.908999999999999</v>
      </c>
      <c r="E19" s="45">
        <f t="shared" si="0"/>
        <v>-0.55500000000000327</v>
      </c>
      <c r="F19" s="46">
        <f t="shared" si="1"/>
        <v>-2.7876839620272403E-2</v>
      </c>
      <c r="G19" s="45">
        <f>C19-INDEX(Calc!$D$173:$O$173,mSel)</f>
        <v>-0.20900000000000674</v>
      </c>
      <c r="H19" s="46">
        <f>IFERROR((C19-INDEX(Calc!$D$185:$O$185,mSel))/ABS(INDEX(Calc!$D$185:$O$185,mSel)),0)</f>
        <v>4.4581174438687629E-2</v>
      </c>
      <c r="J19" s="44">
        <f>SUM(INDEX(Calc!$D$149:$O$149,1):INDEX(Calc!$D$149:$O$149,mSel))</f>
        <v>158.595</v>
      </c>
      <c r="K19" s="44">
        <f>SUM(INDEX(Calc!$D$161:$O$161,1):INDEX(Calc!$D$161:$O$161,mSel))</f>
        <v>162.511</v>
      </c>
      <c r="L19" s="45">
        <f t="shared" si="2"/>
        <v>-3.9159999999999968</v>
      </c>
      <c r="M19" s="46">
        <f t="shared" si="3"/>
        <v>-2.4096830368405812E-2</v>
      </c>
      <c r="N19" s="45">
        <f>J19-SUM(INDEX(Calc!$D$173:$O$173,1):INDEX(Calc!$D$173:$O$173,mSel))</f>
        <v>-1.1609999999999729</v>
      </c>
      <c r="O19" s="46">
        <f>IFERROR((J19-SUM(INDEX(Calc!$D$185:$O$185,1):INDEX(Calc!$D$185:$O$185,mSel)))/ABS(SUM(INDEX(Calc!$D$185:$O$185,1):INDEX(Calc!$D$185:$O$185,mSel))),0)</f>
        <v>5.1642165151485286E-2</v>
      </c>
      <c r="Q19" s="44">
        <f>SUM(Calc!$D$149:$O$149)</f>
        <v>198.30500000000001</v>
      </c>
      <c r="R19" s="44">
        <f>SUM(Calc!$D$161:$O$161)</f>
        <v>203.12</v>
      </c>
      <c r="S19" s="45">
        <f t="shared" si="4"/>
        <v>-4.8149999999999977</v>
      </c>
      <c r="T19" s="46">
        <f t="shared" si="5"/>
        <v>-2.370519889720361E-2</v>
      </c>
      <c r="V19" s="42"/>
    </row>
    <row r="20" spans="2:22" ht="22.5" customHeight="1" x14ac:dyDescent="0.25">
      <c r="B20" s="38" t="s">
        <v>16</v>
      </c>
      <c r="C20" s="39">
        <f>INDEX(Calc!$D$129:$O$129,mSel)</f>
        <v>-4.3899999999999997</v>
      </c>
      <c r="D20" s="39">
        <f>INDEX(Calc!$D$54:$O$54,mSel)</f>
        <v>-4.2990000000000004</v>
      </c>
      <c r="E20" s="40">
        <f t="shared" si="0"/>
        <v>-9.0999999999999304E-2</v>
      </c>
      <c r="F20" s="41">
        <f t="shared" si="1"/>
        <v>-2.1167713421725819E-2</v>
      </c>
      <c r="G20" s="40">
        <f>C20-INDEX(Calc!$D$79:$O$79,mSel)</f>
        <v>-1.7999999999999794E-2</v>
      </c>
      <c r="H20" s="41">
        <f>IFERROR((C20-INDEX(Calc!$D$104:$O$104,mSel))/ABS(INDEX(Calc!$D$104:$O$104,mSel)),0)</f>
        <v>-6.9167072576716948E-2</v>
      </c>
      <c r="J20" s="39">
        <f>SUM(INDEX(Calc!$D$129:$O$129,1):INDEX(Calc!$D$129:$O$129,mSel))</f>
        <v>-43.134999999999998</v>
      </c>
      <c r="K20" s="39">
        <f>SUM(INDEX(Calc!$D$54:$O$54,1):INDEX(Calc!$D$54:$O$54,mSel))</f>
        <v>-42.247</v>
      </c>
      <c r="L20" s="40">
        <f t="shared" si="2"/>
        <v>-0.88799999999999812</v>
      </c>
      <c r="M20" s="41">
        <f t="shared" si="3"/>
        <v>-2.1019243969985991E-2</v>
      </c>
      <c r="N20" s="40">
        <f>J20-SUM(INDEX(Calc!$D$79:$O$79,1):INDEX(Calc!$D$79:$O$79,mSel))</f>
        <v>-0.17800000000000438</v>
      </c>
      <c r="O20" s="41">
        <f>IFERROR((J20-SUM(INDEX(Calc!$D$104:$O$104,1):INDEX(Calc!$D$104:$O$104,mSel)))/ABS(SUM(INDEX(Calc!$D$104:$O$104,1):INDEX(Calc!$D$104:$O$104,mSel))),0)</f>
        <v>-6.9127051008774143E-2</v>
      </c>
      <c r="Q20" s="39">
        <f>SUM(Calc!$D$129:$O$129)</f>
        <v>-51.929000000000002</v>
      </c>
      <c r="R20" s="39">
        <f>SUM(Calc!$D$54:$O$54)</f>
        <v>-50.896000000000001</v>
      </c>
      <c r="S20" s="40">
        <f t="shared" si="4"/>
        <v>-1.0330000000000013</v>
      </c>
      <c r="T20" s="41">
        <f t="shared" si="5"/>
        <v>-2.0296290474693515E-2</v>
      </c>
      <c r="V20" s="42" t="s">
        <v>403</v>
      </c>
    </row>
    <row r="21" spans="2:22" x14ac:dyDescent="0.25">
      <c r="B21" s="38" t="s">
        <v>404</v>
      </c>
      <c r="C21" s="39">
        <f>INDEX(Calc!$D$130:$O$130,mSel)</f>
        <v>-1</v>
      </c>
      <c r="D21" s="39">
        <f>INDEX(Calc!$D$55:$O$55,mSel)</f>
        <v>-1.02</v>
      </c>
      <c r="E21" s="40">
        <f t="shared" si="0"/>
        <v>2.0000000000000018E-2</v>
      </c>
      <c r="F21" s="41">
        <f t="shared" si="1"/>
        <v>1.9607843137254919E-2</v>
      </c>
      <c r="G21" s="40">
        <f>C21-INDEX(Calc!$D$80:$O$80,mSel)</f>
        <v>4.0000000000000036E-3</v>
      </c>
      <c r="H21" s="41">
        <f>IFERROR((C21-INDEX(Calc!$D$105:$O$105,mSel))/ABS(INDEX(Calc!$D$105:$O$105,mSel)),0)</f>
        <v>-2.6694045174538012E-2</v>
      </c>
      <c r="J21" s="39">
        <f>SUM(INDEX(Calc!$D$130:$O$130,1):INDEX(Calc!$D$130:$O$130,mSel))</f>
        <v>-10</v>
      </c>
      <c r="K21" s="39">
        <f>SUM(INDEX(Calc!$D$55:$O$55,1):INDEX(Calc!$D$55:$O$55,mSel))</f>
        <v>-10.199999999999998</v>
      </c>
      <c r="L21" s="40">
        <f t="shared" si="2"/>
        <v>0.19999999999999751</v>
      </c>
      <c r="M21" s="41">
        <f t="shared" si="3"/>
        <v>1.9607843137254662E-2</v>
      </c>
      <c r="N21" s="40">
        <f>J21-SUM(INDEX(Calc!$D$80:$O$80,1):INDEX(Calc!$D$80:$O$80,mSel))</f>
        <v>3.9999999999997371E-2</v>
      </c>
      <c r="O21" s="41">
        <f>IFERROR((J21-SUM(INDEX(Calc!$D$105:$O$105,1):INDEX(Calc!$D$105:$O$105,mSel)))/ABS(SUM(INDEX(Calc!$D$105:$O$105,1):INDEX(Calc!$D$105:$O$105,mSel))),0)</f>
        <v>-2.6694045174537964E-2</v>
      </c>
      <c r="Q21" s="39">
        <f>SUM(Calc!$D$130:$O$130)</f>
        <v>-12.007999999999999</v>
      </c>
      <c r="R21" s="39">
        <f>SUM(Calc!$D$55:$O$55)</f>
        <v>-12.239999999999997</v>
      </c>
      <c r="S21" s="40">
        <f t="shared" si="4"/>
        <v>0.23199999999999754</v>
      </c>
      <c r="T21" s="41">
        <f t="shared" si="5"/>
        <v>1.8954248366012876E-2</v>
      </c>
      <c r="V21" s="42"/>
    </row>
    <row r="22" spans="2:22" x14ac:dyDescent="0.25">
      <c r="B22" s="38" t="s">
        <v>405</v>
      </c>
      <c r="C22" s="39">
        <f>INDEX(Calc!$D$131:$O$131,mSel)</f>
        <v>-1.28</v>
      </c>
      <c r="D22" s="39">
        <f>INDEX(Calc!$D$56:$O$56,mSel)</f>
        <v>-1.32</v>
      </c>
      <c r="E22" s="40">
        <f t="shared" si="0"/>
        <v>4.0000000000000036E-2</v>
      </c>
      <c r="F22" s="41">
        <f t="shared" si="1"/>
        <v>3.0303030303030328E-2</v>
      </c>
      <c r="G22" s="40">
        <f>C22-INDEX(Calc!$D$81:$O$81,mSel)</f>
        <v>8.0000000000000071E-3</v>
      </c>
      <c r="H22" s="41">
        <f>IFERROR((C22-INDEX(Calc!$D$106:$O$106,mSel))/ABS(INDEX(Calc!$D$106:$O$106,mSel)),0)</f>
        <v>-1.5067406819984242E-2</v>
      </c>
      <c r="J22" s="39">
        <f>SUM(INDEX(Calc!$D$131:$O$131,1):INDEX(Calc!$D$131:$O$131,mSel))</f>
        <v>-12.799999999999999</v>
      </c>
      <c r="K22" s="39">
        <f>SUM(INDEX(Calc!$D$56:$O$56,1):INDEX(Calc!$D$56:$O$56,mSel))</f>
        <v>-13.200000000000001</v>
      </c>
      <c r="L22" s="40">
        <f t="shared" si="2"/>
        <v>0.40000000000000213</v>
      </c>
      <c r="M22" s="41">
        <f t="shared" si="3"/>
        <v>3.0303030303030463E-2</v>
      </c>
      <c r="N22" s="40">
        <f>J22-SUM(INDEX(Calc!$D$81:$O$81,1):INDEX(Calc!$D$81:$O$81,mSel))</f>
        <v>8.0000000000001847E-2</v>
      </c>
      <c r="O22" s="41">
        <f>IFERROR((J22-SUM(INDEX(Calc!$D$106:$O$106,1):INDEX(Calc!$D$106:$O$106,mSel)))/ABS(SUM(INDEX(Calc!$D$106:$O$106,1):INDEX(Calc!$D$106:$O$106,mSel))),0)</f>
        <v>-1.5067406819984244E-2</v>
      </c>
      <c r="Q22" s="39">
        <f>SUM(Calc!$D$131:$O$131)</f>
        <v>-15.375999999999999</v>
      </c>
      <c r="R22" s="39">
        <f>SUM(Calc!$D$56:$O$56)</f>
        <v>-15.840000000000002</v>
      </c>
      <c r="S22" s="40">
        <f t="shared" si="4"/>
        <v>0.46400000000000219</v>
      </c>
      <c r="T22" s="41">
        <f t="shared" si="5"/>
        <v>2.929292929292943E-2</v>
      </c>
      <c r="V22" s="42"/>
    </row>
    <row r="23" spans="2:22" x14ac:dyDescent="0.25">
      <c r="B23" s="38" t="s">
        <v>406</v>
      </c>
      <c r="C23" s="39">
        <f>INDEX(Calc!$D$132:$O$132,mSel)</f>
        <v>-1.085</v>
      </c>
      <c r="D23" s="39">
        <f>INDEX(Calc!$D$57:$O$57,mSel)</f>
        <v>-1.1299999999999999</v>
      </c>
      <c r="E23" s="40">
        <f t="shared" si="0"/>
        <v>4.4999999999999929E-2</v>
      </c>
      <c r="F23" s="41">
        <f t="shared" si="1"/>
        <v>3.9823008849557466E-2</v>
      </c>
      <c r="G23" s="40">
        <f>C23-INDEX(Calc!$D$82:$O$82,mSel)</f>
        <v>9.000000000000119E-3</v>
      </c>
      <c r="H23" s="41">
        <f>IFERROR((C23-INDEX(Calc!$D$107:$O$107,mSel))/ABS(INDEX(Calc!$D$107:$O$107,mSel)),0)</f>
        <v>-5.5607043558850841E-3</v>
      </c>
      <c r="J23" s="39">
        <f>SUM(INDEX(Calc!$D$132:$O$132,1):INDEX(Calc!$D$132:$O$132,mSel))</f>
        <v>-10.850000000000001</v>
      </c>
      <c r="K23" s="39">
        <f>SUM(INDEX(Calc!$D$57:$O$57,1):INDEX(Calc!$D$57:$O$57,mSel))</f>
        <v>-11.299999999999997</v>
      </c>
      <c r="L23" s="40">
        <f t="shared" si="2"/>
        <v>0.44999999999999574</v>
      </c>
      <c r="M23" s="41">
        <f t="shared" si="3"/>
        <v>3.9823008849557154E-2</v>
      </c>
      <c r="N23" s="40">
        <f>J23-SUM(INDEX(Calc!$D$82:$O$82,1):INDEX(Calc!$D$82:$O$82,mSel))</f>
        <v>8.9999999999998082E-2</v>
      </c>
      <c r="O23" s="41">
        <f>IFERROR((J23-SUM(INDEX(Calc!$D$107:$O$107,1):INDEX(Calc!$D$107:$O$107,mSel)))/ABS(SUM(INDEX(Calc!$D$107:$O$107,1):INDEX(Calc!$D$107:$O$107,mSel))),0)</f>
        <v>-5.560704355885124E-3</v>
      </c>
      <c r="Q23" s="39">
        <f>SUM(Calc!$D$132:$O$132)</f>
        <v>-13.038</v>
      </c>
      <c r="R23" s="39">
        <f>SUM(Calc!$D$57:$O$57)</f>
        <v>-13.559999999999995</v>
      </c>
      <c r="S23" s="40">
        <f t="shared" si="4"/>
        <v>0.52199999999999491</v>
      </c>
      <c r="T23" s="41">
        <f t="shared" si="5"/>
        <v>3.8495575221238573E-2</v>
      </c>
      <c r="V23" s="42"/>
    </row>
    <row r="24" spans="2:22" ht="22.5" customHeight="1" x14ac:dyDescent="0.25">
      <c r="B24" s="43" t="s">
        <v>98</v>
      </c>
      <c r="C24" s="44">
        <f>INDEX(Calc!$D$151:$O$151,mSel)</f>
        <v>11.598999999999997</v>
      </c>
      <c r="D24" s="44">
        <f>INDEX(Calc!$D$163:$O$163,mSel)</f>
        <v>12.139999999999997</v>
      </c>
      <c r="E24" s="45">
        <f t="shared" si="0"/>
        <v>-0.54100000000000037</v>
      </c>
      <c r="F24" s="46">
        <f t="shared" si="1"/>
        <v>-4.4563426688632661E-2</v>
      </c>
      <c r="G24" s="45">
        <f>C24-INDEX(Calc!$D$175:$O$175,mSel)</f>
        <v>-0.20600000000000662</v>
      </c>
      <c r="H24" s="46">
        <f>IFERROR((C24-INDEX(Calc!$D$187:$O$187,mSel))/ABS(INDEX(Calc!$D$187:$O$187,mSel)),0)</f>
        <v>4.4202376665466815E-2</v>
      </c>
      <c r="J24" s="44">
        <f>SUM(INDEX(Calc!$D$151:$O$151,1):INDEX(Calc!$D$151:$O$151,mSel))</f>
        <v>81.81</v>
      </c>
      <c r="K24" s="44">
        <f>SUM(INDEX(Calc!$D$163:$O$163,1):INDEX(Calc!$D$163:$O$163,mSel))</f>
        <v>85.564000000000007</v>
      </c>
      <c r="L24" s="45">
        <f t="shared" si="2"/>
        <v>-3.7540000000000049</v>
      </c>
      <c r="M24" s="46">
        <f t="shared" si="3"/>
        <v>-4.3873591697442905E-2</v>
      </c>
      <c r="N24" s="45">
        <f>J24-SUM(INDEX(Calc!$D$175:$O$175,1):INDEX(Calc!$D$175:$O$175,mSel))</f>
        <v>-1.1289999999999907</v>
      </c>
      <c r="O24" s="46">
        <f>IFERROR((J24-SUM(INDEX(Calc!$D$187:$O$187,1):INDEX(Calc!$D$187:$O$187,mSel)))/ABS(SUM(INDEX(Calc!$D$187:$O$187,1):INDEX(Calc!$D$187:$O$187,mSel))),0)</f>
        <v>5.805667283144339E-2</v>
      </c>
      <c r="Q24" s="44">
        <f>SUM(Calc!$D$151:$O$151)</f>
        <v>105.95400000000001</v>
      </c>
      <c r="R24" s="44">
        <f>SUM(Calc!$D$163:$O$163)</f>
        <v>110.584</v>
      </c>
      <c r="S24" s="45">
        <f t="shared" si="4"/>
        <v>-4.6299999999999955</v>
      </c>
      <c r="T24" s="46">
        <f t="shared" si="5"/>
        <v>-4.1868624755841674E-2</v>
      </c>
      <c r="V24" s="42" t="s">
        <v>407</v>
      </c>
    </row>
    <row r="25" spans="2:22" x14ac:dyDescent="0.25">
      <c r="B25" s="38" t="s">
        <v>408</v>
      </c>
      <c r="C25" s="39">
        <f>INDEX(Calc!$D$133:$O$133,mSel)</f>
        <v>-1.48</v>
      </c>
      <c r="D25" s="39">
        <f>INDEX(Calc!$D$58:$O$58,mSel)</f>
        <v>-1.48</v>
      </c>
      <c r="E25" s="40">
        <f t="shared" si="0"/>
        <v>0</v>
      </c>
      <c r="F25" s="41">
        <f t="shared" si="1"/>
        <v>0</v>
      </c>
      <c r="G25" s="40">
        <f>C25-INDEX(Calc!$D$83:$O$83,mSel)</f>
        <v>0</v>
      </c>
      <c r="H25" s="41">
        <f>IFERROR((C25-INDEX(Calc!$D$108:$O$108,mSel))/ABS(INDEX(Calc!$D$108:$O$108,mSel)),0)</f>
        <v>-4.7416843595187504E-2</v>
      </c>
      <c r="J25" s="39">
        <f>SUM(INDEX(Calc!$D$133:$O$133,1):INDEX(Calc!$D$133:$O$133,mSel))</f>
        <v>-14.800000000000002</v>
      </c>
      <c r="K25" s="39">
        <f>SUM(INDEX(Calc!$D$58:$O$58,1):INDEX(Calc!$D$58:$O$58,mSel))</f>
        <v>-14.800000000000002</v>
      </c>
      <c r="L25" s="40">
        <f t="shared" si="2"/>
        <v>0</v>
      </c>
      <c r="M25" s="41">
        <f t="shared" si="3"/>
        <v>0</v>
      </c>
      <c r="N25" s="40">
        <f>J25-SUM(INDEX(Calc!$D$83:$O$83,1):INDEX(Calc!$D$83:$O$83,mSel))</f>
        <v>0</v>
      </c>
      <c r="O25" s="41">
        <f>IFERROR((J25-SUM(INDEX(Calc!$D$108:$O$108,1):INDEX(Calc!$D$108:$O$108,mSel)))/ABS(SUM(INDEX(Calc!$D$108:$O$108,1):INDEX(Calc!$D$108:$O$108,mSel))),0)</f>
        <v>-4.7416843595187663E-2</v>
      </c>
      <c r="Q25" s="39">
        <f>SUM(Calc!$D$133:$O$133)</f>
        <v>-17.760000000000002</v>
      </c>
      <c r="R25" s="39">
        <f>SUM(Calc!$D$58:$O$58)</f>
        <v>-17.760000000000002</v>
      </c>
      <c r="S25" s="40">
        <f t="shared" si="4"/>
        <v>0</v>
      </c>
      <c r="T25" s="41">
        <f t="shared" si="5"/>
        <v>0</v>
      </c>
      <c r="V25" s="42"/>
    </row>
    <row r="26" spans="2:22" x14ac:dyDescent="0.25">
      <c r="B26" s="43" t="s">
        <v>99</v>
      </c>
      <c r="C26" s="44">
        <f>INDEX(Calc!$D$152:$O$152,mSel)</f>
        <v>10.118999999999996</v>
      </c>
      <c r="D26" s="44">
        <f>INDEX(Calc!$D$164:$O$164,mSel)</f>
        <v>10.659999999999997</v>
      </c>
      <c r="E26" s="45">
        <f t="shared" si="0"/>
        <v>-0.54100000000000037</v>
      </c>
      <c r="F26" s="46">
        <f t="shared" si="1"/>
        <v>-5.0750469043152023E-2</v>
      </c>
      <c r="G26" s="45">
        <f>C26-INDEX(Calc!$D$176:$O$176,mSel)</f>
        <v>-0.20600000000000662</v>
      </c>
      <c r="H26" s="46">
        <f>IFERROR((C26-INDEX(Calc!$D$188:$O$188,mSel))/ABS(INDEX(Calc!$D$188:$O$188,mSel)),0)</f>
        <v>4.3733883445075318E-2</v>
      </c>
      <c r="J26" s="44">
        <f>SUM(INDEX(Calc!$D$152:$O$152,1):INDEX(Calc!$D$152:$O$152,mSel))</f>
        <v>67.010000000000005</v>
      </c>
      <c r="K26" s="44">
        <f>SUM(INDEX(Calc!$D$164:$O$164,1):INDEX(Calc!$D$164:$O$164,mSel))</f>
        <v>70.76400000000001</v>
      </c>
      <c r="L26" s="45">
        <f t="shared" si="2"/>
        <v>-3.7540000000000049</v>
      </c>
      <c r="M26" s="46">
        <f t="shared" si="3"/>
        <v>-5.3049573229325707E-2</v>
      </c>
      <c r="N26" s="45">
        <f>J26-SUM(INDEX(Calc!$D$176:$O$176,1):INDEX(Calc!$D$176:$O$176,mSel))</f>
        <v>-1.1289999999999907</v>
      </c>
      <c r="O26" s="46">
        <f>IFERROR((J26-SUM(INDEX(Calc!$D$188:$O$188,1):INDEX(Calc!$D$188:$O$188,mSel)))/ABS(SUM(INDEX(Calc!$D$188:$O$188,1):INDEX(Calc!$D$188:$O$188,mSel))),0)</f>
        <v>6.0435821556867789E-2</v>
      </c>
      <c r="Q26" s="44">
        <f>SUM(Calc!$D$152:$O$152)</f>
        <v>88.194000000000003</v>
      </c>
      <c r="R26" s="44">
        <f>SUM(Calc!$D$164:$O$164)</f>
        <v>92.824000000000012</v>
      </c>
      <c r="S26" s="45">
        <f t="shared" si="4"/>
        <v>-4.6300000000000097</v>
      </c>
      <c r="T26" s="46">
        <f t="shared" si="5"/>
        <v>-4.9879341549599339E-2</v>
      </c>
      <c r="V26" s="42"/>
    </row>
    <row r="27" spans="2:22" x14ac:dyDescent="0.25">
      <c r="B27" s="38" t="s">
        <v>164</v>
      </c>
      <c r="C27" s="39">
        <f>INDEX(Calc!$D$134:$O$134,mSel)</f>
        <v>-0.68400000000000005</v>
      </c>
      <c r="D27" s="39">
        <f>INDEX(Calc!$D$59:$O$59,mSel)</f>
        <v>-0.68400000000000005</v>
      </c>
      <c r="E27" s="40">
        <f t="shared" si="0"/>
        <v>0</v>
      </c>
      <c r="F27" s="41">
        <f t="shared" si="1"/>
        <v>0</v>
      </c>
      <c r="G27" s="40">
        <f>C27-INDEX(Calc!$D$84:$O$84,mSel)</f>
        <v>0</v>
      </c>
      <c r="H27" s="41">
        <f>IFERROR((C27-INDEX(Calc!$D$109:$O$109,mSel))/ABS(INDEX(Calc!$D$109:$O$109,mSel)),0)</f>
        <v>5.2631578947368314E-2</v>
      </c>
      <c r="J27" s="39">
        <f>SUM(INDEX(Calc!$D$134:$O$134,1):INDEX(Calc!$D$134:$O$134,mSel))</f>
        <v>-7.0110000000000001</v>
      </c>
      <c r="K27" s="39">
        <f>SUM(INDEX(Calc!$D$59:$O$59,1):INDEX(Calc!$D$59:$O$59,mSel))</f>
        <v>-7.0110000000000001</v>
      </c>
      <c r="L27" s="40">
        <f t="shared" si="2"/>
        <v>0</v>
      </c>
      <c r="M27" s="41">
        <f t="shared" si="3"/>
        <v>0</v>
      </c>
      <c r="N27" s="40">
        <f>J27-SUM(INDEX(Calc!$D$84:$O$84,1):INDEX(Calc!$D$84:$O$84,mSel))</f>
        <v>0</v>
      </c>
      <c r="O27" s="41">
        <f>IFERROR((J27-SUM(INDEX(Calc!$D$109:$O$109,1):INDEX(Calc!$D$109:$O$109,mSel)))/ABS(SUM(INDEX(Calc!$D$109:$O$109,1):INDEX(Calc!$D$109:$O$109,mSel))),0)</f>
        <v>5.1028695181375171E-2</v>
      </c>
      <c r="Q27" s="39">
        <f>SUM(Calc!$D$134:$O$134)</f>
        <v>-8.3789999999999996</v>
      </c>
      <c r="R27" s="39">
        <f>SUM(Calc!$D$59:$O$59)</f>
        <v>-8.3789999999999996</v>
      </c>
      <c r="S27" s="40">
        <f t="shared" si="4"/>
        <v>0</v>
      </c>
      <c r="T27" s="41">
        <f t="shared" si="5"/>
        <v>0</v>
      </c>
      <c r="V27" s="42"/>
    </row>
    <row r="28" spans="2:22" x14ac:dyDescent="0.25">
      <c r="B28" s="43" t="s">
        <v>409</v>
      </c>
      <c r="C28" s="44">
        <f>INDEX(Calc!$D$153:$O$153,mSel)</f>
        <v>9.4349999999999969</v>
      </c>
      <c r="D28" s="44">
        <f>INDEX(Calc!$D$165:$O$165,mSel)</f>
        <v>9.9759999999999973</v>
      </c>
      <c r="E28" s="45">
        <f t="shared" si="0"/>
        <v>-0.54100000000000037</v>
      </c>
      <c r="F28" s="46">
        <f t="shared" si="1"/>
        <v>-5.4230152365677679E-2</v>
      </c>
      <c r="G28" s="45">
        <f>C28-INDEX(Calc!$D$177:$O$177,mSel)</f>
        <v>-0.20600000000000662</v>
      </c>
      <c r="H28" s="46">
        <f>IFERROR((C28-INDEX(Calc!$D$189:$O$189,mSel))/ABS(INDEX(Calc!$D$189:$O$189,mSel)),0)</f>
        <v>5.148779672350446E-2</v>
      </c>
      <c r="J28" s="44">
        <f>SUM(INDEX(Calc!$D$153:$O$153,1):INDEX(Calc!$D$153:$O$153,mSel))</f>
        <v>59.998999999999995</v>
      </c>
      <c r="K28" s="44">
        <f>SUM(INDEX(Calc!$D$165:$O$165,1):INDEX(Calc!$D$165:$O$165,mSel))</f>
        <v>63.753000000000007</v>
      </c>
      <c r="L28" s="45">
        <f t="shared" si="2"/>
        <v>-3.754000000000012</v>
      </c>
      <c r="M28" s="46">
        <f t="shared" si="3"/>
        <v>-5.8883503521403098E-2</v>
      </c>
      <c r="N28" s="45">
        <f>J28-SUM(INDEX(Calc!$D$177:$O$177,1):INDEX(Calc!$D$177:$O$177,mSel))</f>
        <v>-1.129000000000012</v>
      </c>
      <c r="O28" s="46">
        <f>IFERROR((J28-SUM(INDEX(Calc!$D$189:$O$189,1):INDEX(Calc!$D$189:$O$189,mSel)))/ABS(SUM(INDEX(Calc!$D$189:$O$189,1):INDEX(Calc!$D$189:$O$189,mSel))),0)</f>
        <v>7.5193089977241875E-2</v>
      </c>
      <c r="Q28" s="44">
        <f>SUM(Calc!$D$153:$O$153)</f>
        <v>79.814999999999998</v>
      </c>
      <c r="R28" s="44">
        <f>SUM(Calc!$D$165:$O$165)</f>
        <v>84.445000000000007</v>
      </c>
      <c r="S28" s="45">
        <f t="shared" si="4"/>
        <v>-4.6300000000000097</v>
      </c>
      <c r="T28" s="46">
        <f t="shared" si="5"/>
        <v>-5.4828586654035283E-2</v>
      </c>
      <c r="V28" s="42"/>
    </row>
    <row r="29" spans="2:22" x14ac:dyDescent="0.25">
      <c r="B29" s="38" t="s">
        <v>22</v>
      </c>
      <c r="C29" s="39">
        <f>INDEX(Calc!$D$135:$O$135,mSel)</f>
        <v>-2.359</v>
      </c>
      <c r="D29" s="39">
        <f>INDEX(Calc!$D$60:$O$60,mSel)</f>
        <v>-2.4929999999999999</v>
      </c>
      <c r="E29" s="40">
        <f t="shared" si="0"/>
        <v>0.1339999999999999</v>
      </c>
      <c r="F29" s="41">
        <f t="shared" si="1"/>
        <v>5.3750501403930971E-2</v>
      </c>
      <c r="G29" s="40">
        <f>C29-INDEX(Calc!$D$85:$O$85,mSel)</f>
        <v>5.2000000000000046E-2</v>
      </c>
      <c r="H29" s="41">
        <f>IFERROR((C29-INDEX(Calc!$D$110:$O$110,mSel))/ABS(INDEX(Calc!$D$110:$O$110,mSel)),0)</f>
        <v>-5.1247771836007025E-2</v>
      </c>
      <c r="J29" s="39">
        <f>SUM(INDEX(Calc!$D$135:$O$135,1):INDEX(Calc!$D$135:$O$135,mSel))</f>
        <v>-15.004</v>
      </c>
      <c r="K29" s="39">
        <f>SUM(INDEX(Calc!$D$60:$O$60,1):INDEX(Calc!$D$60:$O$60,mSel))</f>
        <v>-15.936</v>
      </c>
      <c r="L29" s="40">
        <f t="shared" si="2"/>
        <v>0.93200000000000038</v>
      </c>
      <c r="M29" s="41">
        <f t="shared" si="3"/>
        <v>5.8483935742971914E-2</v>
      </c>
      <c r="N29" s="40">
        <f>J29-SUM(INDEX(Calc!$D$85:$O$85,1):INDEX(Calc!$D$85:$O$85,mSel))</f>
        <v>0.27999999999999936</v>
      </c>
      <c r="O29" s="41">
        <f>IFERROR((J29-SUM(INDEX(Calc!$D$110:$O$110,1):INDEX(Calc!$D$110:$O$110,mSel)))/ABS(SUM(INDEX(Calc!$D$110:$O$110,1):INDEX(Calc!$D$110:$O$110,mSel))),0)</f>
        <v>-7.5555555555555445E-2</v>
      </c>
      <c r="Q29" s="39">
        <f>SUM(Calc!$D$135:$O$135)</f>
        <v>-19.957999999999998</v>
      </c>
      <c r="R29" s="39">
        <f>SUM(Calc!$D$60:$O$60)</f>
        <v>-21.113</v>
      </c>
      <c r="S29" s="40">
        <f t="shared" si="4"/>
        <v>1.1550000000000011</v>
      </c>
      <c r="T29" s="41">
        <f t="shared" si="5"/>
        <v>5.4705631601383087E-2</v>
      </c>
      <c r="V29" s="42"/>
    </row>
    <row r="30" spans="2:22" x14ac:dyDescent="0.25">
      <c r="B30" s="43" t="s">
        <v>160</v>
      </c>
      <c r="C30" s="44">
        <f>INDEX(Calc!$D$154:$O$154,mSel)</f>
        <v>7.075999999999997</v>
      </c>
      <c r="D30" s="44">
        <f>INDEX(Calc!$D$166:$O$166,mSel)</f>
        <v>7.482999999999997</v>
      </c>
      <c r="E30" s="45">
        <f t="shared" si="0"/>
        <v>-0.40700000000000003</v>
      </c>
      <c r="F30" s="46">
        <f t="shared" si="1"/>
        <v>-5.4389950554590429E-2</v>
      </c>
      <c r="G30" s="45">
        <f>C30-INDEX(Calc!$D$178:$O$178,mSel)</f>
        <v>-0.15400000000000702</v>
      </c>
      <c r="H30" s="46">
        <f>IFERROR((C30-INDEX(Calc!$D$190:$O$190,mSel))/ABS(INDEX(Calc!$D$190:$O$190,mSel)),0)</f>
        <v>5.1567840689553467E-2</v>
      </c>
      <c r="J30" s="44">
        <f>SUM(INDEX(Calc!$D$154:$O$154,1):INDEX(Calc!$D$154:$O$154,mSel))</f>
        <v>44.995000000000005</v>
      </c>
      <c r="K30" s="44">
        <f>SUM(INDEX(Calc!$D$166:$O$166,1):INDEX(Calc!$D$166:$O$166,mSel))</f>
        <v>47.817000000000014</v>
      </c>
      <c r="L30" s="45">
        <f t="shared" si="2"/>
        <v>-2.8220000000000098</v>
      </c>
      <c r="M30" s="46">
        <f t="shared" si="3"/>
        <v>-5.9016667712320073E-2</v>
      </c>
      <c r="N30" s="45">
        <f>J30-SUM(INDEX(Calc!$D$178:$O$178,1):INDEX(Calc!$D$178:$O$178,mSel))</f>
        <v>-0.84899999999999665</v>
      </c>
      <c r="O30" s="46">
        <f>IFERROR((J30-SUM(INDEX(Calc!$D$190:$O$190,1):INDEX(Calc!$D$190:$O$190,mSel)))/ABS(SUM(INDEX(Calc!$D$190:$O$190,1):INDEX(Calc!$D$190:$O$190,mSel))),0)</f>
        <v>7.5072276778248473E-2</v>
      </c>
      <c r="Q30" s="44">
        <f>SUM(Calc!$D$154:$O$154)</f>
        <v>59.856999999999999</v>
      </c>
      <c r="R30" s="44">
        <f>SUM(Calc!$D$166:$O$166)</f>
        <v>63.332000000000015</v>
      </c>
      <c r="S30" s="45">
        <f t="shared" si="4"/>
        <v>-3.4750000000000156</v>
      </c>
      <c r="T30" s="46">
        <f t="shared" si="5"/>
        <v>-5.4869576201604479E-2</v>
      </c>
      <c r="V30" s="42"/>
    </row>
    <row r="31" spans="2:22" x14ac:dyDescent="0.25">
      <c r="B31" s="47" t="s">
        <v>364</v>
      </c>
      <c r="C31" s="48">
        <f>IFERROR(C14/C10,0)</f>
        <v>0.56094196472558866</v>
      </c>
      <c r="D31" s="48">
        <f>IFERROR(D14/D10,0)</f>
        <v>0.56989647870755233</v>
      </c>
      <c r="E31" s="49">
        <f>(C31-D31)*100</f>
        <v>-0.89545139819636743</v>
      </c>
      <c r="F31" s="48"/>
      <c r="G31" s="49">
        <f>(C31-IFERROR(INDEX(Calc!$D$170:$O$170,mSel)/INDEX(Calc!$D$168:$O$168,mSel),0))*100</f>
        <v>-0.23849560863151709</v>
      </c>
      <c r="H31" s="49">
        <f>(C31-IFERROR(INDEX(Calc!$D$182:$O$182,mSel)/INDEX(Calc!$D$180:$O$180,mSel),0))*100</f>
        <v>-1.7715434833658561</v>
      </c>
      <c r="J31" s="48">
        <f>IFERROR(J14/J10,0)</f>
        <v>0.56085857978198628</v>
      </c>
      <c r="K31" s="48">
        <f>IFERROR(K14/K10,0)</f>
        <v>0.56983540735119653</v>
      </c>
      <c r="L31" s="49">
        <f>(J31-K31)*100</f>
        <v>-0.8976827569210255</v>
      </c>
      <c r="M31" s="48"/>
      <c r="N31" s="49">
        <f>(J31-IFERROR(SUM(INDEX(Calc!$D$170:$O$170,1):INDEX(Calc!$D$170:$O$170,mSel))/SUM(INDEX(Calc!$D$168:$O$168,1):INDEX(Calc!$D$168:$O$168,mSel)),0))*100</f>
        <v>-0.24853062583929386</v>
      </c>
      <c r="O31" s="49">
        <f>(J31-IFERROR(SUM(INDEX(Calc!$D$182:$O$182,1):INDEX(Calc!$D$182:$O$182,mSel))/SUM(INDEX(Calc!$D$180:$O$180,1):INDEX(Calc!$D$180:$O$180,mSel)),0))*100</f>
        <v>-1.7598085445649225</v>
      </c>
      <c r="Q31" s="48">
        <f>IFERROR(Q14/Q10,0)</f>
        <v>0.56092129247340405</v>
      </c>
      <c r="R31" s="48">
        <f>IFERROR(R14/R10,0)</f>
        <v>0.56982168037715697</v>
      </c>
      <c r="S31" s="49">
        <f>(Q31-R31)*100</f>
        <v>-0.89003879037529154</v>
      </c>
      <c r="T31" s="48"/>
      <c r="V31" s="50"/>
    </row>
    <row r="32" spans="2:22" x14ac:dyDescent="0.25">
      <c r="B32" s="47" t="s">
        <v>193</v>
      </c>
      <c r="C32" s="48">
        <f>IFERROR(C19/C10,0)</f>
        <v>0.38139718198837319</v>
      </c>
      <c r="D32" s="48">
        <f>IFERROR(D19/D10,0)</f>
        <v>0.39034193396596345</v>
      </c>
      <c r="E32" s="49">
        <f>(C32-D32)*100</f>
        <v>-0.89447519775902595</v>
      </c>
      <c r="F32" s="48"/>
      <c r="G32" s="49">
        <f>(C32-IFERROR(INDEX(Calc!$D$173:$O$173,mSel)/INDEX(Calc!$D$168:$O$168,mSel),0))*100</f>
        <v>-0.26277875848670362</v>
      </c>
      <c r="H32" s="49">
        <f>(C32-IFERROR(INDEX(Calc!$D$185:$O$185,mSel)/INDEX(Calc!$D$180:$O$180,mSel),0))*100</f>
        <v>-1.1211734777180182</v>
      </c>
      <c r="J32" s="48">
        <f>IFERROR(J19/J10,0)</f>
        <v>0.38163245662583922</v>
      </c>
      <c r="K32" s="48">
        <f>IFERROR(K19/K10,0)</f>
        <v>0.39025555806369494</v>
      </c>
      <c r="L32" s="49">
        <f>(J32-K32)*100</f>
        <v>-0.8623101437855718</v>
      </c>
      <c r="M32" s="48"/>
      <c r="N32" s="49">
        <f>(J32-IFERROR(SUM(INDEX(Calc!$D$173:$O$173,1):INDEX(Calc!$D$173:$O$173,mSel))/SUM(INDEX(Calc!$D$168:$O$168,1):INDEX(Calc!$D$168:$O$168,mSel)),0))*100</f>
        <v>-0.23899276128874769</v>
      </c>
      <c r="O32" s="49">
        <f>(J32-IFERROR(SUM(INDEX(Calc!$D$185:$O$185,1):INDEX(Calc!$D$185:$O$185,mSel))/SUM(INDEX(Calc!$D$180:$O$180,1):INDEX(Calc!$D$180:$O$180,mSel)),0))*100</f>
        <v>-1.0565047782276793</v>
      </c>
      <c r="Q32" s="48">
        <f>IFERROR(Q19/Q10,0)</f>
        <v>0.38170003329926422</v>
      </c>
      <c r="R32" s="48">
        <f>IFERROR(R19/R10,0)</f>
        <v>0.39022066140788353</v>
      </c>
      <c r="S32" s="49">
        <f>(Q32-R32)*100</f>
        <v>-0.85206281086193103</v>
      </c>
      <c r="T32" s="48"/>
      <c r="V32" s="50"/>
    </row>
    <row r="33" spans="2:22" x14ac:dyDescent="0.25">
      <c r="B33" s="47" t="s">
        <v>410</v>
      </c>
      <c r="C33" s="48">
        <f>IFERROR(C24/C10,0)</f>
        <v>0.22857424376785884</v>
      </c>
      <c r="D33" s="48">
        <f>IFERROR(D24/D10,0)</f>
        <v>0.23802054740804637</v>
      </c>
      <c r="E33" s="49">
        <f>(C33-D33)*100</f>
        <v>-0.94463036401875311</v>
      </c>
      <c r="F33" s="48"/>
      <c r="G33" s="49">
        <f>(C33-IFERROR(INDEX(Calc!$D$175:$O$175,mSel)/INDEX(Calc!$D$168:$O$168,mSel),0))*100</f>
        <v>-0.3159885241602961</v>
      </c>
      <c r="H33" s="49">
        <f>(C33-IFERROR(INDEX(Calc!$D$187:$O$187,mSel)/INDEX(Calc!$D$180:$O$180,mSel),0))*100</f>
        <v>-0.6804634008035243</v>
      </c>
      <c r="J33" s="48">
        <f>IFERROR(J24/J10,0)</f>
        <v>0.19686214115552134</v>
      </c>
      <c r="K33" s="48">
        <f>IFERROR(K24/K10,0)</f>
        <v>0.20547425448223194</v>
      </c>
      <c r="L33" s="49">
        <f>(J33-K33)*100</f>
        <v>-0.86121133267106076</v>
      </c>
      <c r="M33" s="48"/>
      <c r="N33" s="49">
        <f>(J33-IFERROR(SUM(INDEX(Calc!$D$175:$O$175,1):INDEX(Calc!$D$175:$O$175,mSel))/SUM(INDEX(Calc!$D$168:$O$168,1):INDEX(Calc!$D$168:$O$168,mSel)),0))*100</f>
        <v>-0.25071002274361376</v>
      </c>
      <c r="O33" s="49">
        <f>(J33-IFERROR(SUM(INDEX(Calc!$D$187:$O$187,1):INDEX(Calc!$D$187:$O$187,mSel))/SUM(INDEX(Calc!$D$180:$O$180,1):INDEX(Calc!$D$180:$O$180,mSel)),0))*100</f>
        <v>-0.42233736968391999</v>
      </c>
      <c r="Q33" s="48">
        <f>IFERROR(Q24/Q10,0)</f>
        <v>0.20394163197191317</v>
      </c>
      <c r="R33" s="48">
        <f>IFERROR(R24/R10,0)</f>
        <v>0.21244664051363427</v>
      </c>
      <c r="S33" s="49">
        <f>(Q33-R33)*100</f>
        <v>-0.8505008541721093</v>
      </c>
      <c r="T33" s="48"/>
      <c r="V33" s="50"/>
    </row>
    <row r="34" spans="2:22" x14ac:dyDescent="0.25">
      <c r="B34" s="47" t="s">
        <v>411</v>
      </c>
      <c r="C34" s="48">
        <f>IFERROR(C26/C10,0)</f>
        <v>0.19940880874963043</v>
      </c>
      <c r="D34" s="48">
        <f>IFERROR(D26/D10,0)</f>
        <v>0.20900321543408354</v>
      </c>
      <c r="E34" s="49">
        <f>(C34-D34)*100</f>
        <v>-0.95944066844531051</v>
      </c>
      <c r="F34" s="48"/>
      <c r="G34" s="49">
        <f>(C34-IFERROR(INDEX(Calc!$D$176:$O$176,mSel)/INDEX(Calc!$D$168:$O$168,mSel),0))*100</f>
        <v>-0.32726721502165101</v>
      </c>
      <c r="H34" s="49">
        <f>(C34-IFERROR(INDEX(Calc!$D$188:$O$188,mSel)/INDEX(Calc!$D$180:$O$180,mSel),0))*100</f>
        <v>-0.60285535151600456</v>
      </c>
      <c r="J34" s="48">
        <f>IFERROR(J26/J10,0)</f>
        <v>0.16124840580407634</v>
      </c>
      <c r="K34" s="48">
        <f>IFERROR(K26/K10,0)</f>
        <v>0.16993338488360366</v>
      </c>
      <c r="L34" s="49">
        <f>(J34-K34)*100</f>
        <v>-0.86849790795273107</v>
      </c>
      <c r="M34" s="48"/>
      <c r="N34" s="49">
        <f>(J34-IFERROR(SUM(INDEX(Calc!$D$176:$O$176,1):INDEX(Calc!$D$176:$O$176,mSel))/SUM(INDEX(Calc!$D$168:$O$168,1):INDEX(Calc!$D$168:$O$168,mSel)),0))*100</f>
        <v>-0.25445111420327182</v>
      </c>
      <c r="O34" s="49">
        <f>(J34-IFERROR(SUM(INDEX(Calc!$D$188:$O$188,1):INDEX(Calc!$D$188:$O$188,mSel))/SUM(INDEX(Calc!$D$180:$O$180,1):INDEX(Calc!$D$180:$O$180,mSel)),0))*100</f>
        <v>-0.3089804630805687</v>
      </c>
      <c r="Q34" s="48">
        <f>IFERROR(Q26/Q10,0)</f>
        <v>0.1697569538680079</v>
      </c>
      <c r="R34" s="48">
        <f>IFERROR(R26/R10,0)</f>
        <v>0.17832730737753733</v>
      </c>
      <c r="S34" s="49">
        <f>(Q34-R34)*100</f>
        <v>-0.85703535095294214</v>
      </c>
      <c r="T34" s="48"/>
      <c r="V34" s="50"/>
    </row>
    <row r="35" spans="2:22" x14ac:dyDescent="0.25">
      <c r="B35" s="47" t="s">
        <v>412</v>
      </c>
      <c r="C35" s="48">
        <f>IFERROR(C30/C10,0)</f>
        <v>0.1394423095871514</v>
      </c>
      <c r="D35" s="48">
        <f>IFERROR(D30/D10,0)</f>
        <v>0.14671398321700255</v>
      </c>
      <c r="E35" s="49">
        <f>(C35-D35)*100</f>
        <v>-0.72716736298511497</v>
      </c>
      <c r="F35" s="48"/>
      <c r="G35" s="49">
        <f>(C35-IFERROR(INDEX(Calc!$D$178:$O$178,mSel)/INDEX(Calc!$D$168:$O$168,mSel),0))*100</f>
        <v>-0.2483802461845569</v>
      </c>
      <c r="H35" s="49">
        <f>(C35-IFERROR(INDEX(Calc!$D$190:$O$190,mSel)/INDEX(Calc!$D$180:$O$180,mSel),0))*100</f>
        <v>-0.31454171461930969</v>
      </c>
      <c r="J35" s="48">
        <f>IFERROR(J30/J10,0)</f>
        <v>0.10827297446880189</v>
      </c>
      <c r="K35" s="48">
        <f>IFERROR(K30/K10,0)</f>
        <v>0.11482822713497366</v>
      </c>
      <c r="L35" s="49">
        <f>(J35-K35)*100</f>
        <v>-0.65552526661717681</v>
      </c>
      <c r="M35" s="48"/>
      <c r="N35" s="49">
        <f>(J35-IFERROR(SUM(INDEX(Calc!$D$178:$O$178,1):INDEX(Calc!$D$178:$O$178,mSel))/SUM(INDEX(Calc!$D$168:$O$168,1):INDEX(Calc!$D$168:$O$168,mSel)),0))*100</f>
        <v>-0.19270942800412721</v>
      </c>
      <c r="O35" s="49">
        <f>(J35-IFERROR(SUM(INDEX(Calc!$D$190:$O$190,1):INDEX(Calc!$D$190:$O$190,mSel))/SUM(INDEX(Calc!$D$180:$O$180,1):INDEX(Calc!$D$180:$O$180,mSel)),0))*100</f>
        <v>-5.7238517626015395E-2</v>
      </c>
      <c r="Q35" s="48">
        <f>IFERROR(Q30/Q10,0)</f>
        <v>0.11521352912530726</v>
      </c>
      <c r="R35" s="48">
        <f>IFERROR(R30/R10,0)</f>
        <v>0.12166923458194212</v>
      </c>
      <c r="S35" s="49">
        <f>(Q35-R35)*100</f>
        <v>-0.64557054566348615</v>
      </c>
      <c r="T35" s="48"/>
      <c r="V35" s="50"/>
    </row>
    <row r="37" spans="2:22" ht="18" customHeight="1" x14ac:dyDescent="0.25">
      <c r="B37" s="6" t="s">
        <v>413</v>
      </c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Q37" s="6" t="s">
        <v>414</v>
      </c>
      <c r="R37" s="6"/>
      <c r="S37" s="6"/>
      <c r="T37" s="6"/>
      <c r="U37" s="6"/>
      <c r="V37" s="6"/>
    </row>
    <row r="38" spans="2:22" x14ac:dyDescent="0.25">
      <c r="B38" s="102" t="s">
        <v>415</v>
      </c>
      <c r="C38" s="103" t="s">
        <v>416</v>
      </c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Q38" s="20" t="s">
        <v>256</v>
      </c>
      <c r="R38" s="20" t="s">
        <v>423</v>
      </c>
      <c r="S38" s="20" t="s">
        <v>424</v>
      </c>
      <c r="T38" s="20" t="s">
        <v>425</v>
      </c>
      <c r="V38" s="19" t="s">
        <v>426</v>
      </c>
    </row>
    <row r="39" spans="2:22" x14ac:dyDescent="0.25">
      <c r="B39" s="102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Q39" s="51" t="s">
        <v>427</v>
      </c>
      <c r="R39" s="52">
        <v>-1.8</v>
      </c>
      <c r="S39" s="53">
        <v>0.6</v>
      </c>
      <c r="T39" s="24">
        <f t="shared" ref="T39:T44" si="6">R39*S39</f>
        <v>-1.08</v>
      </c>
      <c r="V39" s="54" t="s">
        <v>428</v>
      </c>
    </row>
    <row r="40" spans="2:22" x14ac:dyDescent="0.25">
      <c r="B40" s="102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Q40" s="51" t="s">
        <v>427</v>
      </c>
      <c r="R40" s="52">
        <v>-1.2</v>
      </c>
      <c r="S40" s="53">
        <v>0.4</v>
      </c>
      <c r="T40" s="24">
        <f t="shared" si="6"/>
        <v>-0.48</v>
      </c>
      <c r="V40" s="54" t="s">
        <v>429</v>
      </c>
    </row>
    <row r="41" spans="2:22" x14ac:dyDescent="0.25">
      <c r="B41" s="102" t="s">
        <v>417</v>
      </c>
      <c r="C41" s="103" t="s">
        <v>418</v>
      </c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Q41" s="51" t="s">
        <v>427</v>
      </c>
      <c r="R41" s="52">
        <v>-0.9</v>
      </c>
      <c r="S41" s="53">
        <v>0.3</v>
      </c>
      <c r="T41" s="24">
        <f t="shared" si="6"/>
        <v>-0.27</v>
      </c>
      <c r="V41" s="54" t="s">
        <v>430</v>
      </c>
    </row>
    <row r="42" spans="2:22" x14ac:dyDescent="0.25">
      <c r="B42" s="102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Q42" s="51" t="s">
        <v>431</v>
      </c>
      <c r="R42" s="52">
        <v>1.5</v>
      </c>
      <c r="S42" s="53">
        <v>0.5</v>
      </c>
      <c r="T42" s="24">
        <f t="shared" si="6"/>
        <v>0.75</v>
      </c>
      <c r="V42" s="54" t="s">
        <v>432</v>
      </c>
    </row>
    <row r="43" spans="2:22" x14ac:dyDescent="0.25">
      <c r="B43" s="102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Q43" s="51" t="s">
        <v>431</v>
      </c>
      <c r="R43" s="52">
        <v>1</v>
      </c>
      <c r="S43" s="53">
        <v>0.6</v>
      </c>
      <c r="T43" s="24">
        <f t="shared" si="6"/>
        <v>0.6</v>
      </c>
      <c r="V43" s="54" t="s">
        <v>433</v>
      </c>
    </row>
    <row r="44" spans="2:22" x14ac:dyDescent="0.25">
      <c r="B44" s="102" t="s">
        <v>419</v>
      </c>
      <c r="C44" s="103" t="s">
        <v>420</v>
      </c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Q44" s="51" t="s">
        <v>431</v>
      </c>
      <c r="R44" s="52">
        <v>0.6</v>
      </c>
      <c r="S44" s="53">
        <v>0.5</v>
      </c>
      <c r="T44" s="24">
        <f t="shared" si="6"/>
        <v>0.3</v>
      </c>
      <c r="V44" s="54" t="s">
        <v>434</v>
      </c>
    </row>
    <row r="45" spans="2:22" x14ac:dyDescent="0.25">
      <c r="B45" s="102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Q45" s="104" t="s">
        <v>435</v>
      </c>
      <c r="R45" s="104"/>
      <c r="S45" s="104"/>
      <c r="T45" s="55">
        <f>Q24</f>
        <v>105.95400000000001</v>
      </c>
    </row>
    <row r="46" spans="2:22" x14ac:dyDescent="0.25">
      <c r="B46" s="102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Q46" s="104" t="s">
        <v>436</v>
      </c>
      <c r="R46" s="104"/>
      <c r="S46" s="104"/>
      <c r="T46" s="56">
        <f>SUM(T39:T44)</f>
        <v>-0.1800000000000001</v>
      </c>
    </row>
    <row r="47" spans="2:22" x14ac:dyDescent="0.25">
      <c r="B47" s="102" t="s">
        <v>421</v>
      </c>
      <c r="C47" s="103" t="s">
        <v>422</v>
      </c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Q47" s="104" t="s">
        <v>437</v>
      </c>
      <c r="R47" s="104"/>
      <c r="S47" s="104"/>
      <c r="T47" s="55">
        <f>T45+T46</f>
        <v>105.774</v>
      </c>
    </row>
    <row r="48" spans="2:22" x14ac:dyDescent="0.25">
      <c r="B48" s="102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Q48" s="104" t="s">
        <v>438</v>
      </c>
      <c r="R48" s="104"/>
      <c r="S48" s="104"/>
      <c r="T48" s="56">
        <f>T47-R24</f>
        <v>-4.8100000000000023</v>
      </c>
    </row>
    <row r="49" spans="2:22" x14ac:dyDescent="0.25">
      <c r="B49" s="102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V49" s="36" t="s">
        <v>439</v>
      </c>
    </row>
    <row r="51" spans="2:22" ht="18" customHeight="1" x14ac:dyDescent="0.25">
      <c r="B51" s="6" t="s">
        <v>440</v>
      </c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</row>
  </sheetData>
  <mergeCells count="17">
    <mergeCell ref="B47:B49"/>
    <mergeCell ref="C47:O49"/>
    <mergeCell ref="Q45:S45"/>
    <mergeCell ref="Q46:S46"/>
    <mergeCell ref="Q47:S47"/>
    <mergeCell ref="Q48:S48"/>
    <mergeCell ref="B38:B40"/>
    <mergeCell ref="C38:O40"/>
    <mergeCell ref="B41:B43"/>
    <mergeCell ref="C41:O43"/>
    <mergeCell ref="B44:B46"/>
    <mergeCell ref="C44:O46"/>
    <mergeCell ref="B2:O2"/>
    <mergeCell ref="B3:O3"/>
    <mergeCell ref="C5:H5"/>
    <mergeCell ref="J5:O5"/>
    <mergeCell ref="Q5:T5"/>
  </mergeCells>
  <conditionalFormatting sqref="E7:H35">
    <cfRule type="cellIs" dxfId="28" priority="1" operator="greaterThan">
      <formula>0</formula>
    </cfRule>
    <cfRule type="cellIs" dxfId="27" priority="2" operator="lessThan">
      <formula>0</formula>
    </cfRule>
  </conditionalFormatting>
  <conditionalFormatting sqref="L7:L30">
    <cfRule type="dataBar" priority="21">
      <dataBar>
        <cfvo type="min"/>
        <cfvo type="max"/>
        <color rgb="FFCFEBDD"/>
      </dataBar>
      <extLst>
        <ext xmlns:x14="http://schemas.microsoft.com/office/spreadsheetml/2009/9/main" uri="{B025F937-C7B1-47D3-B67F-A62EFF666E3E}">
          <x14:id>{DA7ABA51-AAAA-BBBB-0002-000000000001}</x14:id>
        </ext>
      </extLst>
    </cfRule>
  </conditionalFormatting>
  <conditionalFormatting sqref="L7:O35">
    <cfRule type="cellIs" dxfId="26" priority="9" operator="greaterThan">
      <formula>0</formula>
    </cfRule>
    <cfRule type="cellIs" dxfId="25" priority="10" operator="lessThan">
      <formula>0</formula>
    </cfRule>
  </conditionalFormatting>
  <conditionalFormatting sqref="S7:T35">
    <cfRule type="cellIs" dxfId="24" priority="17" operator="greaterThan">
      <formula>0</formula>
    </cfRule>
    <cfRule type="cellIs" dxfId="23" priority="18" operator="lessThan">
      <formula>0</formula>
    </cfRule>
  </conditionalFormatting>
  <conditionalFormatting sqref="T48">
    <cfRule type="cellIs" dxfId="22" priority="22" operator="greaterThan">
      <formula>0</formula>
    </cfRule>
    <cfRule type="cellIs" dxfId="21" priority="23" operator="lessThan">
      <formula>0</formula>
    </cfRule>
  </conditionalFormatting>
  <dataValidations count="1">
    <dataValidation type="list" allowBlank="1" showInputMessage="1" showErrorMessage="1" sqref="Q39:Q44" xr:uid="{00000000-0002-0000-0100-000000000000}">
      <formula1>"Risk,Opp"</formula1>
    </dataValidation>
  </dataValidations>
  <hyperlinks>
    <hyperlink ref="B4" location="Summary!A1" display="Summary" xr:uid="{00000000-0004-0000-0100-000000000000}"/>
    <hyperlink ref="C4" location="'P&amp;L'!A1" display="P&amp;L" xr:uid="{00000000-0004-0000-0100-000001000000}"/>
    <hyperlink ref="D4" location="Channel!A1" display="Channel" xr:uid="{00000000-0004-0000-0100-000002000000}"/>
    <hyperlink ref="E4" location="Brand!A1" display="Brand" xr:uid="{00000000-0004-0000-0100-000003000000}"/>
    <hyperlink ref="F4" location="Data!A1" display="Data" xr:uid="{00000000-0004-0000-0100-000004000000}"/>
    <hyperlink ref="G4" location="Guide!A1" display="Guide" xr:uid="{00000000-0004-0000-0100-000005000000}"/>
  </hyperlinks>
  <pageMargins left="0.3" right="0.3" top="0.4" bottom="0.4" header="0.3" footer="0.3"/>
  <pageSetup paperSize="9" fitToHeight="0" orientation="landscape"/>
  <rowBreaks count="1" manualBreakCount="1">
    <brk id="36" max="16383" man="1"/>
  </rowBreaks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A7ABA51-AAAA-BBBB-0002-000000000001}">
            <x14:dataBar minLength="0" maxLength="100" gradient="0">
              <x14:cfvo type="autoMin"/>
              <x14:cfvo type="autoMax"/>
              <x14:negativeFillColor rgb="FFF8DAD6"/>
              <x14:axisColor rgb="FFAEB6C1"/>
            </x14:dataBar>
          </x14:cfRule>
          <xm:sqref>L7:L30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12808A"/>
    <pageSetUpPr fitToPage="1"/>
  </sheetPr>
  <dimension ref="A1:Z85"/>
  <sheetViews>
    <sheetView showGridLines="0" zoomScale="90" zoomScaleNormal="90" workbookViewId="0">
      <pane ySplit="4" topLeftCell="A5" activePane="bottomLeft" state="frozen"/>
      <selection pane="bottomLeft"/>
    </sheetView>
  </sheetViews>
  <sheetFormatPr defaultColWidth="0" defaultRowHeight="15" x14ac:dyDescent="0.25"/>
  <cols>
    <col min="1" max="1" width="2" style="1" customWidth="1"/>
    <col min="2" max="25" width="8.85546875" style="1" customWidth="1"/>
    <col min="26" max="26" width="2" style="1" customWidth="1"/>
    <col min="27" max="27" width="0" hidden="1" customWidth="1"/>
  </cols>
  <sheetData>
    <row r="1" spans="1:26" s="2" customFormat="1" ht="4.5" customHeight="1" x14ac:dyDescent="0.25"/>
    <row r="2" spans="1:26" ht="21" customHeight="1" x14ac:dyDescent="0.25">
      <c r="A2" s="2"/>
      <c r="B2" s="82" t="str">
        <f>Company&amp;": Channel profitability"</f>
        <v>Coskun Finance: Channel profitability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8" customHeight="1" x14ac:dyDescent="0.25">
      <c r="A3" s="2"/>
      <c r="B3" s="83" t="str">
        <f>PerLbl&amp;"  |  "&amp;UnitLbl&amp;"  |  period set on Summary"</f>
        <v>YTD Oct 2026  |  $m  |  period set on Summary</v>
      </c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customHeight="1" x14ac:dyDescent="0.25">
      <c r="B4" s="85" t="s">
        <v>326</v>
      </c>
      <c r="C4" s="85"/>
      <c r="D4" s="85" t="s">
        <v>327</v>
      </c>
      <c r="E4" s="85"/>
      <c r="F4" s="84" t="s">
        <v>3</v>
      </c>
      <c r="G4" s="84"/>
      <c r="H4" s="85" t="s">
        <v>4</v>
      </c>
      <c r="I4" s="85"/>
      <c r="J4" s="85" t="s">
        <v>328</v>
      </c>
      <c r="K4" s="85"/>
      <c r="L4" s="85" t="s">
        <v>329</v>
      </c>
      <c r="M4" s="8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6" ht="18" customHeight="1" x14ac:dyDescent="0.25">
      <c r="B5" s="6" t="str">
        <f>"Channel scoreboard: "&amp;PerLbl</f>
        <v>Channel scoreboard: YTD Oct 2026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57" t="s">
        <v>330</v>
      </c>
      <c r="W5" s="87" t="s">
        <v>46</v>
      </c>
      <c r="X5" s="87"/>
      <c r="Y5" s="87"/>
    </row>
    <row r="6" spans="1:26" x14ac:dyDescent="0.25">
      <c r="B6" s="88" t="s">
        <v>348</v>
      </c>
      <c r="C6" s="88"/>
      <c r="D6" s="88"/>
      <c r="E6" s="88"/>
      <c r="F6" s="88" t="s">
        <v>349</v>
      </c>
      <c r="G6" s="88"/>
      <c r="H6" s="88"/>
      <c r="I6" s="88"/>
      <c r="J6" s="88" t="s">
        <v>350</v>
      </c>
      <c r="K6" s="88"/>
      <c r="L6" s="88"/>
      <c r="M6" s="88"/>
      <c r="N6" s="88" t="s">
        <v>351</v>
      </c>
      <c r="O6" s="88"/>
      <c r="P6" s="88"/>
      <c r="Q6" s="88"/>
      <c r="R6" s="88" t="s">
        <v>352</v>
      </c>
      <c r="S6" s="88"/>
      <c r="T6" s="88"/>
      <c r="U6" s="88"/>
      <c r="V6" s="88" t="s">
        <v>353</v>
      </c>
      <c r="W6" s="88"/>
      <c r="X6" s="88"/>
      <c r="Y6" s="88"/>
    </row>
    <row r="7" spans="1:26" x14ac:dyDescent="0.25">
      <c r="B7" s="105" t="str">
        <f>INDEX($B$14:$B$19,MATCH(MAX($E$14:$E$19),$E$14:$E$19,0))</f>
        <v>Hypermarkets</v>
      </c>
      <c r="C7" s="105"/>
      <c r="D7" s="105"/>
      <c r="E7" s="105"/>
      <c r="F7" s="105" t="str">
        <f>INDEX($B$14:$B$19,MATCH(MAX($R$14:$R$19),$R$14:$R$19,0))</f>
        <v>Distributors</v>
      </c>
      <c r="G7" s="105"/>
      <c r="H7" s="105"/>
      <c r="I7" s="105"/>
      <c r="J7" s="105" t="str">
        <f>INDEX($B$14:$B$19,MATCH(MIN($R$14:$R$19),$R$14:$R$19,0))</f>
        <v>Discounters</v>
      </c>
      <c r="K7" s="105"/>
      <c r="L7" s="105"/>
      <c r="M7" s="105"/>
      <c r="N7" s="105" t="str">
        <f>INDEX($B$14:$B$19,MATCH(MAX($G$14:$G$19),$G$14:$G$19,0))</f>
        <v>Marketplaces</v>
      </c>
      <c r="O7" s="105"/>
      <c r="P7" s="105"/>
      <c r="Q7" s="105"/>
      <c r="R7" s="105" t="str">
        <f>INDEX($B$14:$B$19,MATCH(MIN($G$14:$G$19),$G$14:$G$19,0))</f>
        <v>Hypermarkets</v>
      </c>
      <c r="S7" s="105"/>
      <c r="T7" s="105"/>
      <c r="U7" s="105"/>
      <c r="V7" s="108">
        <f>$O$20</f>
        <v>158.595</v>
      </c>
      <c r="W7" s="108"/>
      <c r="X7" s="108"/>
      <c r="Y7" s="108"/>
    </row>
    <row r="8" spans="1:26" x14ac:dyDescent="0.25">
      <c r="B8" s="105"/>
      <c r="C8" s="105"/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05"/>
      <c r="O8" s="105"/>
      <c r="P8" s="105"/>
      <c r="Q8" s="105"/>
      <c r="R8" s="105"/>
      <c r="S8" s="105"/>
      <c r="T8" s="105"/>
      <c r="U8" s="105"/>
      <c r="V8" s="108"/>
      <c r="W8" s="108"/>
      <c r="X8" s="108"/>
      <c r="Y8" s="108"/>
    </row>
    <row r="9" spans="1:26" x14ac:dyDescent="0.25">
      <c r="B9" s="106" t="str">
        <f>UnitLbl&amp;" "&amp;FIXED(MAX($E$14:$E$19),1)&amp;" | "&amp;FIXED(INDEX($K$14:$K$19,MATCH(MAX($E$14:$E$19),$E$14:$E$19,0))*100,1)&amp;"% of net revenue"</f>
        <v>$m 114.3 | 27.5% of net revenue</v>
      </c>
      <c r="C9" s="106"/>
      <c r="D9" s="106"/>
      <c r="E9" s="106"/>
      <c r="F9" s="106" t="str">
        <f>"CM "&amp;FIXED(MAX($R$14:$R$19)*100,1)&amp;"% vs total "&amp;FIXED($R$20*100,1)&amp;"%"</f>
        <v>CM 46.9% vs total 38.2%</v>
      </c>
      <c r="G9" s="106"/>
      <c r="H9" s="106"/>
      <c r="I9" s="106"/>
      <c r="J9" s="106" t="str">
        <f>"CM "&amp;FIXED(MIN($R$14:$R$19)*100,1)&amp;"%, gap to total "&amp;FIXED(($R$20-MIN($R$14:$R$19))*100,1)&amp;"pp"</f>
        <v>CM 35.2%, gap to total 3.0pp</v>
      </c>
      <c r="K9" s="106"/>
      <c r="L9" s="106"/>
      <c r="M9" s="106"/>
      <c r="N9" s="106" t="str">
        <f>IF(MAX($G$14:$G$19)&gt;=0,"+","-")&amp;FIXED(ABS(MAX($G$14:$G$19)),1)&amp;" "&amp;UnitLbl&amp;" net revenue"</f>
        <v>+5.9 $m net revenue</v>
      </c>
      <c r="O9" s="106"/>
      <c r="P9" s="106"/>
      <c r="Q9" s="106"/>
      <c r="R9" s="106" t="str">
        <f>IF(MIN($G$14:$G$19)&gt;=0,"+","-")&amp;FIXED(ABS(MIN($G$14:$G$19)),1)&amp;" "&amp;UnitLbl&amp;" net revenue"</f>
        <v>-5.9 $m net revenue</v>
      </c>
      <c r="S9" s="106"/>
      <c r="T9" s="106"/>
      <c r="U9" s="106"/>
      <c r="V9" s="106" t="str">
        <f>"CM % "&amp;FIXED($R$20*100,1)&amp;"%, "&amp;IF($T$20&gt;=0,"+","-")&amp;FIXED(ABS($T$20),1)&amp;"pp vs budget"</f>
        <v>CM % 38.2%, -0.9pp vs budget</v>
      </c>
      <c r="W9" s="106"/>
      <c r="X9" s="106"/>
      <c r="Y9" s="106"/>
    </row>
    <row r="10" spans="1:26" ht="6" customHeight="1" x14ac:dyDescent="0.25"/>
    <row r="11" spans="1:26" ht="6" customHeight="1" x14ac:dyDescent="0.25"/>
    <row r="12" spans="1:26" ht="18" customHeight="1" x14ac:dyDescent="0.25">
      <c r="B12" s="6" t="s">
        <v>331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</row>
    <row r="13" spans="1:26" ht="24" customHeight="1" x14ac:dyDescent="0.25">
      <c r="B13" s="98" t="s">
        <v>3</v>
      </c>
      <c r="C13" s="98"/>
      <c r="D13" s="98"/>
      <c r="E13" s="20" t="str">
        <f>"NR "&amp;AcLbl</f>
        <v>NR Actual</v>
      </c>
      <c r="F13" s="20" t="s">
        <v>332</v>
      </c>
      <c r="G13" s="20" t="s">
        <v>333</v>
      </c>
      <c r="H13" s="20" t="s">
        <v>334</v>
      </c>
      <c r="I13" s="20" t="s">
        <v>335</v>
      </c>
      <c r="J13" s="20" t="s">
        <v>336</v>
      </c>
      <c r="K13" s="20" t="s">
        <v>337</v>
      </c>
      <c r="L13" s="20" t="s">
        <v>338</v>
      </c>
      <c r="M13" s="20" t="s">
        <v>339</v>
      </c>
      <c r="N13" s="20" t="s">
        <v>340</v>
      </c>
      <c r="O13" s="20" t="str">
        <f>"CM "&amp;AcLbl</f>
        <v>CM Actual</v>
      </c>
      <c r="P13" s="20" t="s">
        <v>341</v>
      </c>
      <c r="Q13" s="20" t="s">
        <v>342</v>
      </c>
      <c r="R13" s="20" t="s">
        <v>343</v>
      </c>
      <c r="S13" s="20" t="s">
        <v>344</v>
      </c>
      <c r="T13" s="20" t="s">
        <v>345</v>
      </c>
      <c r="U13" s="20" t="s">
        <v>346</v>
      </c>
      <c r="V13" s="99" t="s">
        <v>347</v>
      </c>
      <c r="W13" s="99"/>
      <c r="X13" s="99"/>
      <c r="Y13" s="99"/>
    </row>
    <row r="14" spans="1:26" x14ac:dyDescent="0.25">
      <c r="B14" s="100" t="str">
        <f>INDEX(lstChannel,Calc!$C$374)</f>
        <v>Hypermarkets</v>
      </c>
      <c r="C14" s="100"/>
      <c r="D14" s="100"/>
      <c r="E14" s="23">
        <f>INDEX(Calc!$G$346:$G$351,Calc!$C$374)</f>
        <v>114.25700000000001</v>
      </c>
      <c r="F14" s="23">
        <f>INDEX(Calc!$G$353:$G$358,Calc!$C$374)</f>
        <v>120.205</v>
      </c>
      <c r="G14" s="24">
        <f t="shared" ref="G14:G20" si="0">E14-F14</f>
        <v>-5.9479999999999933</v>
      </c>
      <c r="H14" s="25">
        <f t="shared" ref="H14:H20" si="1">IFERROR(G14/ABS(F14),0)</f>
        <v>-4.9482134686577042E-2</v>
      </c>
      <c r="I14" s="25">
        <f>IFERROR(E14/INDEX(Calc!$G$360:$G$365,Calc!$C$374)-1,0)</f>
        <v>-1.2036420548383386E-2</v>
      </c>
      <c r="J14" s="25">
        <f>IFERROR(E14/INDEX(Calc!$G$367:$G$372,Calc!$C$374)-1,0)</f>
        <v>1.3797448137566448E-2</v>
      </c>
      <c r="K14" s="31">
        <f t="shared" ref="K14:K20" si="2">IFERROR(E14/E$20,0)</f>
        <v>0.27494044324662509</v>
      </c>
      <c r="L14" s="31">
        <f>IFERROR(INDEX(Calc!$I$346:$I$351,Calc!$C$374)/E14,0)</f>
        <v>0.54134101192924722</v>
      </c>
      <c r="M14" s="31">
        <f>IFERROR(-(INDEX(Calc!$E$346:$E$351,Calc!$C$374)+INDEX(Calc!$F$346:$F$351,Calc!$C$374))/INDEX(Calc!$D$346:$D$351,Calc!$C$374),0)</f>
        <v>0.21102494872839514</v>
      </c>
      <c r="N14" s="31">
        <f>IFERROR(-INDEX(Calc!$K$346:$K$351,Calc!$C$374)/E14,0)</f>
        <v>9.0261428183831191E-2</v>
      </c>
      <c r="O14" s="23">
        <f>INDEX(Calc!$L$346:$L$351,Calc!$C$374)</f>
        <v>40.838000000000001</v>
      </c>
      <c r="P14" s="23">
        <f>INDEX(Calc!$L$353:$L$358,Calc!$C$374)</f>
        <v>44.756999999999998</v>
      </c>
      <c r="Q14" s="24">
        <f t="shared" ref="Q14:Q20" si="3">O14-P14</f>
        <v>-3.9189999999999969</v>
      </c>
      <c r="R14" s="31">
        <f t="shared" ref="R14:S20" si="4">IFERROR(O14/E14,0)</f>
        <v>0.35742230235346628</v>
      </c>
      <c r="S14" s="31">
        <f t="shared" si="4"/>
        <v>0.37233892100994131</v>
      </c>
      <c r="T14" s="32">
        <f t="shared" ref="T14:T20" si="5">(R14-S14)*100</f>
        <v>-1.4916618656475034</v>
      </c>
      <c r="U14" s="33">
        <f>IFERROR(INDEX(Calc!$M$346:$M$351,Calc!$C$374)/INDEX(Calc!$N$346:$N$351,Calc!$C$374)*30.4*WinM,0)</f>
        <v>58.001327387742393</v>
      </c>
      <c r="V14" s="100"/>
      <c r="W14" s="100"/>
      <c r="X14" s="100"/>
      <c r="Y14" s="100"/>
    </row>
    <row r="15" spans="1:26" x14ac:dyDescent="0.25">
      <c r="B15" s="100" t="str">
        <f>INDEX(lstChannel,Calc!$C$375)</f>
        <v>Supermarkets</v>
      </c>
      <c r="C15" s="100"/>
      <c r="D15" s="100"/>
      <c r="E15" s="23">
        <f>INDEX(Calc!$G$346:$G$351,Calc!$C$375)</f>
        <v>100.114</v>
      </c>
      <c r="F15" s="23">
        <f>INDEX(Calc!$G$353:$G$358,Calc!$C$375)</f>
        <v>100.15</v>
      </c>
      <c r="G15" s="24">
        <f t="shared" si="0"/>
        <v>-3.6000000000001364E-2</v>
      </c>
      <c r="H15" s="25">
        <f t="shared" si="1"/>
        <v>-3.5946080878683338E-4</v>
      </c>
      <c r="I15" s="25">
        <f>IFERROR(E15/INDEX(Calc!$G$360:$G$365,Calc!$C$375)-1,0)</f>
        <v>-3.8011463142810786E-3</v>
      </c>
      <c r="J15" s="25">
        <f>IFERROR(E15/INDEX(Calc!$G$367:$G$372,Calc!$C$375)-1,0)</f>
        <v>6.4114283284794293E-2</v>
      </c>
      <c r="K15" s="31">
        <f t="shared" si="2"/>
        <v>0.2409076689847679</v>
      </c>
      <c r="L15" s="31">
        <f>IFERROR(INDEX(Calc!$I$346:$I$351,Calc!$C$375)/E15,0)</f>
        <v>0.56173961683680607</v>
      </c>
      <c r="M15" s="31">
        <f>IFERROR(-(INDEX(Calc!$E$346:$E$351,Calc!$C$375)+INDEX(Calc!$F$346:$F$351,Calc!$C$375))/INDEX(Calc!$D$346:$D$351,Calc!$C$375),0)</f>
        <v>0.17399052820910546</v>
      </c>
      <c r="N15" s="31">
        <f>IFERROR(-INDEX(Calc!$K$346:$K$351,Calc!$C$375)/E15,0)</f>
        <v>8.6171764188824745E-2</v>
      </c>
      <c r="O15" s="23">
        <f>INDEX(Calc!$L$346:$L$351,Calc!$C$375)</f>
        <v>39.052999999999997</v>
      </c>
      <c r="P15" s="23">
        <f>INDEX(Calc!$L$353:$L$358,Calc!$C$375)</f>
        <v>39.795000000000002</v>
      </c>
      <c r="Q15" s="24">
        <f t="shared" si="3"/>
        <v>-0.74200000000000443</v>
      </c>
      <c r="R15" s="31">
        <f t="shared" si="4"/>
        <v>0.39008530275485942</v>
      </c>
      <c r="S15" s="31">
        <f t="shared" si="4"/>
        <v>0.39735396904643033</v>
      </c>
      <c r="T15" s="32">
        <f t="shared" si="5"/>
        <v>-0.72686662915709133</v>
      </c>
      <c r="U15" s="33">
        <f>IFERROR(INDEX(Calc!$M$346:$M$351,Calc!$C$375)/INDEX(Calc!$N$346:$N$351,Calc!$C$375)*30.4*WinM,0)</f>
        <v>52.998684444444436</v>
      </c>
      <c r="V15" s="100"/>
      <c r="W15" s="100"/>
      <c r="X15" s="100"/>
      <c r="Y15" s="100"/>
    </row>
    <row r="16" spans="1:26" x14ac:dyDescent="0.25">
      <c r="B16" s="100" t="str">
        <f>INDEX(lstChannel,Calc!$C$376)</f>
        <v>Marketplaces</v>
      </c>
      <c r="C16" s="100"/>
      <c r="D16" s="100"/>
      <c r="E16" s="23">
        <f>INDEX(Calc!$G$346:$G$351,Calc!$C$376)</f>
        <v>74.471000000000004</v>
      </c>
      <c r="F16" s="23">
        <f>INDEX(Calc!$G$353:$G$358,Calc!$C$376)</f>
        <v>68.543000000000006</v>
      </c>
      <c r="G16" s="24">
        <f t="shared" si="0"/>
        <v>5.9279999999999973</v>
      </c>
      <c r="H16" s="25">
        <f t="shared" si="1"/>
        <v>8.6485855594298416E-2</v>
      </c>
      <c r="I16" s="25">
        <f>IFERROR(E16/INDEX(Calc!$G$360:$G$365,Calc!$C$376)-1,0)</f>
        <v>2.1592109414653615E-2</v>
      </c>
      <c r="J16" s="25">
        <f>IFERROR(E16/INDEX(Calc!$G$367:$G$372,Calc!$C$376)-1,0)</f>
        <v>0.27641231317701909</v>
      </c>
      <c r="K16" s="31">
        <f t="shared" si="2"/>
        <v>0.17920205982145004</v>
      </c>
      <c r="L16" s="31">
        <f>IFERROR(INDEX(Calc!$I$346:$I$351,Calc!$C$376)/E16,0)</f>
        <v>0.57512320232036629</v>
      </c>
      <c r="M16" s="31">
        <f>IFERROR(-(INDEX(Calc!$E$346:$E$351,Calc!$C$376)+INDEX(Calc!$F$346:$F$351,Calc!$C$376))/INDEX(Calc!$D$346:$D$351,Calc!$C$376),0)</f>
        <v>0.1479972999874152</v>
      </c>
      <c r="N16" s="31">
        <f>IFERROR(-INDEX(Calc!$K$346:$K$351,Calc!$C$376)/E16,0)</f>
        <v>0.11417867357763424</v>
      </c>
      <c r="O16" s="23">
        <f>INDEX(Calc!$L$346:$L$351,Calc!$C$376)</f>
        <v>28.623000000000001</v>
      </c>
      <c r="P16" s="23">
        <f>INDEX(Calc!$L$353:$L$358,Calc!$C$376)</f>
        <v>26.286999999999999</v>
      </c>
      <c r="Q16" s="24">
        <f t="shared" si="3"/>
        <v>2.3360000000000021</v>
      </c>
      <c r="R16" s="31">
        <f t="shared" si="4"/>
        <v>0.38435095540545983</v>
      </c>
      <c r="S16" s="31">
        <f t="shared" si="4"/>
        <v>0.38351108063551342</v>
      </c>
      <c r="T16" s="32">
        <f t="shared" si="5"/>
        <v>8.3987476994640264E-2</v>
      </c>
      <c r="U16" s="33">
        <f>IFERROR(INDEX(Calc!$M$346:$M$351,Calc!$C$376)/INDEX(Calc!$N$346:$N$351,Calc!$C$376)*30.4*WinM,0)</f>
        <v>28.000127327709691</v>
      </c>
      <c r="V16" s="100"/>
      <c r="W16" s="100"/>
      <c r="X16" s="100"/>
      <c r="Y16" s="100"/>
    </row>
    <row r="17" spans="2:25" x14ac:dyDescent="0.25">
      <c r="B17" s="100" t="str">
        <f>INDEX(lstChannel,Calc!$C$377)</f>
        <v>Discounters</v>
      </c>
      <c r="C17" s="100"/>
      <c r="D17" s="100"/>
      <c r="E17" s="23">
        <f>INDEX(Calc!$G$346:$G$351,Calc!$C$377)</f>
        <v>51.363</v>
      </c>
      <c r="F17" s="23">
        <f>INDEX(Calc!$G$353:$G$358,Calc!$C$377)</f>
        <v>54.338000000000001</v>
      </c>
      <c r="G17" s="24">
        <f t="shared" si="0"/>
        <v>-2.9750000000000014</v>
      </c>
      <c r="H17" s="25">
        <f t="shared" si="1"/>
        <v>-5.4749898781699759E-2</v>
      </c>
      <c r="I17" s="25">
        <f>IFERROR(E17/INDEX(Calc!$G$360:$G$365,Calc!$C$377)-1,0)</f>
        <v>-1.718298540020291E-2</v>
      </c>
      <c r="J17" s="25">
        <f>IFERROR(E17/INDEX(Calc!$G$367:$G$372,Calc!$C$377)-1,0)</f>
        <v>4.0464461646727568E-3</v>
      </c>
      <c r="K17" s="31">
        <f t="shared" si="2"/>
        <v>0.123596506003802</v>
      </c>
      <c r="L17" s="31">
        <f>IFERROR(INDEX(Calc!$I$346:$I$351,Calc!$C$377)/E17,0)</f>
        <v>0.52259408523645423</v>
      </c>
      <c r="M17" s="31">
        <f>IFERROR(-(INDEX(Calc!$E$346:$E$351,Calc!$C$377)+INDEX(Calc!$F$346:$F$351,Calc!$C$377))/INDEX(Calc!$D$346:$D$351,Calc!$C$377),0)</f>
        <v>0.241975235762039</v>
      </c>
      <c r="N17" s="31">
        <f>IFERROR(-INDEX(Calc!$K$346:$K$351,Calc!$C$377)/E17,0)</f>
        <v>7.3905340420146792E-2</v>
      </c>
      <c r="O17" s="23">
        <f>INDEX(Calc!$L$346:$L$351,Calc!$C$377)</f>
        <v>18.056000000000001</v>
      </c>
      <c r="P17" s="23">
        <f>INDEX(Calc!$L$353:$L$358,Calc!$C$377)</f>
        <v>20.187000000000001</v>
      </c>
      <c r="Q17" s="24">
        <f t="shared" si="3"/>
        <v>-2.1310000000000002</v>
      </c>
      <c r="R17" s="31">
        <f t="shared" si="4"/>
        <v>0.35153709868971827</v>
      </c>
      <c r="S17" s="31">
        <f t="shared" si="4"/>
        <v>0.37150796864073027</v>
      </c>
      <c r="T17" s="32">
        <f t="shared" si="5"/>
        <v>-1.9970869951011994</v>
      </c>
      <c r="U17" s="33">
        <f>IFERROR(INDEX(Calc!$M$346:$M$351,Calc!$C$377)/INDEX(Calc!$N$346:$N$351,Calc!$C$377)*30.4*WinM,0)</f>
        <v>48.005035258464943</v>
      </c>
      <c r="V17" s="100"/>
      <c r="W17" s="100"/>
      <c r="X17" s="100"/>
      <c r="Y17" s="100"/>
    </row>
    <row r="18" spans="2:25" x14ac:dyDescent="0.25">
      <c r="B18" s="100" t="str">
        <f>INDEX(lstChannel,Calc!$C$378)</f>
        <v>Distributors</v>
      </c>
      <c r="C18" s="100"/>
      <c r="D18" s="100"/>
      <c r="E18" s="23">
        <f>INDEX(Calc!$G$346:$G$351,Calc!$C$378)</f>
        <v>45.908999999999999</v>
      </c>
      <c r="F18" s="23">
        <f>INDEX(Calc!$G$353:$G$358,Calc!$C$378)</f>
        <v>45.360999999999997</v>
      </c>
      <c r="G18" s="24">
        <f t="shared" si="0"/>
        <v>0.54800000000000182</v>
      </c>
      <c r="H18" s="25">
        <f t="shared" si="1"/>
        <v>1.2080862414849802E-2</v>
      </c>
      <c r="I18" s="25">
        <f>IFERROR(E18/INDEX(Calc!$G$360:$G$365,Calc!$C$378)-1,0)</f>
        <v>5.6295452554104841E-3</v>
      </c>
      <c r="J18" s="25">
        <f>IFERROR(E18/INDEX(Calc!$G$367:$G$372,Calc!$C$378)-1,0)</f>
        <v>8.871656232213998E-2</v>
      </c>
      <c r="K18" s="31">
        <f t="shared" si="2"/>
        <v>0.11047236326010057</v>
      </c>
      <c r="L18" s="31">
        <f>IFERROR(INDEX(Calc!$I$346:$I$351,Calc!$C$378)/E18,0)</f>
        <v>0.59776950053366451</v>
      </c>
      <c r="M18" s="31">
        <f>IFERROR(-(INDEX(Calc!$E$346:$E$351,Calc!$C$378)+INDEX(Calc!$F$346:$F$351,Calc!$C$378))/INDEX(Calc!$D$346:$D$351,Calc!$C$378),0)</f>
        <v>9.9947066088968181E-2</v>
      </c>
      <c r="N18" s="31">
        <f>IFERROR(-INDEX(Calc!$K$346:$K$351,Calc!$C$378)/E18,0)</f>
        <v>5.1013962403885948E-2</v>
      </c>
      <c r="O18" s="23">
        <f>INDEX(Calc!$L$346:$L$351,Calc!$C$378)</f>
        <v>21.535</v>
      </c>
      <c r="P18" s="23">
        <f>INDEX(Calc!$L$353:$L$358,Calc!$C$378)</f>
        <v>21.475999999999999</v>
      </c>
      <c r="Q18" s="24">
        <f t="shared" si="3"/>
        <v>5.9000000000001052E-2</v>
      </c>
      <c r="R18" s="31">
        <f t="shared" si="4"/>
        <v>0.46908013679235011</v>
      </c>
      <c r="S18" s="31">
        <f t="shared" si="4"/>
        <v>0.47344635259363771</v>
      </c>
      <c r="T18" s="32">
        <f t="shared" si="5"/>
        <v>-0.43662158012875985</v>
      </c>
      <c r="U18" s="33">
        <f>IFERROR(INDEX(Calc!$M$346:$M$351,Calc!$C$378)/INDEX(Calc!$N$346:$N$351,Calc!$C$378)*30.4*WinM,0)</f>
        <v>73.000259672812248</v>
      </c>
      <c r="V18" s="100"/>
      <c r="W18" s="100"/>
      <c r="X18" s="100"/>
      <c r="Y18" s="100"/>
    </row>
    <row r="19" spans="2:25" x14ac:dyDescent="0.25">
      <c r="B19" s="100" t="str">
        <f>INDEX(lstChannel,Calc!$C$379)</f>
        <v>Direct to Consumer</v>
      </c>
      <c r="C19" s="100"/>
      <c r="D19" s="100"/>
      <c r="E19" s="23">
        <f>INDEX(Calc!$G$346:$G$351,Calc!$C$379)</f>
        <v>29.456</v>
      </c>
      <c r="F19" s="23">
        <f>INDEX(Calc!$G$353:$G$358,Calc!$C$379)</f>
        <v>27.824999999999999</v>
      </c>
      <c r="G19" s="24">
        <f t="shared" si="0"/>
        <v>1.6310000000000002</v>
      </c>
      <c r="H19" s="25">
        <f t="shared" si="1"/>
        <v>5.8616352201257868E-2</v>
      </c>
      <c r="I19" s="25">
        <f>IFERROR(E19/INDEX(Calc!$G$360:$G$365,Calc!$C$379)-1,0)</f>
        <v>1.3906099407958061E-2</v>
      </c>
      <c r="J19" s="25">
        <f>IFERROR(E19/INDEX(Calc!$G$367:$G$372,Calc!$C$379)-1,0)</f>
        <v>0.13005447709660101</v>
      </c>
      <c r="K19" s="31">
        <f t="shared" si="2"/>
        <v>7.0880958683254322E-2</v>
      </c>
      <c r="L19" s="31">
        <f>IFERROR(INDEX(Calc!$I$346:$I$351,Calc!$C$379)/E19,0)</f>
        <v>0.60670152091254748</v>
      </c>
      <c r="M19" s="31">
        <f>IFERROR(-(INDEX(Calc!$E$346:$E$351,Calc!$C$379)+INDEX(Calc!$F$346:$F$351,Calc!$C$379))/INDEX(Calc!$D$346:$D$351,Calc!$C$379),0)</f>
        <v>8.004622255535776E-2</v>
      </c>
      <c r="N19" s="31">
        <f>IFERROR(-INDEX(Calc!$K$346:$K$351,Calc!$C$379)/E19,0)</f>
        <v>0.17792639869636068</v>
      </c>
      <c r="O19" s="23">
        <f>INDEX(Calc!$L$346:$L$351,Calc!$C$379)</f>
        <v>10.49</v>
      </c>
      <c r="P19" s="23">
        <f>INDEX(Calc!$L$353:$L$358,Calc!$C$379)</f>
        <v>10.009</v>
      </c>
      <c r="Q19" s="24">
        <f t="shared" si="3"/>
        <v>0.48099999999999987</v>
      </c>
      <c r="R19" s="31">
        <f t="shared" si="4"/>
        <v>0.35612438891906573</v>
      </c>
      <c r="S19" s="31">
        <f t="shared" si="4"/>
        <v>0.35971248876909256</v>
      </c>
      <c r="T19" s="32">
        <f t="shared" si="5"/>
        <v>-0.3588099850026838</v>
      </c>
      <c r="U19" s="33">
        <f>IFERROR(INDEX(Calc!$M$346:$M$351,Calc!$C$379)/INDEX(Calc!$N$346:$N$351,Calc!$C$379)*30.4*WinM,0)</f>
        <v>5.9922486879289467</v>
      </c>
      <c r="V19" s="100"/>
      <c r="W19" s="100"/>
      <c r="X19" s="100"/>
      <c r="Y19" s="100"/>
    </row>
    <row r="20" spans="2:25" x14ac:dyDescent="0.25">
      <c r="B20" s="107" t="s">
        <v>283</v>
      </c>
      <c r="C20" s="107"/>
      <c r="D20" s="107"/>
      <c r="E20" s="58">
        <f>SUM(Calc!$G$346:$G$351)</f>
        <v>415.57000000000005</v>
      </c>
      <c r="F20" s="58">
        <f>SUM(Calc!$G$353:$G$358)</f>
        <v>416.42200000000003</v>
      </c>
      <c r="G20" s="59">
        <f t="shared" si="0"/>
        <v>-0.85199999999997544</v>
      </c>
      <c r="H20" s="60">
        <f t="shared" si="1"/>
        <v>-2.0460014120290844E-3</v>
      </c>
      <c r="I20" s="60">
        <f>IFERROR(E20/SUM(Calc!$G$360:$G$365)-1,0)</f>
        <v>-1.0504630931690295E-3</v>
      </c>
      <c r="J20" s="60">
        <f>IFERROR(E20/SUM(Calc!$G$367:$G$372)-1,0)</f>
        <v>8.0755647329904034E-2</v>
      </c>
      <c r="K20" s="61">
        <f t="shared" si="2"/>
        <v>1</v>
      </c>
      <c r="L20" s="61">
        <f>IFERROR(SUM(Calc!$I$346:$I$351)/E20,0)</f>
        <v>0.56085857978198617</v>
      </c>
      <c r="M20" s="61">
        <f>IFERROR(-(SUM(Calc!$E$346:$E$351)+SUM(Calc!$F$346:$F$351))/SUM(Calc!$D$346:$D$351),0)</f>
        <v>0.1758014006041122</v>
      </c>
      <c r="N20" s="61">
        <f>IFERROR(-SUM(Calc!$K$346:$K$351)/E20,0)</f>
        <v>9.3418677960391744E-2</v>
      </c>
      <c r="O20" s="58">
        <f>SUM(Calc!$L$346:$L$351)</f>
        <v>158.595</v>
      </c>
      <c r="P20" s="58">
        <f>SUM(Calc!$L$353:$L$358)</f>
        <v>162.51099999999997</v>
      </c>
      <c r="Q20" s="59">
        <f t="shared" si="3"/>
        <v>-3.9159999999999684</v>
      </c>
      <c r="R20" s="61">
        <f t="shared" si="4"/>
        <v>0.38163245662583917</v>
      </c>
      <c r="S20" s="61">
        <f t="shared" si="4"/>
        <v>0.39025555806369489</v>
      </c>
      <c r="T20" s="62">
        <f t="shared" si="5"/>
        <v>-0.8623101437855718</v>
      </c>
      <c r="U20" s="63">
        <f>IFERROR(SUM(Calc!$M$346:$M$351)/SUM(Calc!$N$346:$N$351)*30.4*WinM,0)</f>
        <v>48.148776844738244</v>
      </c>
      <c r="V20" s="107"/>
      <c r="W20" s="107"/>
      <c r="X20" s="107"/>
      <c r="Y20" s="107"/>
    </row>
    <row r="22" spans="2:25" ht="18" customHeight="1" x14ac:dyDescent="0.25">
      <c r="B22" s="6" t="s">
        <v>354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</row>
    <row r="53" spans="2:25" ht="18" customHeight="1" x14ac:dyDescent="0.25">
      <c r="B53" s="6" t="str">
        <f>"Channel P&amp;L: "&amp;PerLbl&amp;", "&amp;UnitLbl</f>
        <v>Channel P&amp;L: YTD Oct 2026, $m</v>
      </c>
      <c r="C53" s="6"/>
      <c r="D53" s="6"/>
      <c r="E53" s="6"/>
      <c r="F53" s="6"/>
      <c r="G53" s="6"/>
      <c r="H53" s="6"/>
      <c r="I53" s="6"/>
      <c r="J53" s="6"/>
      <c r="K53" s="6"/>
      <c r="L53" s="6"/>
      <c r="N53" s="6" t="str">
        <f>"Contribution margin % heatmap: channel x brand"</f>
        <v>Contribution margin % heatmap: channel x brand</v>
      </c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2:25" ht="24" customHeight="1" x14ac:dyDescent="0.25">
      <c r="B54" s="98" t="s">
        <v>362</v>
      </c>
      <c r="C54" s="98"/>
      <c r="D54" s="98"/>
      <c r="E54" s="64" t="str">
        <f>$B$14</f>
        <v>Hypermarkets</v>
      </c>
      <c r="F54" s="64" t="str">
        <f>$B$15</f>
        <v>Supermarkets</v>
      </c>
      <c r="G54" s="64" t="str">
        <f>$B$16</f>
        <v>Marketplaces</v>
      </c>
      <c r="H54" s="64" t="str">
        <f>$B$17</f>
        <v>Discounters</v>
      </c>
      <c r="I54" s="64" t="str">
        <f>$B$18</f>
        <v>Distributors</v>
      </c>
      <c r="J54" s="64" t="str">
        <f>$B$19</f>
        <v>Direct to Consumer</v>
      </c>
      <c r="K54" s="20" t="s">
        <v>283</v>
      </c>
      <c r="L54" s="20" t="s">
        <v>50</v>
      </c>
      <c r="N54" s="98" t="s">
        <v>367</v>
      </c>
      <c r="O54" s="98"/>
      <c r="P54" s="98"/>
      <c r="Q54" s="64" t="str">
        <f>INDEX(lstBrand,1)</f>
        <v>Aurelia</v>
      </c>
      <c r="R54" s="64" t="str">
        <f>INDEX(lstBrand,2)</f>
        <v>Novara</v>
      </c>
      <c r="S54" s="64" t="str">
        <f>INDEX(lstBrand,3)</f>
        <v>Kestrel</v>
      </c>
      <c r="T54" s="64" t="str">
        <f>INDEX(lstBrand,4)</f>
        <v>Lumio</v>
      </c>
      <c r="U54" s="64" t="str">
        <f>INDEX(lstBrand,5)</f>
        <v>Everwood</v>
      </c>
      <c r="V54" s="64" t="str">
        <f>INDEX(lstBrand,6)</f>
        <v>Tindra</v>
      </c>
      <c r="W54" s="99" t="s">
        <v>283</v>
      </c>
      <c r="X54" s="99"/>
      <c r="Y54" s="99"/>
    </row>
    <row r="55" spans="2:25" x14ac:dyDescent="0.25">
      <c r="B55" s="97" t="s">
        <v>149</v>
      </c>
      <c r="C55" s="97"/>
      <c r="D55" s="97"/>
      <c r="E55" s="23">
        <f>INDEX(Calc!$D$346:$D$351,Calc!$C$374)</f>
        <v>144.81700000000001</v>
      </c>
      <c r="F55" s="23">
        <f>INDEX(Calc!$D$346:$D$351,Calc!$C$375)</f>
        <v>121.202</v>
      </c>
      <c r="G55" s="23">
        <f>INDEX(Calc!$D$346:$D$351,Calc!$C$376)</f>
        <v>87.406999999999996</v>
      </c>
      <c r="H55" s="23">
        <f>INDEX(Calc!$D$346:$D$351,Calc!$C$377)</f>
        <v>67.759</v>
      </c>
      <c r="I55" s="23">
        <f>INDEX(Calc!$D$346:$D$351,Calc!$C$378)</f>
        <v>51.006999999999998</v>
      </c>
      <c r="J55" s="23">
        <f>INDEX(Calc!$D$346:$D$351,Calc!$C$379)</f>
        <v>32.018999999999998</v>
      </c>
      <c r="K55" s="65">
        <f t="shared" ref="K55:K63" si="6">SUM(E55:J55)</f>
        <v>504.21100000000001</v>
      </c>
      <c r="L55" s="23">
        <f>SUM(Calc!$D$353:$D$358)</f>
        <v>504.00100000000003</v>
      </c>
      <c r="N55" s="100" t="str">
        <f>$B$14</f>
        <v>Hypermarkets</v>
      </c>
      <c r="O55" s="100"/>
      <c r="P55" s="100"/>
      <c r="Q55" s="66">
        <f>IFERROR(SUMIFS(Calc!$F$447:$F$482,Calc!$A$447:$A$482,$N55,Calc!$B$447:$B$482,Q$54)/SUMIFS(Calc!$E$447:$E$482,Calc!$A$447:$A$482,$N55,Calc!$B$447:$B$482,Q$54),0)</f>
        <v>0.41156645192078262</v>
      </c>
      <c r="R55" s="66">
        <f>IFERROR(SUMIFS(Calc!$F$447:$F$482,Calc!$A$447:$A$482,$N55,Calc!$B$447:$B$482,R$54)/SUMIFS(Calc!$E$447:$E$482,Calc!$A$447:$A$482,$N55,Calc!$B$447:$B$482,R$54),0)</f>
        <v>0.36666302009262297</v>
      </c>
      <c r="S55" s="66">
        <f>IFERROR(SUMIFS(Calc!$F$447:$F$482,Calc!$A$447:$A$482,$N55,Calc!$B$447:$B$482,S$54)/SUMIFS(Calc!$E$447:$E$482,Calc!$A$447:$A$482,$N55,Calc!$B$447:$B$482,S$54),0)</f>
        <v>0.33996780330747844</v>
      </c>
      <c r="T55" s="66">
        <f>IFERROR(SUMIFS(Calc!$F$447:$F$482,Calc!$A$447:$A$482,$N55,Calc!$B$447:$B$482,T$54)/SUMIFS(Calc!$E$447:$E$482,Calc!$A$447:$A$482,$N55,Calc!$B$447:$B$482,T$54),0)</f>
        <v>0.3445759489789661</v>
      </c>
      <c r="U55" s="66">
        <f>IFERROR(SUMIFS(Calc!$F$447:$F$482,Calc!$A$447:$A$482,$N55,Calc!$B$447:$B$482,U$54)/SUMIFS(Calc!$E$447:$E$482,Calc!$A$447:$A$482,$N55,Calc!$B$447:$B$482,U$54),0)</f>
        <v>0.29749952642545935</v>
      </c>
      <c r="V55" s="66">
        <f>IFERROR(SUMIFS(Calc!$F$447:$F$482,Calc!$A$447:$A$482,$N55,Calc!$B$447:$B$482,V$54)/SUMIFS(Calc!$E$447:$E$482,Calc!$A$447:$A$482,$N55,Calc!$B$447:$B$482,V$54),0)</f>
        <v>0.21120834735779195</v>
      </c>
      <c r="W55" s="109">
        <f>$R$14</f>
        <v>0.35742230235346628</v>
      </c>
      <c r="X55" s="110"/>
      <c r="Y55" s="110"/>
    </row>
    <row r="56" spans="2:25" x14ac:dyDescent="0.25">
      <c r="B56" s="97" t="s">
        <v>363</v>
      </c>
      <c r="C56" s="97"/>
      <c r="D56" s="97"/>
      <c r="E56" s="23">
        <f>INDEX(Calc!$E$346:$E$351,Calc!$C$374)</f>
        <v>-28.385000000000002</v>
      </c>
      <c r="F56" s="23">
        <f>INDEX(Calc!$E$346:$E$351,Calc!$C$375)</f>
        <v>-19.634</v>
      </c>
      <c r="G56" s="23">
        <f>INDEX(Calc!$E$346:$E$351,Calc!$C$376)</f>
        <v>-9.4390000000000001</v>
      </c>
      <c r="H56" s="23">
        <f>INDEX(Calc!$E$346:$E$351,Calc!$C$377)</f>
        <v>-15.717000000000001</v>
      </c>
      <c r="I56" s="23">
        <f>INDEX(Calc!$E$346:$E$351,Calc!$C$378)</f>
        <v>-4.59</v>
      </c>
      <c r="J56" s="23">
        <f>INDEX(Calc!$E$346:$E$351,Calc!$C$379)</f>
        <v>-0.96099999999999997</v>
      </c>
      <c r="K56" s="65">
        <f t="shared" si="6"/>
        <v>-78.726000000000013</v>
      </c>
      <c r="L56" s="23">
        <f>SUM(Calc!$E$353:$E$358)</f>
        <v>-77.914000000000016</v>
      </c>
      <c r="N56" s="100" t="str">
        <f>$B$15</f>
        <v>Supermarkets</v>
      </c>
      <c r="O56" s="100"/>
      <c r="P56" s="100"/>
      <c r="Q56" s="66">
        <f>IFERROR(SUMIFS(Calc!$F$447:$F$482,Calc!$A$447:$A$482,$N56,Calc!$B$447:$B$482,Q$54)/SUMIFS(Calc!$E$447:$E$482,Calc!$A$447:$A$482,$N56,Calc!$B$447:$B$482,Q$54),0)</f>
        <v>0.44161913270565595</v>
      </c>
      <c r="R56" s="66">
        <f>IFERROR(SUMIFS(Calc!$F$447:$F$482,Calc!$A$447:$A$482,$N56,Calc!$B$447:$B$482,R$54)/SUMIFS(Calc!$E$447:$E$482,Calc!$A$447:$A$482,$N56,Calc!$B$447:$B$482,R$54),0)</f>
        <v>0.3989179366456036</v>
      </c>
      <c r="S56" s="66">
        <f>IFERROR(SUMIFS(Calc!$F$447:$F$482,Calc!$A$447:$A$482,$N56,Calc!$B$447:$B$482,S$54)/SUMIFS(Calc!$E$447:$E$482,Calc!$A$447:$A$482,$N56,Calc!$B$447:$B$482,S$54),0)</f>
        <v>0.37136591126356633</v>
      </c>
      <c r="T56" s="66">
        <f>IFERROR(SUMIFS(Calc!$F$447:$F$482,Calc!$A$447:$A$482,$N56,Calc!$B$447:$B$482,T$54)/SUMIFS(Calc!$E$447:$E$482,Calc!$A$447:$A$482,$N56,Calc!$B$447:$B$482,T$54),0)</f>
        <v>0.38022575250836116</v>
      </c>
      <c r="U56" s="66">
        <f>IFERROR(SUMIFS(Calc!$F$447:$F$482,Calc!$A$447:$A$482,$N56,Calc!$B$447:$B$482,U$54)/SUMIFS(Calc!$E$447:$E$482,Calc!$A$447:$A$482,$N56,Calc!$B$447:$B$482,U$54),0)</f>
        <v>0.3319799123838017</v>
      </c>
      <c r="V56" s="66">
        <f>IFERROR(SUMIFS(Calc!$F$447:$F$482,Calc!$A$447:$A$482,$N56,Calc!$B$447:$B$482,V$54)/SUMIFS(Calc!$E$447:$E$482,Calc!$A$447:$A$482,$N56,Calc!$B$447:$B$482,V$54),0)</f>
        <v>0.25900094250706884</v>
      </c>
      <c r="W56" s="109">
        <f>$R$15</f>
        <v>0.39008530275485942</v>
      </c>
      <c r="X56" s="110"/>
      <c r="Y56" s="110"/>
    </row>
    <row r="57" spans="2:25" x14ac:dyDescent="0.25">
      <c r="B57" s="97" t="s">
        <v>8</v>
      </c>
      <c r="C57" s="97"/>
      <c r="D57" s="97"/>
      <c r="E57" s="23">
        <f>INDEX(Calc!$F$346:$F$351,Calc!$C$374)</f>
        <v>-2.1749999999999998</v>
      </c>
      <c r="F57" s="23">
        <f>INDEX(Calc!$F$346:$F$351,Calc!$C$375)</f>
        <v>-1.454</v>
      </c>
      <c r="G57" s="23">
        <f>INDEX(Calc!$F$346:$F$351,Calc!$C$376)</f>
        <v>-3.4969999999999999</v>
      </c>
      <c r="H57" s="23">
        <f>INDEX(Calc!$F$346:$F$351,Calc!$C$377)</f>
        <v>-0.67900000000000005</v>
      </c>
      <c r="I57" s="23">
        <f>INDEX(Calc!$F$346:$F$351,Calc!$C$378)</f>
        <v>-0.50800000000000001</v>
      </c>
      <c r="J57" s="23">
        <f>INDEX(Calc!$F$346:$F$351,Calc!$C$379)</f>
        <v>-1.6020000000000001</v>
      </c>
      <c r="K57" s="65">
        <f t="shared" si="6"/>
        <v>-9.9149999999999991</v>
      </c>
      <c r="L57" s="23">
        <f>SUM(Calc!$F$353:$F$358)</f>
        <v>-9.6650000000000009</v>
      </c>
      <c r="N57" s="100" t="str">
        <f>$B$16</f>
        <v>Marketplaces</v>
      </c>
      <c r="O57" s="100"/>
      <c r="P57" s="100"/>
      <c r="Q57" s="66">
        <f>IFERROR(SUMIFS(Calc!$F$447:$F$482,Calc!$A$447:$A$482,$N57,Calc!$B$447:$B$482,Q$54)/SUMIFS(Calc!$E$447:$E$482,Calc!$A$447:$A$482,$N57,Calc!$B$447:$B$482,Q$54),0)</f>
        <v>0.43555678568133593</v>
      </c>
      <c r="R57" s="66">
        <f>IFERROR(SUMIFS(Calc!$F$447:$F$482,Calc!$A$447:$A$482,$N57,Calc!$B$447:$B$482,R$54)/SUMIFS(Calc!$E$447:$E$482,Calc!$A$447:$A$482,$N57,Calc!$B$447:$B$482,R$54),0)</f>
        <v>0.39226183905508338</v>
      </c>
      <c r="S57" s="66">
        <f>IFERROR(SUMIFS(Calc!$F$447:$F$482,Calc!$A$447:$A$482,$N57,Calc!$B$447:$B$482,S$54)/SUMIFS(Calc!$E$447:$E$482,Calc!$A$447:$A$482,$N57,Calc!$B$447:$B$482,S$54),0)</f>
        <v>0.36325173768510122</v>
      </c>
      <c r="T57" s="66">
        <f>IFERROR(SUMIFS(Calc!$F$447:$F$482,Calc!$A$447:$A$482,$N57,Calc!$B$447:$B$482,T$54)/SUMIFS(Calc!$E$447:$E$482,Calc!$A$447:$A$482,$N57,Calc!$B$447:$B$482,T$54),0)</f>
        <v>0.37715903728173666</v>
      </c>
      <c r="U57" s="66">
        <f>IFERROR(SUMIFS(Calc!$F$447:$F$482,Calc!$A$447:$A$482,$N57,Calc!$B$447:$B$482,U$54)/SUMIFS(Calc!$E$447:$E$482,Calc!$A$447:$A$482,$N57,Calc!$B$447:$B$482,U$54),0)</f>
        <v>0.32328966521106262</v>
      </c>
      <c r="V57" s="66">
        <f>IFERROR(SUMIFS(Calc!$F$447:$F$482,Calc!$A$447:$A$482,$N57,Calc!$B$447:$B$482,V$54)/SUMIFS(Calc!$E$447:$E$482,Calc!$A$447:$A$482,$N57,Calc!$B$447:$B$482,V$54),0)</f>
        <v>0.26396577755410161</v>
      </c>
      <c r="W57" s="109">
        <f>$R$16</f>
        <v>0.38435095540545983</v>
      </c>
      <c r="X57" s="110"/>
      <c r="Y57" s="110"/>
    </row>
    <row r="58" spans="2:25" x14ac:dyDescent="0.25">
      <c r="B58" s="107" t="s">
        <v>146</v>
      </c>
      <c r="C58" s="107"/>
      <c r="D58" s="107"/>
      <c r="E58" s="58">
        <f>INDEX(Calc!$G$346:$G$351,Calc!$C$374)</f>
        <v>114.25700000000001</v>
      </c>
      <c r="F58" s="58">
        <f>INDEX(Calc!$G$346:$G$351,Calc!$C$375)</f>
        <v>100.114</v>
      </c>
      <c r="G58" s="58">
        <f>INDEX(Calc!$G$346:$G$351,Calc!$C$376)</f>
        <v>74.471000000000004</v>
      </c>
      <c r="H58" s="58">
        <f>INDEX(Calc!$G$346:$G$351,Calc!$C$377)</f>
        <v>51.363</v>
      </c>
      <c r="I58" s="58">
        <f>INDEX(Calc!$G$346:$G$351,Calc!$C$378)</f>
        <v>45.908999999999999</v>
      </c>
      <c r="J58" s="58">
        <f>INDEX(Calc!$G$346:$G$351,Calc!$C$379)</f>
        <v>29.456</v>
      </c>
      <c r="K58" s="44">
        <f t="shared" si="6"/>
        <v>415.57</v>
      </c>
      <c r="L58" s="58">
        <f>SUM(Calc!$G$353:$G$358)</f>
        <v>416.42200000000003</v>
      </c>
      <c r="N58" s="100" t="str">
        <f>$B$17</f>
        <v>Discounters</v>
      </c>
      <c r="O58" s="100"/>
      <c r="P58" s="100"/>
      <c r="Q58" s="66">
        <f>IFERROR(SUMIFS(Calc!$F$447:$F$482,Calc!$A$447:$A$482,$N58,Calc!$B$447:$B$482,Q$54)/SUMIFS(Calc!$E$447:$E$482,Calc!$A$447:$A$482,$N58,Calc!$B$447:$B$482,Q$54),0)</f>
        <v>0.40758040838115572</v>
      </c>
      <c r="R58" s="66">
        <f>IFERROR(SUMIFS(Calc!$F$447:$F$482,Calc!$A$447:$A$482,$N58,Calc!$B$447:$B$482,R$54)/SUMIFS(Calc!$E$447:$E$482,Calc!$A$447:$A$482,$N58,Calc!$B$447:$B$482,R$54),0)</f>
        <v>0.36173296827186346</v>
      </c>
      <c r="S58" s="66">
        <f>IFERROR(SUMIFS(Calc!$F$447:$F$482,Calc!$A$447:$A$482,$N58,Calc!$B$447:$B$482,S$54)/SUMIFS(Calc!$E$447:$E$482,Calc!$A$447:$A$482,$N58,Calc!$B$447:$B$482,S$54),0)</f>
        <v>0.33333333333333331</v>
      </c>
      <c r="T58" s="66">
        <f>IFERROR(SUMIFS(Calc!$F$447:$F$482,Calc!$A$447:$A$482,$N58,Calc!$B$447:$B$482,T$54)/SUMIFS(Calc!$E$447:$E$482,Calc!$A$447:$A$482,$N58,Calc!$B$447:$B$482,T$54),0)</f>
        <v>0.33722527472527475</v>
      </c>
      <c r="U58" s="66">
        <f>IFERROR(SUMIFS(Calc!$F$447:$F$482,Calc!$A$447:$A$482,$N58,Calc!$B$447:$B$482,U$54)/SUMIFS(Calc!$E$447:$E$482,Calc!$A$447:$A$482,$N58,Calc!$B$447:$B$482,U$54),0)</f>
        <v>0.29018044481745697</v>
      </c>
      <c r="V58" s="66">
        <f>IFERROR(SUMIFS(Calc!$F$447:$F$482,Calc!$A$447:$A$482,$N58,Calc!$B$447:$B$482,V$54)/SUMIFS(Calc!$E$447:$E$482,Calc!$A$447:$A$482,$N58,Calc!$B$447:$B$482,V$54),0)</f>
        <v>0.20331491712707186</v>
      </c>
      <c r="W58" s="109">
        <f>$R$17</f>
        <v>0.35153709868971827</v>
      </c>
      <c r="X58" s="110"/>
      <c r="Y58" s="110"/>
    </row>
    <row r="59" spans="2:25" x14ac:dyDescent="0.25">
      <c r="B59" s="97" t="s">
        <v>31</v>
      </c>
      <c r="C59" s="97"/>
      <c r="D59" s="97"/>
      <c r="E59" s="23">
        <f>INDEX(Calc!$H$346:$H$351,Calc!$C$374)</f>
        <v>-52.405000000000001</v>
      </c>
      <c r="F59" s="23">
        <f>INDEX(Calc!$H$346:$H$351,Calc!$C$375)</f>
        <v>-43.875999999999998</v>
      </c>
      <c r="G59" s="23">
        <f>INDEX(Calc!$H$346:$H$351,Calc!$C$376)</f>
        <v>-31.640999999999998</v>
      </c>
      <c r="H59" s="23">
        <f>INDEX(Calc!$H$346:$H$351,Calc!$C$377)</f>
        <v>-24.521000000000001</v>
      </c>
      <c r="I59" s="23">
        <f>INDEX(Calc!$H$346:$H$351,Calc!$C$378)</f>
        <v>-18.466000000000001</v>
      </c>
      <c r="J59" s="23">
        <f>INDEX(Calc!$H$346:$H$351,Calc!$C$379)</f>
        <v>-11.585000000000001</v>
      </c>
      <c r="K59" s="65">
        <f t="shared" si="6"/>
        <v>-182.494</v>
      </c>
      <c r="L59" s="23">
        <f>SUM(Calc!$H$353:$H$358)</f>
        <v>-179.13</v>
      </c>
      <c r="N59" s="100" t="str">
        <f>$B$18</f>
        <v>Distributors</v>
      </c>
      <c r="O59" s="100"/>
      <c r="P59" s="100"/>
      <c r="Q59" s="66">
        <f>IFERROR(SUMIFS(Calc!$F$447:$F$482,Calc!$A$447:$A$482,$N59,Calc!$B$447:$B$482,Q$54)/SUMIFS(Calc!$E$447:$E$482,Calc!$A$447:$A$482,$N59,Calc!$B$447:$B$482,Q$54),0)</f>
        <v>0.51592452830188684</v>
      </c>
      <c r="R59" s="66">
        <f>IFERROR(SUMIFS(Calc!$F$447:$F$482,Calc!$A$447:$A$482,$N59,Calc!$B$447:$B$482,R$54)/SUMIFS(Calc!$E$447:$E$482,Calc!$A$447:$A$482,$N59,Calc!$B$447:$B$482,R$54),0)</f>
        <v>0.47746541722445335</v>
      </c>
      <c r="S59" s="66">
        <f>IFERROR(SUMIFS(Calc!$F$447:$F$482,Calc!$A$447:$A$482,$N59,Calc!$B$447:$B$482,S$54)/SUMIFS(Calc!$E$447:$E$482,Calc!$A$447:$A$482,$N59,Calc!$B$447:$B$482,S$54),0)</f>
        <v>0.45128957340178472</v>
      </c>
      <c r="T59" s="66">
        <f>IFERROR(SUMIFS(Calc!$F$447:$F$482,Calc!$A$447:$A$482,$N59,Calc!$B$447:$B$482,T$54)/SUMIFS(Calc!$E$447:$E$482,Calc!$A$447:$A$482,$N59,Calc!$B$447:$B$482,T$54),0)</f>
        <v>0.46171341925701287</v>
      </c>
      <c r="U59" s="66">
        <f>IFERROR(SUMIFS(Calc!$F$447:$F$482,Calc!$A$447:$A$482,$N59,Calc!$B$447:$B$482,U$54)/SUMIFS(Calc!$E$447:$E$482,Calc!$A$447:$A$482,$N59,Calc!$B$447:$B$482,U$54),0)</f>
        <v>0.41497880357983979</v>
      </c>
      <c r="V59" s="66">
        <f>IFERROR(SUMIFS(Calc!$F$447:$F$482,Calc!$A$447:$A$482,$N59,Calc!$B$447:$B$482,V$54)/SUMIFS(Calc!$E$447:$E$482,Calc!$A$447:$A$482,$N59,Calc!$B$447:$B$482,V$54),0)</f>
        <v>0.34950657894736842</v>
      </c>
      <c r="W59" s="109">
        <f>$R$18</f>
        <v>0.46908013679235011</v>
      </c>
      <c r="X59" s="110"/>
      <c r="Y59" s="110"/>
    </row>
    <row r="60" spans="2:25" x14ac:dyDescent="0.25">
      <c r="B60" s="107" t="s">
        <v>151</v>
      </c>
      <c r="C60" s="107"/>
      <c r="D60" s="107"/>
      <c r="E60" s="58">
        <f>INDEX(Calc!$I$346:$I$351,Calc!$C$374)</f>
        <v>61.851999999999997</v>
      </c>
      <c r="F60" s="58">
        <f>INDEX(Calc!$I$346:$I$351,Calc!$C$375)</f>
        <v>56.238</v>
      </c>
      <c r="G60" s="58">
        <f>INDEX(Calc!$I$346:$I$351,Calc!$C$376)</f>
        <v>42.83</v>
      </c>
      <c r="H60" s="58">
        <f>INDEX(Calc!$I$346:$I$351,Calc!$C$377)</f>
        <v>26.841999999999999</v>
      </c>
      <c r="I60" s="58">
        <f>INDEX(Calc!$I$346:$I$351,Calc!$C$378)</f>
        <v>27.443000000000001</v>
      </c>
      <c r="J60" s="58">
        <f>INDEX(Calc!$I$346:$I$351,Calc!$C$379)</f>
        <v>17.870999999999999</v>
      </c>
      <c r="K60" s="44">
        <f t="shared" si="6"/>
        <v>233.07600000000002</v>
      </c>
      <c r="L60" s="58">
        <f>SUM(Calc!$I$353:$I$358)</f>
        <v>237.292</v>
      </c>
      <c r="N60" s="100" t="str">
        <f>$B$19</f>
        <v>Direct to Consumer</v>
      </c>
      <c r="O60" s="100"/>
      <c r="P60" s="100"/>
      <c r="Q60" s="66">
        <f>IFERROR(SUMIFS(Calc!$F$447:$F$482,Calc!$A$447:$A$482,$N60,Calc!$B$447:$B$482,Q$54)/SUMIFS(Calc!$E$447:$E$482,Calc!$A$447:$A$482,$N60,Calc!$B$447:$B$482,Q$54),0)</f>
        <v>0.4029432375613175</v>
      </c>
      <c r="R60" s="66">
        <f>IFERROR(SUMIFS(Calc!$F$447:$F$482,Calc!$A$447:$A$482,$N60,Calc!$B$447:$B$482,R$54)/SUMIFS(Calc!$E$447:$E$482,Calc!$A$447:$A$482,$N60,Calc!$B$447:$B$482,R$54),0)</f>
        <v>0.36330633901144932</v>
      </c>
      <c r="S60" s="66">
        <f>IFERROR(SUMIFS(Calc!$F$447:$F$482,Calc!$A$447:$A$482,$N60,Calc!$B$447:$B$482,S$54)/SUMIFS(Calc!$E$447:$E$482,Calc!$A$447:$A$482,$N60,Calc!$B$447:$B$482,S$54),0)</f>
        <v>0.33788395904436863</v>
      </c>
      <c r="T60" s="66">
        <f>IFERROR(SUMIFS(Calc!$F$447:$F$482,Calc!$A$447:$A$482,$N60,Calc!$B$447:$B$482,T$54)/SUMIFS(Calc!$E$447:$E$482,Calc!$A$447:$A$482,$N60,Calc!$B$447:$B$482,T$54),0)</f>
        <v>0.34805442826450228</v>
      </c>
      <c r="U60" s="66">
        <f>IFERROR(SUMIFS(Calc!$F$447:$F$482,Calc!$A$447:$A$482,$N60,Calc!$B$447:$B$482,U$54)/SUMIFS(Calc!$E$447:$E$482,Calc!$A$447:$A$482,$N60,Calc!$B$447:$B$482,U$54),0)</f>
        <v>0.30199115044247782</v>
      </c>
      <c r="V60" s="66">
        <f>IFERROR(SUMIFS(Calc!$F$447:$F$482,Calc!$A$447:$A$482,$N60,Calc!$B$447:$B$482,V$54)/SUMIFS(Calc!$E$447:$E$482,Calc!$A$447:$A$482,$N60,Calc!$B$447:$B$482,V$54),0)</f>
        <v>0.24341682723185615</v>
      </c>
      <c r="W60" s="109">
        <f>$R$19</f>
        <v>0.35612438891906573</v>
      </c>
      <c r="X60" s="110"/>
      <c r="Y60" s="110"/>
    </row>
    <row r="61" spans="2:25" x14ac:dyDescent="0.25">
      <c r="B61" s="97" t="s">
        <v>277</v>
      </c>
      <c r="C61" s="97"/>
      <c r="D61" s="97"/>
      <c r="E61" s="23">
        <f>INDEX(Calc!$J$346:$J$351,Calc!$C$374)</f>
        <v>-10.701000000000001</v>
      </c>
      <c r="F61" s="23">
        <f>INDEX(Calc!$J$346:$J$351,Calc!$C$375)</f>
        <v>-8.5579999999999998</v>
      </c>
      <c r="G61" s="23">
        <f>INDEX(Calc!$J$346:$J$351,Calc!$C$376)</f>
        <v>-5.7039999999999997</v>
      </c>
      <c r="H61" s="23">
        <f>INDEX(Calc!$J$346:$J$351,Calc!$C$377)</f>
        <v>-4.99</v>
      </c>
      <c r="I61" s="23">
        <f>INDEX(Calc!$J$346:$J$351,Calc!$C$378)</f>
        <v>-3.5659999999999998</v>
      </c>
      <c r="J61" s="23">
        <f>INDEX(Calc!$J$346:$J$351,Calc!$C$379)</f>
        <v>-2.14</v>
      </c>
      <c r="K61" s="65">
        <f t="shared" si="6"/>
        <v>-35.659000000000006</v>
      </c>
      <c r="L61" s="23">
        <f>SUM(Calc!$J$353:$J$358)</f>
        <v>-37.085000000000001</v>
      </c>
      <c r="N61" s="111" t="str">
        <f>"Net revenue variance to budget, "&amp;UnitLbl</f>
        <v>Net revenue variance to budget, $m</v>
      </c>
      <c r="O61" s="112"/>
      <c r="P61" s="112"/>
      <c r="Q61" s="112"/>
      <c r="R61" s="112"/>
      <c r="S61" s="112"/>
      <c r="T61" s="112"/>
      <c r="U61" s="112"/>
      <c r="V61" s="112"/>
      <c r="W61" s="112"/>
      <c r="X61" s="112"/>
      <c r="Y61" s="112"/>
    </row>
    <row r="62" spans="2:25" ht="21" customHeight="1" x14ac:dyDescent="0.25">
      <c r="B62" s="97" t="s">
        <v>155</v>
      </c>
      <c r="C62" s="97"/>
      <c r="D62" s="97"/>
      <c r="E62" s="23">
        <f>INDEX(Calc!$K$346:$K$351,Calc!$C$374)</f>
        <v>-10.313000000000001</v>
      </c>
      <c r="F62" s="23">
        <f>INDEX(Calc!$K$346:$K$351,Calc!$C$375)</f>
        <v>-8.6270000000000007</v>
      </c>
      <c r="G62" s="23">
        <f>INDEX(Calc!$K$346:$K$351,Calc!$C$376)</f>
        <v>-8.5030000000000001</v>
      </c>
      <c r="H62" s="23">
        <f>INDEX(Calc!$K$346:$K$351,Calc!$C$377)</f>
        <v>-3.7959999999999998</v>
      </c>
      <c r="I62" s="23">
        <f>INDEX(Calc!$K$346:$K$351,Calc!$C$378)</f>
        <v>-2.3420000000000001</v>
      </c>
      <c r="J62" s="23">
        <f>INDEX(Calc!$K$346:$K$351,Calc!$C$379)</f>
        <v>-5.2409999999999997</v>
      </c>
      <c r="K62" s="65">
        <f t="shared" si="6"/>
        <v>-38.822000000000003</v>
      </c>
      <c r="L62" s="23">
        <f>SUM(Calc!$K$353:$K$358)</f>
        <v>-37.696000000000005</v>
      </c>
      <c r="N62" s="98" t="s">
        <v>4</v>
      </c>
      <c r="O62" s="98"/>
      <c r="P62" s="98"/>
      <c r="Q62" s="64" t="str">
        <f>INDEX(lstBrand,1)</f>
        <v>Aurelia</v>
      </c>
      <c r="R62" s="64" t="str">
        <f>INDEX(lstBrand,2)</f>
        <v>Novara</v>
      </c>
      <c r="S62" s="64" t="str">
        <f>INDEX(lstBrand,3)</f>
        <v>Kestrel</v>
      </c>
      <c r="T62" s="64" t="str">
        <f>INDEX(lstBrand,4)</f>
        <v>Lumio</v>
      </c>
      <c r="U62" s="64" t="str">
        <f>INDEX(lstBrand,5)</f>
        <v>Everwood</v>
      </c>
      <c r="V62" s="64" t="str">
        <f>INDEX(lstBrand,6)</f>
        <v>Tindra</v>
      </c>
      <c r="W62" s="99" t="s">
        <v>283</v>
      </c>
      <c r="X62" s="99"/>
      <c r="Y62" s="99"/>
    </row>
    <row r="63" spans="2:25" x14ac:dyDescent="0.25">
      <c r="B63" s="107" t="s">
        <v>157</v>
      </c>
      <c r="C63" s="107"/>
      <c r="D63" s="107"/>
      <c r="E63" s="58">
        <f>INDEX(Calc!$L$346:$L$351,Calc!$C$374)</f>
        <v>40.838000000000001</v>
      </c>
      <c r="F63" s="58">
        <f>INDEX(Calc!$L$346:$L$351,Calc!$C$375)</f>
        <v>39.052999999999997</v>
      </c>
      <c r="G63" s="58">
        <f>INDEX(Calc!$L$346:$L$351,Calc!$C$376)</f>
        <v>28.623000000000001</v>
      </c>
      <c r="H63" s="58">
        <f>INDEX(Calc!$L$346:$L$351,Calc!$C$377)</f>
        <v>18.056000000000001</v>
      </c>
      <c r="I63" s="58">
        <f>INDEX(Calc!$L$346:$L$351,Calc!$C$378)</f>
        <v>21.535</v>
      </c>
      <c r="J63" s="58">
        <f>INDEX(Calc!$L$346:$L$351,Calc!$C$379)</f>
        <v>10.49</v>
      </c>
      <c r="K63" s="44">
        <f t="shared" si="6"/>
        <v>158.595</v>
      </c>
      <c r="L63" s="58">
        <f>SUM(Calc!$L$353:$L$358)</f>
        <v>162.51099999999997</v>
      </c>
      <c r="N63" s="100" t="s">
        <v>368</v>
      </c>
      <c r="O63" s="100"/>
      <c r="P63" s="100"/>
      <c r="Q63" s="24">
        <f>SUMIFS(Calc!$E$447:$E$482,Calc!$B$447:$B$482,Q$62)-SUMIFS(Calc!$I$447:$I$482,Calc!$B$447:$B$482,Q$62)</f>
        <v>4.5089999999999861</v>
      </c>
      <c r="R63" s="24">
        <f>SUMIFS(Calc!$E$447:$E$482,Calc!$B$447:$B$482,R$62)-SUMIFS(Calc!$I$447:$I$482,Calc!$B$447:$B$482,R$62)</f>
        <v>0.5969999999999942</v>
      </c>
      <c r="S63" s="24">
        <f>SUMIFS(Calc!$E$447:$E$482,Calc!$B$447:$B$482,S$62)-SUMIFS(Calc!$I$447:$I$482,Calc!$B$447:$B$482,S$62)</f>
        <v>-0.7850000000000108</v>
      </c>
      <c r="T63" s="24">
        <f>SUMIFS(Calc!$E$447:$E$482,Calc!$B$447:$B$482,T$62)-SUMIFS(Calc!$I$447:$I$482,Calc!$B$447:$B$482,T$62)</f>
        <v>1.0180000000000007</v>
      </c>
      <c r="U63" s="24">
        <f>SUMIFS(Calc!$E$447:$E$482,Calc!$B$447:$B$482,U$62)-SUMIFS(Calc!$I$447:$I$482,Calc!$B$447:$B$482,U$62)</f>
        <v>-3.1309999999999931</v>
      </c>
      <c r="V63" s="24">
        <f>SUMIFS(Calc!$E$447:$E$482,Calc!$B$447:$B$482,V$62)-SUMIFS(Calc!$I$447:$I$482,Calc!$B$447:$B$482,V$62)</f>
        <v>-3.0600000000000023</v>
      </c>
      <c r="W63" s="113">
        <f>SUM(Q63:V63)</f>
        <v>-0.85200000000002518</v>
      </c>
      <c r="X63" s="113"/>
      <c r="Y63" s="113"/>
    </row>
    <row r="64" spans="2:25" x14ac:dyDescent="0.25">
      <c r="B64" s="97" t="s">
        <v>364</v>
      </c>
      <c r="C64" s="97"/>
      <c r="D64" s="97"/>
      <c r="E64" s="31">
        <f t="shared" ref="E64:L64" si="7">IFERROR(E60/E58,0)</f>
        <v>0.54134101192924722</v>
      </c>
      <c r="F64" s="31">
        <f t="shared" si="7"/>
        <v>0.56173961683680607</v>
      </c>
      <c r="G64" s="31">
        <f t="shared" si="7"/>
        <v>0.57512320232036629</v>
      </c>
      <c r="H64" s="31">
        <f t="shared" si="7"/>
        <v>0.52259408523645423</v>
      </c>
      <c r="I64" s="31">
        <f t="shared" si="7"/>
        <v>0.59776950053366451</v>
      </c>
      <c r="J64" s="31">
        <f t="shared" si="7"/>
        <v>0.60670152091254748</v>
      </c>
      <c r="K64" s="67">
        <f t="shared" si="7"/>
        <v>0.56085857978198628</v>
      </c>
      <c r="L64" s="31">
        <f t="shared" si="7"/>
        <v>0.56983540735119664</v>
      </c>
      <c r="N64" s="100" t="s">
        <v>369</v>
      </c>
      <c r="O64" s="100"/>
      <c r="P64" s="100"/>
      <c r="Q64" s="25">
        <f>IFERROR(Q63/SUMIFS(Calc!$I$447:$I$482,Calc!$B$447:$B$482,Q$62),0)</f>
        <v>3.8671663936464797E-2</v>
      </c>
      <c r="R64" s="25">
        <f>IFERROR(R63/SUMIFS(Calc!$I$447:$I$482,Calc!$B$447:$B$482,R$62),0)</f>
        <v>5.9734646094734365E-3</v>
      </c>
      <c r="S64" s="25">
        <f>IFERROR(S63/SUMIFS(Calc!$I$447:$I$482,Calc!$B$447:$B$482,S$62),0)</f>
        <v>-1.0472810715619974E-2</v>
      </c>
      <c r="T64" s="25">
        <f>IFERROR(T63/SUMIFS(Calc!$I$447:$I$482,Calc!$B$447:$B$482,T$62),0)</f>
        <v>1.7461406518010304E-2</v>
      </c>
      <c r="U64" s="25">
        <f>IFERROR(U63/SUMIFS(Calc!$I$447:$I$482,Calc!$B$447:$B$482,U$62),0)</f>
        <v>-7.5188511598866373E-2</v>
      </c>
      <c r="V64" s="25">
        <f>IFERROR(V63/SUMIFS(Calc!$I$447:$I$482,Calc!$B$447:$B$482,V$62),0)</f>
        <v>-0.12247348409045436</v>
      </c>
      <c r="W64" s="114">
        <f>H20</f>
        <v>-2.0460014120290844E-3</v>
      </c>
      <c r="X64" s="114"/>
      <c r="Y64" s="114"/>
    </row>
    <row r="65" spans="2:25" x14ac:dyDescent="0.25">
      <c r="B65" s="97" t="s">
        <v>343</v>
      </c>
      <c r="C65" s="97"/>
      <c r="D65" s="97"/>
      <c r="E65" s="31">
        <f t="shared" ref="E65:L65" si="8">IFERROR(E63/E58,0)</f>
        <v>0.35742230235346628</v>
      </c>
      <c r="F65" s="31">
        <f t="shared" si="8"/>
        <v>0.39008530275485942</v>
      </c>
      <c r="G65" s="31">
        <f t="shared" si="8"/>
        <v>0.38435095540545983</v>
      </c>
      <c r="H65" s="31">
        <f t="shared" si="8"/>
        <v>0.35153709868971827</v>
      </c>
      <c r="I65" s="31">
        <f t="shared" si="8"/>
        <v>0.46908013679235011</v>
      </c>
      <c r="J65" s="31">
        <f t="shared" si="8"/>
        <v>0.35612438891906573</v>
      </c>
      <c r="K65" s="67">
        <f t="shared" si="8"/>
        <v>0.38163245662583922</v>
      </c>
      <c r="L65" s="31">
        <f t="shared" si="8"/>
        <v>0.39025555806369489</v>
      </c>
      <c r="N65" s="100" t="s">
        <v>370</v>
      </c>
      <c r="O65" s="100"/>
      <c r="P65" s="100"/>
      <c r="Q65" s="24">
        <f>SUMIFS(Calc!$F$447:$F$482,Calc!$B$447:$B$482,Q$62)-SUMIFS(Calc!$J$447:$J$482,Calc!$B$447:$B$482,Q$62)</f>
        <v>1.4810000000000016</v>
      </c>
      <c r="R65" s="24">
        <f>SUMIFS(Calc!$F$447:$F$482,Calc!$B$447:$B$482,R$62)-SUMIFS(Calc!$J$447:$J$482,Calc!$B$447:$B$482,R$62)</f>
        <v>-0.82600000000000051</v>
      </c>
      <c r="S65" s="24">
        <f>SUMIFS(Calc!$F$447:$F$482,Calc!$B$447:$B$482,S$62)-SUMIFS(Calc!$J$447:$J$482,Calc!$B$447:$B$482,S$62)</f>
        <v>-1.3309999999999995</v>
      </c>
      <c r="T65" s="24">
        <f>SUMIFS(Calc!$F$447:$F$482,Calc!$B$447:$B$482,T$62)-SUMIFS(Calc!$J$447:$J$482,Calc!$B$447:$B$482,T$62)</f>
        <v>6.4999999999997726E-2</v>
      </c>
      <c r="U65" s="24">
        <f>SUMIFS(Calc!$F$447:$F$482,Calc!$B$447:$B$482,U$62)-SUMIFS(Calc!$J$447:$J$482,Calc!$B$447:$B$482,U$62)</f>
        <v>-1.7699999999999978</v>
      </c>
      <c r="V65" s="24">
        <f>SUMIFS(Calc!$F$447:$F$482,Calc!$B$447:$B$482,V$62)-SUMIFS(Calc!$J$447:$J$482,Calc!$B$447:$B$482,V$62)</f>
        <v>-1.5350000000000001</v>
      </c>
      <c r="W65" s="113">
        <f>SUM(Q65:V65)</f>
        <v>-3.9159999999999986</v>
      </c>
      <c r="X65" s="113"/>
      <c r="Y65" s="113"/>
    </row>
    <row r="66" spans="2:25" x14ac:dyDescent="0.25">
      <c r="B66" s="97" t="s">
        <v>365</v>
      </c>
      <c r="C66" s="97"/>
      <c r="D66" s="97"/>
      <c r="E66" s="23"/>
      <c r="F66" s="23"/>
      <c r="G66" s="23"/>
      <c r="H66" s="23"/>
      <c r="I66" s="23"/>
      <c r="J66" s="23"/>
      <c r="K66" s="65">
        <f>Calc!$E$306</f>
        <v>-76.784999999999997</v>
      </c>
      <c r="L66" s="23">
        <f>Calc!$F$306</f>
        <v>-76.947000000000017</v>
      </c>
      <c r="N66" s="100" t="s">
        <v>343</v>
      </c>
      <c r="O66" s="100"/>
      <c r="P66" s="100"/>
      <c r="Q66" s="31">
        <f>IFERROR(SUMIFS(Calc!$F$447:$F$482,Calc!$B$447:$B$482,Q$62)/SUMIFS(Calc!$E$447:$E$482,Calc!$B$447:$B$482,Q$62),0)</f>
        <v>0.43339718923917891</v>
      </c>
      <c r="R66" s="31">
        <f>IFERROR(SUMIFS(Calc!$F$447:$F$482,Calc!$B$447:$B$482,R$62)/SUMIFS(Calc!$E$447:$E$482,Calc!$B$447:$B$482,R$62),0)</f>
        <v>0.39054496265130945</v>
      </c>
      <c r="S66" s="31">
        <f>IFERROR(SUMIFS(Calc!$F$447:$F$482,Calc!$B$447:$B$482,S$62)/SUMIFS(Calc!$E$447:$E$482,Calc!$B$447:$B$482,S$62),0)</f>
        <v>0.36295856871283927</v>
      </c>
      <c r="T66" s="31">
        <f>IFERROR(SUMIFS(Calc!$F$447:$F$482,Calc!$B$447:$B$482,T$62)/SUMIFS(Calc!$E$447:$E$482,Calc!$B$447:$B$482,T$62),0)</f>
        <v>0.37138811153444151</v>
      </c>
      <c r="U66" s="31">
        <f>IFERROR(SUMIFS(Calc!$F$447:$F$482,Calc!$B$447:$B$482,U$62)/SUMIFS(Calc!$E$447:$E$482,Calc!$B$447:$B$482,U$62),0)</f>
        <v>0.32284282412817117</v>
      </c>
      <c r="V66" s="31">
        <f>IFERROR(SUMIFS(Calc!$F$447:$F$482,Calc!$B$447:$B$482,V$62)/SUMIFS(Calc!$E$447:$E$482,Calc!$B$447:$B$482,V$62),0)</f>
        <v>0.24898517673888257</v>
      </c>
      <c r="W66" s="110">
        <f>R20</f>
        <v>0.38163245662583917</v>
      </c>
      <c r="X66" s="110"/>
      <c r="Y66" s="110"/>
    </row>
    <row r="67" spans="2:25" x14ac:dyDescent="0.25">
      <c r="B67" s="107" t="s">
        <v>366</v>
      </c>
      <c r="C67" s="107"/>
      <c r="D67" s="107"/>
      <c r="E67" s="58"/>
      <c r="F67" s="58"/>
      <c r="G67" s="58"/>
      <c r="H67" s="58"/>
      <c r="I67" s="58"/>
      <c r="J67" s="58"/>
      <c r="K67" s="44">
        <f>K63+K66</f>
        <v>81.81</v>
      </c>
      <c r="L67" s="58">
        <f>L63+L66</f>
        <v>85.56399999999995</v>
      </c>
    </row>
    <row r="69" spans="2:25" ht="18" customHeight="1" x14ac:dyDescent="0.25">
      <c r="B69" s="6" t="str">
        <f>"Net revenue variance drivers vs budget, "&amp;UnitLbl</f>
        <v>Net revenue variance drivers vs budget, $m</v>
      </c>
      <c r="C69" s="6"/>
      <c r="D69" s="6"/>
      <c r="E69" s="6"/>
      <c r="F69" s="6"/>
      <c r="G69" s="6"/>
      <c r="H69" s="6"/>
      <c r="I69" s="6"/>
    </row>
    <row r="70" spans="2:25" ht="24" customHeight="1" x14ac:dyDescent="0.25">
      <c r="B70" s="98" t="s">
        <v>3</v>
      </c>
      <c r="C70" s="98"/>
      <c r="D70" s="98"/>
      <c r="E70" s="20" t="s">
        <v>249</v>
      </c>
      <c r="F70" s="20" t="s">
        <v>250</v>
      </c>
      <c r="G70" s="20" t="s">
        <v>272</v>
      </c>
      <c r="H70" s="20" t="s">
        <v>273</v>
      </c>
      <c r="I70" s="20" t="s">
        <v>371</v>
      </c>
    </row>
    <row r="71" spans="2:25" x14ac:dyDescent="0.25">
      <c r="B71" s="100" t="str">
        <f>$B$14</f>
        <v>Hypermarkets</v>
      </c>
      <c r="C71" s="100"/>
      <c r="D71" s="100"/>
      <c r="E71" s="24">
        <f>SUMIFS(Calc!$K$447:$K$482,Calc!$A$447:$A$482,$B71)</f>
        <v>-0.83889335961023681</v>
      </c>
      <c r="F71" s="24">
        <f>SUMIFS(Calc!$L$447:$L$482,Calc!$A$447:$A$482,$B71)</f>
        <v>-4.4937621129937337</v>
      </c>
      <c r="G71" s="24">
        <f>SUMIFS(Calc!$M$447:$M$482,Calc!$A$447:$A$482,$B71)</f>
        <v>0.32303716443723385</v>
      </c>
      <c r="H71" s="24">
        <f>SUMIFS(Calc!$N$447:$N$482,Calc!$A$447:$A$482,$B71)</f>
        <v>-0.93838169183326459</v>
      </c>
      <c r="I71" s="59">
        <f t="shared" ref="I71:I77" si="9">SUM(E71:H71)</f>
        <v>-5.9480000000000022</v>
      </c>
    </row>
    <row r="72" spans="2:25" x14ac:dyDescent="0.25">
      <c r="B72" s="100" t="str">
        <f>$B$15</f>
        <v>Supermarkets</v>
      </c>
      <c r="C72" s="100"/>
      <c r="D72" s="100"/>
      <c r="E72" s="24">
        <f>SUMIFS(Calc!$K$447:$K$482,Calc!$A$447:$A$482,$B72)</f>
        <v>-0.69893240684634772</v>
      </c>
      <c r="F72" s="24">
        <f>SUMIFS(Calc!$L$447:$L$482,Calc!$A$447:$A$482,$B72)</f>
        <v>0.27394619237654738</v>
      </c>
      <c r="G72" s="24">
        <f>SUMIFS(Calc!$M$447:$M$482,Calc!$A$447:$A$482,$B72)</f>
        <v>0.75424115537731662</v>
      </c>
      <c r="H72" s="24">
        <f>SUMIFS(Calc!$N$447:$N$482,Calc!$A$447:$A$482,$B72)</f>
        <v>-0.36525494090750654</v>
      </c>
      <c r="I72" s="59">
        <f t="shared" si="9"/>
        <v>-3.5999999999990262E-2</v>
      </c>
    </row>
    <row r="73" spans="2:25" x14ac:dyDescent="0.25">
      <c r="B73" s="100" t="str">
        <f>$B$16</f>
        <v>Marketplaces</v>
      </c>
      <c r="C73" s="100"/>
      <c r="D73" s="100"/>
      <c r="E73" s="24">
        <f>SUMIFS(Calc!$K$447:$K$482,Calc!$A$447:$A$482,$B73)</f>
        <v>-0.47835171205660726</v>
      </c>
      <c r="F73" s="24">
        <f>SUMIFS(Calc!$L$447:$L$482,Calc!$A$447:$A$482,$B73)</f>
        <v>5.915923470418015</v>
      </c>
      <c r="G73" s="24">
        <f>SUMIFS(Calc!$M$447:$M$482,Calc!$A$447:$A$482,$B73)</f>
        <v>0.36870101298165431</v>
      </c>
      <c r="H73" s="24">
        <f>SUMIFS(Calc!$N$447:$N$482,Calc!$A$447:$A$482,$B73)</f>
        <v>0.12172722865693429</v>
      </c>
      <c r="I73" s="59">
        <f t="shared" si="9"/>
        <v>5.9279999999999964</v>
      </c>
    </row>
    <row r="74" spans="2:25" x14ac:dyDescent="0.25">
      <c r="B74" s="100" t="str">
        <f>$B$17</f>
        <v>Discounters</v>
      </c>
      <c r="C74" s="100"/>
      <c r="D74" s="100"/>
      <c r="E74" s="24">
        <f>SUMIFS(Calc!$K$447:$K$482,Calc!$A$447:$A$482,$B74)</f>
        <v>-0.37921706563371776</v>
      </c>
      <c r="F74" s="24">
        <f>SUMIFS(Calc!$L$447:$L$482,Calc!$A$447:$A$482,$B74)</f>
        <v>-1.4786075689852682</v>
      </c>
      <c r="G74" s="24">
        <f>SUMIFS(Calc!$M$447:$M$482,Calc!$A$447:$A$482,$B74)</f>
        <v>-0.38901759594281171</v>
      </c>
      <c r="H74" s="24">
        <f>SUMIFS(Calc!$N$447:$N$482,Calc!$A$447:$A$482,$B74)</f>
        <v>-0.72815776943820421</v>
      </c>
      <c r="I74" s="59">
        <f t="shared" si="9"/>
        <v>-2.9750000000000019</v>
      </c>
    </row>
    <row r="75" spans="2:25" x14ac:dyDescent="0.25">
      <c r="B75" s="100" t="str">
        <f>$B$18</f>
        <v>Distributors</v>
      </c>
      <c r="C75" s="100"/>
      <c r="D75" s="100"/>
      <c r="E75" s="24">
        <f>SUMIFS(Calc!$K$447:$K$482,Calc!$A$447:$A$482,$B75)</f>
        <v>-0.31656787725369129</v>
      </c>
      <c r="F75" s="24">
        <f>SUMIFS(Calc!$L$447:$L$482,Calc!$A$447:$A$482,$B75)</f>
        <v>0.75804955902602145</v>
      </c>
      <c r="G75" s="24">
        <f>SUMIFS(Calc!$M$447:$M$482,Calc!$A$447:$A$482,$B75)</f>
        <v>0.11732074719215513</v>
      </c>
      <c r="H75" s="24">
        <f>SUMIFS(Calc!$N$447:$N$482,Calc!$A$447:$A$482,$B75)</f>
        <v>-1.0802428964487628E-2</v>
      </c>
      <c r="I75" s="59">
        <f t="shared" si="9"/>
        <v>0.54799999999999771</v>
      </c>
    </row>
    <row r="76" spans="2:25" x14ac:dyDescent="0.25">
      <c r="B76" s="100" t="str">
        <f>$B$19</f>
        <v>Direct to Consumer</v>
      </c>
      <c r="C76" s="100"/>
      <c r="D76" s="100"/>
      <c r="E76" s="24">
        <f>SUMIFS(Calc!$K$447:$K$482,Calc!$A$447:$A$482,$B76)</f>
        <v>-0.19418666221167871</v>
      </c>
      <c r="F76" s="24">
        <f>SUMIFS(Calc!$L$447:$L$482,Calc!$A$447:$A$482,$B76)</f>
        <v>1.5877111705542357</v>
      </c>
      <c r="G76" s="24">
        <f>SUMIFS(Calc!$M$447:$M$482,Calc!$A$447:$A$482,$B76)</f>
        <v>0.26641856160933697</v>
      </c>
      <c r="H76" s="24">
        <f>SUMIFS(Calc!$N$447:$N$482,Calc!$A$447:$A$482,$B76)</f>
        <v>-2.894306995189579E-2</v>
      </c>
      <c r="I76" s="59">
        <f t="shared" si="9"/>
        <v>1.630999999999998</v>
      </c>
    </row>
    <row r="77" spans="2:25" x14ac:dyDescent="0.25">
      <c r="B77" s="107" t="s">
        <v>283</v>
      </c>
      <c r="C77" s="107"/>
      <c r="D77" s="107"/>
      <c r="E77" s="59">
        <f>SUM(E71:E76)</f>
        <v>-2.9061490836122799</v>
      </c>
      <c r="F77" s="59">
        <f>SUM(F71:F76)</f>
        <v>2.5632607103958174</v>
      </c>
      <c r="G77" s="59">
        <f>SUM(G71:G76)</f>
        <v>1.4407010456548854</v>
      </c>
      <c r="H77" s="59">
        <f>SUM(H71:H76)</f>
        <v>-1.9498126724384246</v>
      </c>
      <c r="I77" s="59">
        <f t="shared" si="9"/>
        <v>-0.85200000000000164</v>
      </c>
    </row>
    <row r="79" spans="2:25" x14ac:dyDescent="0.25">
      <c r="B79" s="115" t="s">
        <v>372</v>
      </c>
      <c r="C79" s="115"/>
      <c r="D79" s="115"/>
      <c r="E79" s="115"/>
      <c r="F79" s="115"/>
      <c r="G79" s="115"/>
      <c r="H79" s="115"/>
      <c r="I79" s="115"/>
    </row>
    <row r="80" spans="2:25" x14ac:dyDescent="0.25">
      <c r="B80" s="115"/>
      <c r="C80" s="115"/>
      <c r="D80" s="115"/>
      <c r="E80" s="115"/>
      <c r="F80" s="115"/>
      <c r="G80" s="115"/>
      <c r="H80" s="115"/>
      <c r="I80" s="115"/>
    </row>
    <row r="81" spans="2:25" x14ac:dyDescent="0.25">
      <c r="B81" s="115"/>
      <c r="C81" s="115"/>
      <c r="D81" s="115"/>
      <c r="E81" s="115"/>
      <c r="F81" s="115"/>
      <c r="G81" s="115"/>
      <c r="H81" s="115"/>
      <c r="I81" s="115"/>
    </row>
    <row r="82" spans="2:25" x14ac:dyDescent="0.25">
      <c r="B82" s="115"/>
      <c r="C82" s="115"/>
      <c r="D82" s="115"/>
      <c r="E82" s="115"/>
      <c r="F82" s="115"/>
      <c r="G82" s="115"/>
      <c r="H82" s="115"/>
      <c r="I82" s="115"/>
    </row>
    <row r="83" spans="2:25" x14ac:dyDescent="0.25">
      <c r="B83" s="115"/>
      <c r="C83" s="115"/>
      <c r="D83" s="115"/>
      <c r="E83" s="115"/>
      <c r="F83" s="115"/>
      <c r="G83" s="115"/>
      <c r="H83" s="115"/>
      <c r="I83" s="115"/>
    </row>
    <row r="85" spans="2:25" ht="18" customHeight="1" x14ac:dyDescent="0.25">
      <c r="B85" s="6" t="str">
        <f>"Focus: "&amp;focusChannel&amp;"  (change the channel in the yellow cell at the top of this page)"</f>
        <v>Focus: Marketplaces  (change the channel in the yellow cell at the top of this page)</v>
      </c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</sheetData>
  <mergeCells count="91">
    <mergeCell ref="B77:D77"/>
    <mergeCell ref="B79:I83"/>
    <mergeCell ref="B72:D72"/>
    <mergeCell ref="B73:D73"/>
    <mergeCell ref="B74:D74"/>
    <mergeCell ref="B75:D75"/>
    <mergeCell ref="B76:D76"/>
    <mergeCell ref="W64:Y64"/>
    <mergeCell ref="W65:Y65"/>
    <mergeCell ref="W66:Y66"/>
    <mergeCell ref="B70:D70"/>
    <mergeCell ref="B71:D71"/>
    <mergeCell ref="B64:D64"/>
    <mergeCell ref="B65:D65"/>
    <mergeCell ref="B66:D66"/>
    <mergeCell ref="B67:D67"/>
    <mergeCell ref="N64:P64"/>
    <mergeCell ref="N65:P65"/>
    <mergeCell ref="N66:P66"/>
    <mergeCell ref="W60:Y60"/>
    <mergeCell ref="N61:Y61"/>
    <mergeCell ref="N62:P62"/>
    <mergeCell ref="W62:Y62"/>
    <mergeCell ref="N63:P63"/>
    <mergeCell ref="W63:Y63"/>
    <mergeCell ref="N60:P60"/>
    <mergeCell ref="W57:Y57"/>
    <mergeCell ref="N58:P58"/>
    <mergeCell ref="W58:Y58"/>
    <mergeCell ref="N59:P59"/>
    <mergeCell ref="W59:Y59"/>
    <mergeCell ref="N57:P57"/>
    <mergeCell ref="W54:Y54"/>
    <mergeCell ref="N55:P55"/>
    <mergeCell ref="W55:Y55"/>
    <mergeCell ref="N56:P56"/>
    <mergeCell ref="W56:Y56"/>
    <mergeCell ref="N54:P54"/>
    <mergeCell ref="B59:D59"/>
    <mergeCell ref="B60:D60"/>
    <mergeCell ref="B61:D61"/>
    <mergeCell ref="B62:D62"/>
    <mergeCell ref="B63:D63"/>
    <mergeCell ref="B54:D54"/>
    <mergeCell ref="B55:D55"/>
    <mergeCell ref="B56:D56"/>
    <mergeCell ref="B57:D57"/>
    <mergeCell ref="B58:D58"/>
    <mergeCell ref="N9:Q9"/>
    <mergeCell ref="R6:U6"/>
    <mergeCell ref="R7:U8"/>
    <mergeCell ref="R9:U9"/>
    <mergeCell ref="V6:Y6"/>
    <mergeCell ref="V7:Y8"/>
    <mergeCell ref="V9:Y9"/>
    <mergeCell ref="B18:D18"/>
    <mergeCell ref="V18:Y18"/>
    <mergeCell ref="B19:D19"/>
    <mergeCell ref="V19:Y19"/>
    <mergeCell ref="B20:D20"/>
    <mergeCell ref="V20:Y20"/>
    <mergeCell ref="B15:D15"/>
    <mergeCell ref="V15:Y15"/>
    <mergeCell ref="B16:D16"/>
    <mergeCell ref="V16:Y16"/>
    <mergeCell ref="B17:D17"/>
    <mergeCell ref="V17:Y17"/>
    <mergeCell ref="W5:Y5"/>
    <mergeCell ref="B13:D13"/>
    <mergeCell ref="V13:Y13"/>
    <mergeCell ref="B14:D14"/>
    <mergeCell ref="V14:Y14"/>
    <mergeCell ref="B6:E6"/>
    <mergeCell ref="B7:E8"/>
    <mergeCell ref="B9:E9"/>
    <mergeCell ref="F6:I6"/>
    <mergeCell ref="F7:I8"/>
    <mergeCell ref="F9:I9"/>
    <mergeCell ref="J6:M6"/>
    <mergeCell ref="J7:M8"/>
    <mergeCell ref="J9:M9"/>
    <mergeCell ref="N6:Q6"/>
    <mergeCell ref="N7:Q8"/>
    <mergeCell ref="B2:O2"/>
    <mergeCell ref="B3:O3"/>
    <mergeCell ref="B4:C4"/>
    <mergeCell ref="D4:E4"/>
    <mergeCell ref="F4:G4"/>
    <mergeCell ref="H4:I4"/>
    <mergeCell ref="J4:K4"/>
    <mergeCell ref="L4:M4"/>
  </mergeCells>
  <conditionalFormatting sqref="E71:I77">
    <cfRule type="cellIs" dxfId="20" priority="18" operator="greaterThan">
      <formula>0</formula>
    </cfRule>
    <cfRule type="cellIs" dxfId="19" priority="19" operator="lessThan">
      <formula>0</formula>
    </cfRule>
  </conditionalFormatting>
  <conditionalFormatting sqref="G14:J20">
    <cfRule type="cellIs" dxfId="18" priority="1" operator="greaterThan">
      <formula>0</formula>
    </cfRule>
    <cfRule type="cellIs" dxfId="17" priority="2" operator="lessThan">
      <formula>0</formula>
    </cfRule>
  </conditionalFormatting>
  <conditionalFormatting sqref="K14:K19">
    <cfRule type="dataBar" priority="14">
      <dataBar>
        <cfvo type="min"/>
        <cfvo type="max"/>
        <color rgb="FFCBD5E1"/>
      </dataBar>
      <extLst>
        <ext xmlns:x14="http://schemas.microsoft.com/office/spreadsheetml/2009/9/main" uri="{B025F937-C7B1-47D3-B67F-A62EFF666E3E}">
          <x14:id>{DA7ABA51-AAAA-BBBB-0003-000000000001}</x14:id>
        </ext>
      </extLst>
    </cfRule>
  </conditionalFormatting>
  <conditionalFormatting sqref="Q14:Q20">
    <cfRule type="cellIs" dxfId="16" priority="9" operator="greaterThan">
      <formula>0</formula>
    </cfRule>
    <cfRule type="cellIs" dxfId="15" priority="10" operator="lessThan">
      <formula>0</formula>
    </cfRule>
  </conditionalFormatting>
  <conditionalFormatting sqref="Q55:V60">
    <cfRule type="colorScale" priority="15">
      <colorScale>
        <cfvo type="min"/>
        <cfvo type="percentile" val="50"/>
        <cfvo type="max"/>
        <color rgb="FFE9A49D"/>
        <color rgb="FFFFFFFF"/>
        <color rgb="FF8CCBA8"/>
      </colorScale>
    </cfRule>
  </conditionalFormatting>
  <conditionalFormatting sqref="Q63:Y65">
    <cfRule type="cellIs" dxfId="14" priority="16" operator="greaterThan">
      <formula>0</formula>
    </cfRule>
    <cfRule type="cellIs" dxfId="13" priority="17" operator="lessThan">
      <formula>0</formula>
    </cfRule>
  </conditionalFormatting>
  <conditionalFormatting sqref="R14:R19">
    <cfRule type="dataBar" priority="13">
      <dataBar>
        <cfvo type="min"/>
        <cfvo type="max"/>
        <color rgb="FFA7D3D7"/>
      </dataBar>
      <extLst>
        <ext xmlns:x14="http://schemas.microsoft.com/office/spreadsheetml/2009/9/main" uri="{B025F937-C7B1-47D3-B67F-A62EFF666E3E}">
          <x14:id>{DA7ABA51-AAAA-BBBB-0003-000000000002}</x14:id>
        </ext>
      </extLst>
    </cfRule>
  </conditionalFormatting>
  <conditionalFormatting sqref="T14:T20">
    <cfRule type="cellIs" dxfId="12" priority="11" operator="greaterThan">
      <formula>0</formula>
    </cfRule>
    <cfRule type="cellIs" dxfId="11" priority="12" operator="lessThan">
      <formula>0</formula>
    </cfRule>
  </conditionalFormatting>
  <dataValidations count="1">
    <dataValidation type="list" allowBlank="1" showInputMessage="1" showErrorMessage="1" promptTitle="Focus" prompt="Drives the focus charts at the bottom of this page." sqref="W5" xr:uid="{00000000-0002-0000-0200-000000000000}">
      <formula1>lstChannel</formula1>
    </dataValidation>
  </dataValidations>
  <hyperlinks>
    <hyperlink ref="B4" location="Summary!A1" display="Summary" xr:uid="{00000000-0004-0000-0200-000000000000}"/>
    <hyperlink ref="D4" location="'P&amp;L'!A1" display="P&amp;L" xr:uid="{00000000-0004-0000-0200-000001000000}"/>
    <hyperlink ref="F4" location="Channel!A1" display="Channel" xr:uid="{00000000-0004-0000-0200-000002000000}"/>
    <hyperlink ref="H4" location="Brand!A1" display="Brand" xr:uid="{00000000-0004-0000-0200-000003000000}"/>
    <hyperlink ref="J4" location="Data!A1" display="Data" xr:uid="{00000000-0004-0000-0200-000004000000}"/>
    <hyperlink ref="L4" location="Guide!A1" display="Guide" xr:uid="{00000000-0004-0000-0200-000005000000}"/>
  </hyperlinks>
  <pageMargins left="0.3" right="0.3" top="0.4" bottom="0.4" header="0.3" footer="0.3"/>
  <pageSetup paperSize="9" fitToHeight="0" orientation="landscape"/>
  <rowBreaks count="1" manualBreakCount="1">
    <brk id="52" max="16383" man="1"/>
  </rowBreaks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A7ABA51-AAAA-BBBB-0003-000000000001}">
            <x14:dataBar minLength="0" maxLength="100" border="1" gradient="0" negativeBarBorderColorSameAsPositive="0">
              <x14:cfvo type="autoMin"/>
              <x14:cfvo type="autoMax"/>
              <x14:borderColor rgb="FFCBD5E1"/>
              <x14:negativeFillColor rgb="FFFF0000"/>
              <x14:negativeBorderColor rgb="FFFF0000"/>
              <x14:axisColor rgb="FF000000"/>
            </x14:dataBar>
          </x14:cfRule>
          <xm:sqref>K14:K19</xm:sqref>
        </x14:conditionalFormatting>
        <x14:conditionalFormatting xmlns:xm="http://schemas.microsoft.com/office/excel/2006/main">
          <x14:cfRule type="dataBar" id="{DA7ABA51-AAAA-BBBB-0003-000000000002}">
            <x14:dataBar minLength="0" maxLength="100" border="1" gradient="0" negativeBarBorderColorSameAsPositive="0">
              <x14:cfvo type="autoMin"/>
              <x14:cfvo type="autoMax"/>
              <x14:borderColor rgb="FFA7D3D7"/>
              <x14:negativeFillColor rgb="FFFF0000"/>
              <x14:negativeBorderColor rgb="FFFF0000"/>
              <x14:axisColor rgb="FF000000"/>
            </x14:dataBar>
          </x14:cfRule>
          <xm:sqref>R14:R19</xm:sqref>
        </x14:conditionalFormatting>
      </x14:conditionalFormattings>
    </ext>
    <ext xmlns:x14="http://schemas.microsoft.com/office/spreadsheetml/2009/9/main" uri="{05C60535-1F16-4fd2-B633-F4F36F0B64E0}">
      <x14:sparklineGroups xmlns:xm="http://schemas.microsoft.com/office/excel/2006/main">
        <x14:sparklineGroup lineWeight="1.25" displayEmptyCellsAs="gap" high="1" xr2:uid="{00000000-0003-0000-0200-00002C000000}">
          <x14:colorSeries rgb="FF0F2A47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rgb="FF12808A"/>
          <x14:colorLow theme="4"/>
          <x14:sparklines>
            <x14:sparkline>
              <xm:f>Calc!D418:O418</xm:f>
              <xm:sqref>V14</xm:sqref>
            </x14:sparkline>
          </x14:sparklines>
        </x14:sparklineGroup>
        <x14:sparklineGroup lineWeight="1.25" displayEmptyCellsAs="gap" high="1" xr2:uid="{00000000-0003-0000-0200-00002B000000}">
          <x14:colorSeries rgb="FF0F2A47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rgb="FF12808A"/>
          <x14:colorLow theme="4"/>
          <x14:sparklines>
            <x14:sparkline>
              <xm:f>Calc!D419:O419</xm:f>
              <xm:sqref>V15</xm:sqref>
            </x14:sparkline>
          </x14:sparklines>
        </x14:sparklineGroup>
        <x14:sparklineGroup lineWeight="1.25" displayEmptyCellsAs="gap" high="1" xr2:uid="{00000000-0003-0000-0200-00002A000000}">
          <x14:colorSeries rgb="FF0F2A47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rgb="FF12808A"/>
          <x14:colorLow theme="4"/>
          <x14:sparklines>
            <x14:sparkline>
              <xm:f>Calc!D420:O420</xm:f>
              <xm:sqref>V16</xm:sqref>
            </x14:sparkline>
          </x14:sparklines>
        </x14:sparklineGroup>
        <x14:sparklineGroup lineWeight="1.25" displayEmptyCellsAs="gap" high="1" xr2:uid="{00000000-0003-0000-0200-000029000000}">
          <x14:colorSeries rgb="FF0F2A47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rgb="FF12808A"/>
          <x14:colorLow theme="4"/>
          <x14:sparklines>
            <x14:sparkline>
              <xm:f>Calc!D421:O421</xm:f>
              <xm:sqref>V17</xm:sqref>
            </x14:sparkline>
          </x14:sparklines>
        </x14:sparklineGroup>
        <x14:sparklineGroup lineWeight="1.25" displayEmptyCellsAs="gap" high="1" xr2:uid="{00000000-0003-0000-0200-000028000000}">
          <x14:colorSeries rgb="FF0F2A47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rgb="FF12808A"/>
          <x14:colorLow theme="4"/>
          <x14:sparklines>
            <x14:sparkline>
              <xm:f>Calc!D422:O422</xm:f>
              <xm:sqref>V18</xm:sqref>
            </x14:sparkline>
          </x14:sparklines>
        </x14:sparklineGroup>
        <x14:sparklineGroup lineWeight="1.25" displayEmptyCellsAs="gap" high="1" xr2:uid="{00000000-0003-0000-0200-000027000000}">
          <x14:colorSeries rgb="FF0F2A47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rgb="FF12808A"/>
          <x14:colorLow theme="4"/>
          <x14:sparklines>
            <x14:sparkline>
              <xm:f>Calc!D423:O423</xm:f>
              <xm:sqref>V19</xm:sqref>
            </x14:sparkline>
          </x14:sparklines>
        </x14:sparklineGroup>
      </x14:sparklineGroup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12808A"/>
    <pageSetUpPr fitToPage="1"/>
  </sheetPr>
  <dimension ref="A1:Z85"/>
  <sheetViews>
    <sheetView showGridLines="0" zoomScale="90" zoomScaleNormal="90" workbookViewId="0">
      <pane ySplit="4" topLeftCell="A5" activePane="bottomLeft" state="frozen"/>
      <selection pane="bottomLeft" activeCell="F15" sqref="F15"/>
    </sheetView>
  </sheetViews>
  <sheetFormatPr defaultColWidth="0" defaultRowHeight="15" x14ac:dyDescent="0.25"/>
  <cols>
    <col min="1" max="1" width="2" style="1" customWidth="1"/>
    <col min="2" max="25" width="8.85546875" style="1" customWidth="1"/>
    <col min="26" max="26" width="2" style="1" customWidth="1"/>
    <col min="27" max="27" width="0" hidden="1" customWidth="1"/>
  </cols>
  <sheetData>
    <row r="1" spans="1:26" s="2" customFormat="1" ht="4.5" customHeight="1" x14ac:dyDescent="0.25"/>
    <row r="2" spans="1:26" ht="21" customHeight="1" x14ac:dyDescent="0.25">
      <c r="A2" s="2"/>
      <c r="B2" s="82" t="str">
        <f>Company&amp;": Brand profitability"</f>
        <v>Coskun Finance: Brand profitability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8" customHeight="1" x14ac:dyDescent="0.25">
      <c r="A3" s="2"/>
      <c r="B3" s="83" t="str">
        <f>PerLbl&amp;"  |  "&amp;UnitLbl&amp;"  |  period set on Summary"</f>
        <v>YTD Oct 2026  |  $m  |  period set on Summary</v>
      </c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customHeight="1" x14ac:dyDescent="0.25">
      <c r="B4" s="85" t="s">
        <v>326</v>
      </c>
      <c r="C4" s="85"/>
      <c r="D4" s="85" t="s">
        <v>327</v>
      </c>
      <c r="E4" s="85"/>
      <c r="F4" s="85" t="s">
        <v>3</v>
      </c>
      <c r="G4" s="85"/>
      <c r="H4" s="84" t="s">
        <v>4</v>
      </c>
      <c r="I4" s="84"/>
      <c r="J4" s="85" t="s">
        <v>328</v>
      </c>
      <c r="K4" s="85"/>
      <c r="L4" s="85" t="s">
        <v>329</v>
      </c>
      <c r="M4" s="8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6" ht="18" customHeight="1" x14ac:dyDescent="0.25">
      <c r="B5" s="6" t="str">
        <f>"Brand scoreboard: "&amp;PerLbl</f>
        <v>Brand scoreboard: YTD Oct 2026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57" t="s">
        <v>376</v>
      </c>
      <c r="W5" s="87" t="s">
        <v>38</v>
      </c>
      <c r="X5" s="87"/>
      <c r="Y5" s="87"/>
    </row>
    <row r="6" spans="1:26" x14ac:dyDescent="0.25">
      <c r="B6" s="88" t="s">
        <v>380</v>
      </c>
      <c r="C6" s="88"/>
      <c r="D6" s="88"/>
      <c r="E6" s="88"/>
      <c r="F6" s="88" t="s">
        <v>349</v>
      </c>
      <c r="G6" s="88"/>
      <c r="H6" s="88"/>
      <c r="I6" s="88"/>
      <c r="J6" s="88" t="s">
        <v>350</v>
      </c>
      <c r="K6" s="88"/>
      <c r="L6" s="88"/>
      <c r="M6" s="88"/>
      <c r="N6" s="88" t="s">
        <v>351</v>
      </c>
      <c r="O6" s="88"/>
      <c r="P6" s="88"/>
      <c r="Q6" s="88"/>
      <c r="R6" s="88" t="s">
        <v>352</v>
      </c>
      <c r="S6" s="88"/>
      <c r="T6" s="88"/>
      <c r="U6" s="88"/>
      <c r="V6" s="88" t="s">
        <v>353</v>
      </c>
      <c r="W6" s="88"/>
      <c r="X6" s="88"/>
      <c r="Y6" s="88"/>
    </row>
    <row r="7" spans="1:26" x14ac:dyDescent="0.25">
      <c r="B7" s="105" t="str">
        <f>INDEX($B$14:$B$19,MATCH(MAX($E$14:$E$19),$E$14:$E$19,0))</f>
        <v>Aurelia</v>
      </c>
      <c r="C7" s="105"/>
      <c r="D7" s="105"/>
      <c r="E7" s="105"/>
      <c r="F7" s="105" t="str">
        <f>INDEX($B$14:$B$19,MATCH(MAX($R$14:$R$19),$R$14:$R$19,0))</f>
        <v>Aurelia</v>
      </c>
      <c r="G7" s="105"/>
      <c r="H7" s="105"/>
      <c r="I7" s="105"/>
      <c r="J7" s="105" t="str">
        <f>INDEX($B$14:$B$19,MATCH(MIN($R$14:$R$19),$R$14:$R$19,0))</f>
        <v>Tindra</v>
      </c>
      <c r="K7" s="105"/>
      <c r="L7" s="105"/>
      <c r="M7" s="105"/>
      <c r="N7" s="105" t="str">
        <f>INDEX($B$14:$B$19,MATCH(MAX($G$14:$G$19),$G$14:$G$19,0))</f>
        <v>Aurelia</v>
      </c>
      <c r="O7" s="105"/>
      <c r="P7" s="105"/>
      <c r="Q7" s="105"/>
      <c r="R7" s="105" t="str">
        <f>INDEX($B$14:$B$19,MATCH(MIN($G$14:$G$19),$G$14:$G$19,0))</f>
        <v>Everwood</v>
      </c>
      <c r="S7" s="105"/>
      <c r="T7" s="105"/>
      <c r="U7" s="105"/>
      <c r="V7" s="108">
        <f>$O$20</f>
        <v>158.595</v>
      </c>
      <c r="W7" s="108"/>
      <c r="X7" s="108"/>
      <c r="Y7" s="108"/>
    </row>
    <row r="8" spans="1:26" x14ac:dyDescent="0.25">
      <c r="B8" s="105"/>
      <c r="C8" s="105"/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05"/>
      <c r="O8" s="105"/>
      <c r="P8" s="105"/>
      <c r="Q8" s="105"/>
      <c r="R8" s="105"/>
      <c r="S8" s="105"/>
      <c r="T8" s="105"/>
      <c r="U8" s="105"/>
      <c r="V8" s="108"/>
      <c r="W8" s="108"/>
      <c r="X8" s="108"/>
      <c r="Y8" s="108"/>
    </row>
    <row r="9" spans="1:26" x14ac:dyDescent="0.25">
      <c r="B9" s="106" t="str">
        <f>UnitLbl&amp;" "&amp;FIXED(MAX($E$14:$E$19),1)&amp;" | "&amp;FIXED(INDEX($K$14:$K$19,MATCH(MAX($E$14:$E$19),$E$14:$E$19,0))*100,1)&amp;"% of net revenue"</f>
        <v>$m 121.1 | 29.1% of net revenue</v>
      </c>
      <c r="C9" s="106"/>
      <c r="D9" s="106"/>
      <c r="E9" s="106"/>
      <c r="F9" s="106" t="str">
        <f>"CM "&amp;FIXED(MAX($R$14:$R$19)*100,1)&amp;"% vs total "&amp;FIXED($R$20*100,1)&amp;"%"</f>
        <v>CM 43.3% vs total 38.2%</v>
      </c>
      <c r="G9" s="106"/>
      <c r="H9" s="106"/>
      <c r="I9" s="106"/>
      <c r="J9" s="106" t="str">
        <f>"CM "&amp;FIXED(MIN($R$14:$R$19)*100,1)&amp;"%, gap to total "&amp;FIXED(($R$20-MIN($R$14:$R$19))*100,1)&amp;"pp"</f>
        <v>CM 24.9%, gap to total 13.3pp</v>
      </c>
      <c r="K9" s="106"/>
      <c r="L9" s="106"/>
      <c r="M9" s="106"/>
      <c r="N9" s="106" t="str">
        <f>IF(MAX($G$14:$G$19)&gt;=0,"+","-")&amp;FIXED(ABS(MAX($G$14:$G$19)),1)&amp;" "&amp;UnitLbl&amp;" net revenue"</f>
        <v>+4.5 $m net revenue</v>
      </c>
      <c r="O9" s="106"/>
      <c r="P9" s="106"/>
      <c r="Q9" s="106"/>
      <c r="R9" s="106" t="str">
        <f>IF(MIN($G$14:$G$19)&gt;=0,"+","-")&amp;FIXED(ABS(MIN($G$14:$G$19)),1)&amp;" "&amp;UnitLbl&amp;" net revenue"</f>
        <v>-3.1 $m net revenue</v>
      </c>
      <c r="S9" s="106"/>
      <c r="T9" s="106"/>
      <c r="U9" s="106"/>
      <c r="V9" s="106" t="str">
        <f>"CM % "&amp;FIXED($R$20*100,1)&amp;"%, "&amp;IF($T$20&gt;=0,"+","-")&amp;FIXED(ABS($T$20),1)&amp;"pp vs budget"</f>
        <v>CM % 38.2%, -0.9pp vs budget</v>
      </c>
      <c r="W9" s="106"/>
      <c r="X9" s="106"/>
      <c r="Y9" s="106"/>
    </row>
    <row r="10" spans="1:26" ht="6" customHeight="1" x14ac:dyDescent="0.25"/>
    <row r="11" spans="1:26" ht="6" customHeight="1" x14ac:dyDescent="0.25"/>
    <row r="12" spans="1:26" ht="18" customHeight="1" x14ac:dyDescent="0.25">
      <c r="B12" s="6" t="s">
        <v>377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</row>
    <row r="13" spans="1:26" ht="24" customHeight="1" x14ac:dyDescent="0.25">
      <c r="B13" s="98" t="s">
        <v>4</v>
      </c>
      <c r="C13" s="98"/>
      <c r="D13" s="98"/>
      <c r="E13" s="20" t="str">
        <f>"NR "&amp;AcLbl</f>
        <v>NR Actual</v>
      </c>
      <c r="F13" s="20" t="s">
        <v>332</v>
      </c>
      <c r="G13" s="20" t="s">
        <v>333</v>
      </c>
      <c r="H13" s="20" t="s">
        <v>334</v>
      </c>
      <c r="I13" s="20" t="s">
        <v>335</v>
      </c>
      <c r="J13" s="20" t="s">
        <v>336</v>
      </c>
      <c r="K13" s="20" t="s">
        <v>337</v>
      </c>
      <c r="L13" s="20" t="s">
        <v>338</v>
      </c>
      <c r="M13" s="20" t="s">
        <v>378</v>
      </c>
      <c r="N13" s="20" t="s">
        <v>340</v>
      </c>
      <c r="O13" s="20" t="str">
        <f>"CM "&amp;AcLbl</f>
        <v>CM Actual</v>
      </c>
      <c r="P13" s="20" t="s">
        <v>341</v>
      </c>
      <c r="Q13" s="20" t="s">
        <v>342</v>
      </c>
      <c r="R13" s="20" t="s">
        <v>343</v>
      </c>
      <c r="S13" s="20" t="s">
        <v>344</v>
      </c>
      <c r="T13" s="20" t="s">
        <v>345</v>
      </c>
      <c r="U13" s="20" t="s">
        <v>379</v>
      </c>
      <c r="V13" s="99" t="s">
        <v>347</v>
      </c>
      <c r="W13" s="99"/>
      <c r="X13" s="99"/>
      <c r="Y13" s="99"/>
    </row>
    <row r="14" spans="1:26" x14ac:dyDescent="0.25">
      <c r="B14" s="100" t="str">
        <f>INDEX(lstBrand,Calc!$C$410)</f>
        <v>Aurelia</v>
      </c>
      <c r="C14" s="100"/>
      <c r="D14" s="100"/>
      <c r="E14" s="23">
        <f>INDEX(Calc!$G$382:$G$387,Calc!$C$410)</f>
        <v>121.10599999999999</v>
      </c>
      <c r="F14" s="23">
        <f>INDEX(Calc!$G$389:$G$394,Calc!$C$410)</f>
        <v>116.59699999999999</v>
      </c>
      <c r="G14" s="24">
        <f t="shared" ref="G14:G20" si="0">E14-F14</f>
        <v>4.5090000000000003</v>
      </c>
      <c r="H14" s="25">
        <f t="shared" ref="H14:H20" si="1">IFERROR(G14/ABS(F14),0)</f>
        <v>3.8671663936464921E-2</v>
      </c>
      <c r="I14" s="25">
        <f>IFERROR(E14/INDEX(Calc!$G$396:$G$401,Calc!$C$410)-1,0)</f>
        <v>1.2151907197539558E-2</v>
      </c>
      <c r="J14" s="25">
        <f>IFERROR(E14/INDEX(Calc!$G$403:$G$408,Calc!$C$410)-1,0)</f>
        <v>0.12546814739092049</v>
      </c>
      <c r="K14" s="31">
        <f t="shared" ref="K14:K20" si="2">IFERROR(E14/E$20,0)</f>
        <v>0.2914214211805472</v>
      </c>
      <c r="L14" s="31">
        <f>IFERROR(INDEX(Calc!$I$382:$I$387,Calc!$C$410)/E14,0)</f>
        <v>0.62764024903803284</v>
      </c>
      <c r="M14" s="31">
        <f>IFERROR(-INDEX(Calc!$J$382:$J$387,Calc!$C$410)/E14,0)</f>
        <v>0.10080425412448599</v>
      </c>
      <c r="N14" s="31">
        <f>IFERROR(-INDEX(Calc!$K$382:$K$387,Calc!$C$410)/E14,0)</f>
        <v>9.3438805674367922E-2</v>
      </c>
      <c r="O14" s="23">
        <f>INDEX(Calc!$L$382:$L$387,Calc!$C$410)</f>
        <v>52.487000000000002</v>
      </c>
      <c r="P14" s="23">
        <f>INDEX(Calc!$L$389:$L$394,Calc!$C$410)</f>
        <v>51.006</v>
      </c>
      <c r="Q14" s="24">
        <f t="shared" ref="Q14:Q20" si="3">O14-P14</f>
        <v>1.4810000000000016</v>
      </c>
      <c r="R14" s="31">
        <f t="shared" ref="R14:S20" si="4">IFERROR(O14/E14,0)</f>
        <v>0.43339718923917891</v>
      </c>
      <c r="S14" s="31">
        <f t="shared" si="4"/>
        <v>0.43745550914689058</v>
      </c>
      <c r="T14" s="32">
        <f t="shared" ref="T14:T20" si="5">(R14-S14)*100</f>
        <v>-0.40583199077116605</v>
      </c>
      <c r="U14" s="33">
        <f>IFERROR(INDEX(Calc!$M$382:$M$387,Calc!$C$410)/INDEX(Calc!$N$382:$N$387,Calc!$C$410)*30.4*WinM,0)</f>
        <v>101.03570721404526</v>
      </c>
      <c r="V14" s="100"/>
      <c r="W14" s="100"/>
      <c r="X14" s="100"/>
      <c r="Y14" s="100"/>
    </row>
    <row r="15" spans="1:26" x14ac:dyDescent="0.25">
      <c r="B15" s="100" t="str">
        <f>INDEX(lstBrand,Calc!$C$411)</f>
        <v>Novara</v>
      </c>
      <c r="C15" s="100"/>
      <c r="D15" s="100"/>
      <c r="E15" s="23">
        <f>INDEX(Calc!$G$382:$G$387,Calc!$C$411)</f>
        <v>100.539</v>
      </c>
      <c r="F15" s="23">
        <f>INDEX(Calc!$G$389:$G$394,Calc!$C$411)</f>
        <v>99.941999999999993</v>
      </c>
      <c r="G15" s="24">
        <f t="shared" si="0"/>
        <v>0.59700000000000841</v>
      </c>
      <c r="H15" s="25">
        <f t="shared" si="1"/>
        <v>5.9734646094735796E-3</v>
      </c>
      <c r="I15" s="25">
        <f>IFERROR(E15/INDEX(Calc!$G$396:$G$401,Calc!$C$411)-1,0)</f>
        <v>-7.0569525892061336E-4</v>
      </c>
      <c r="J15" s="25">
        <f>IFERROR(E15/INDEX(Calc!$G$403:$G$408,Calc!$C$411)-1,0)</f>
        <v>8.9357690807437162E-2</v>
      </c>
      <c r="K15" s="31">
        <f t="shared" si="2"/>
        <v>0.24193036070938712</v>
      </c>
      <c r="L15" s="31">
        <f>IFERROR(INDEX(Calc!$I$382:$I$387,Calc!$C$411)/E15,0)</f>
        <v>0.55332756442773445</v>
      </c>
      <c r="M15" s="31">
        <f>IFERROR(-INDEX(Calc!$J$382:$J$387,Calc!$C$411)/E15,0)</f>
        <v>6.9376063020320469E-2</v>
      </c>
      <c r="N15" s="31">
        <f>IFERROR(-INDEX(Calc!$K$382:$K$387,Calc!$C$411)/E15,0)</f>
        <v>9.3406538756104593E-2</v>
      </c>
      <c r="O15" s="23">
        <f>INDEX(Calc!$L$382:$L$387,Calc!$C$411)</f>
        <v>39.265000000000001</v>
      </c>
      <c r="P15" s="23">
        <f>INDEX(Calc!$L$389:$L$394,Calc!$C$411)</f>
        <v>40.091000000000001</v>
      </c>
      <c r="Q15" s="24">
        <f t="shared" si="3"/>
        <v>-0.82600000000000051</v>
      </c>
      <c r="R15" s="31">
        <f t="shared" si="4"/>
        <v>0.39054496265130945</v>
      </c>
      <c r="S15" s="31">
        <f t="shared" si="4"/>
        <v>0.40114266274439181</v>
      </c>
      <c r="T15" s="32">
        <f t="shared" si="5"/>
        <v>-1.0597700093082363</v>
      </c>
      <c r="U15" s="33">
        <f>IFERROR(INDEX(Calc!$M$382:$M$387,Calc!$C$411)/INDEX(Calc!$N$382:$N$387,Calc!$C$411)*30.4*WinM,0)</f>
        <v>85.999283867117555</v>
      </c>
      <c r="V15" s="100"/>
      <c r="W15" s="100"/>
      <c r="X15" s="100"/>
      <c r="Y15" s="100"/>
    </row>
    <row r="16" spans="1:26" x14ac:dyDescent="0.25">
      <c r="B16" s="100" t="str">
        <f>INDEX(lstBrand,Calc!$C$412)</f>
        <v>Kestrel</v>
      </c>
      <c r="C16" s="100"/>
      <c r="D16" s="100"/>
      <c r="E16" s="23">
        <f>INDEX(Calc!$G$382:$G$387,Calc!$C$412)</f>
        <v>74.171000000000006</v>
      </c>
      <c r="F16" s="23">
        <f>INDEX(Calc!$G$389:$G$394,Calc!$C$412)</f>
        <v>74.956000000000003</v>
      </c>
      <c r="G16" s="24">
        <f t="shared" si="0"/>
        <v>-0.78499999999999659</v>
      </c>
      <c r="H16" s="25">
        <f t="shared" si="1"/>
        <v>-1.0472810715619785E-2</v>
      </c>
      <c r="I16" s="25">
        <f>IFERROR(E16/INDEX(Calc!$G$396:$G$401,Calc!$C$412)-1,0)</f>
        <v>-2.6221660436219763E-3</v>
      </c>
      <c r="J16" s="25">
        <f>IFERROR(E16/INDEX(Calc!$G$403:$G$408,Calc!$C$412)-1,0)</f>
        <v>7.464611194019044E-2</v>
      </c>
      <c r="K16" s="31">
        <f t="shared" si="2"/>
        <v>0.17848015978054241</v>
      </c>
      <c r="L16" s="31">
        <f>IFERROR(INDEX(Calc!$I$382:$I$387,Calc!$C$412)/E16,0)</f>
        <v>0.50341777783769925</v>
      </c>
      <c r="M16" s="31">
        <f>IFERROR(-INDEX(Calc!$J$382:$J$387,Calc!$C$412)/E16,0)</f>
        <v>4.7039948227743988E-2</v>
      </c>
      <c r="N16" s="31">
        <f>IFERROR(-INDEX(Calc!$K$382:$K$387,Calc!$C$412)/E16,0)</f>
        <v>9.3419260897116121E-2</v>
      </c>
      <c r="O16" s="23">
        <f>INDEX(Calc!$L$382:$L$387,Calc!$C$412)</f>
        <v>26.920999999999999</v>
      </c>
      <c r="P16" s="23">
        <f>INDEX(Calc!$L$389:$L$394,Calc!$C$412)</f>
        <v>28.251999999999999</v>
      </c>
      <c r="Q16" s="24">
        <f t="shared" si="3"/>
        <v>-1.3309999999999995</v>
      </c>
      <c r="R16" s="31">
        <f t="shared" si="4"/>
        <v>0.36295856871283921</v>
      </c>
      <c r="S16" s="31">
        <f t="shared" si="4"/>
        <v>0.37691445648113558</v>
      </c>
      <c r="T16" s="32">
        <f t="shared" si="5"/>
        <v>-1.3955887768296371</v>
      </c>
      <c r="U16" s="33">
        <f>IFERROR(INDEX(Calc!$M$382:$M$387,Calc!$C$412)/INDEX(Calc!$N$382:$N$387,Calc!$C$412)*30.4*WinM,0)</f>
        <v>80.978928629228022</v>
      </c>
      <c r="V16" s="100"/>
      <c r="W16" s="100"/>
      <c r="X16" s="100"/>
      <c r="Y16" s="100"/>
    </row>
    <row r="17" spans="2:25" x14ac:dyDescent="0.25">
      <c r="B17" s="100" t="str">
        <f>INDEX(lstBrand,Calc!$C$413)</f>
        <v>Lumio</v>
      </c>
      <c r="C17" s="100"/>
      <c r="D17" s="100"/>
      <c r="E17" s="23">
        <f>INDEX(Calc!$G$382:$G$387,Calc!$C$413)</f>
        <v>59.317999999999998</v>
      </c>
      <c r="F17" s="23">
        <f>INDEX(Calc!$G$389:$G$394,Calc!$C$413)</f>
        <v>58.3</v>
      </c>
      <c r="G17" s="24">
        <f t="shared" si="0"/>
        <v>1.0180000000000007</v>
      </c>
      <c r="H17" s="25">
        <f t="shared" si="1"/>
        <v>1.7461406518010304E-2</v>
      </c>
      <c r="I17" s="25">
        <f>IFERROR(E17/INDEX(Calc!$G$396:$G$401,Calc!$C$413)-1,0)</f>
        <v>2.6537752911546253E-3</v>
      </c>
      <c r="J17" s="25">
        <f>IFERROR(E17/INDEX(Calc!$G$403:$G$408,Calc!$C$413)-1,0)</f>
        <v>9.7262301146873842E-2</v>
      </c>
      <c r="K17" s="31">
        <f t="shared" si="2"/>
        <v>0.14273888875520369</v>
      </c>
      <c r="L17" s="31">
        <f>IFERROR(INDEX(Calc!$I$382:$I$387,Calc!$C$413)/E17,0)</f>
        <v>0.59063016285107384</v>
      </c>
      <c r="M17" s="31">
        <f>IFERROR(-INDEX(Calc!$J$382:$J$387,Calc!$C$413)/E17,0)</f>
        <v>0.12584712903334569</v>
      </c>
      <c r="N17" s="31">
        <f>IFERROR(-INDEX(Calc!$K$382:$K$387,Calc!$C$413)/E17,0)</f>
        <v>9.3394922283286691E-2</v>
      </c>
      <c r="O17" s="23">
        <f>INDEX(Calc!$L$382:$L$387,Calc!$C$413)</f>
        <v>22.03</v>
      </c>
      <c r="P17" s="23">
        <f>INDEX(Calc!$L$389:$L$394,Calc!$C$413)</f>
        <v>21.965</v>
      </c>
      <c r="Q17" s="24">
        <f t="shared" si="3"/>
        <v>6.5000000000001279E-2</v>
      </c>
      <c r="R17" s="31">
        <f t="shared" si="4"/>
        <v>0.37138811153444151</v>
      </c>
      <c r="S17" s="31">
        <f t="shared" si="4"/>
        <v>0.37675814751286452</v>
      </c>
      <c r="T17" s="32">
        <f t="shared" si="5"/>
        <v>-0.53700359784230045</v>
      </c>
      <c r="U17" s="33">
        <f>IFERROR(INDEX(Calc!$M$382:$M$387,Calc!$C$413)/INDEX(Calc!$N$382:$N$387,Calc!$C$413)*30.4*WinM,0)</f>
        <v>95.997667355120882</v>
      </c>
      <c r="V17" s="100"/>
      <c r="W17" s="100"/>
      <c r="X17" s="100"/>
      <c r="Y17" s="100"/>
    </row>
    <row r="18" spans="2:25" x14ac:dyDescent="0.25">
      <c r="B18" s="100" t="str">
        <f>INDEX(lstBrand,Calc!$C$414)</f>
        <v>Everwood</v>
      </c>
      <c r="C18" s="100"/>
      <c r="D18" s="100"/>
      <c r="E18" s="23">
        <f>INDEX(Calc!$G$382:$G$387,Calc!$C$414)</f>
        <v>38.511000000000003</v>
      </c>
      <c r="F18" s="23">
        <f>INDEX(Calc!$G$389:$G$394,Calc!$C$414)</f>
        <v>41.642000000000003</v>
      </c>
      <c r="G18" s="24">
        <f t="shared" si="0"/>
        <v>-3.1310000000000002</v>
      </c>
      <c r="H18" s="25">
        <f t="shared" si="1"/>
        <v>-7.5188511598866525E-2</v>
      </c>
      <c r="I18" s="25">
        <f>IFERROR(E18/INDEX(Calc!$G$396:$G$401,Calc!$C$414)-1,0)</f>
        <v>-2.2737077169030728E-2</v>
      </c>
      <c r="J18" s="25">
        <f>IFERROR(E18/INDEX(Calc!$G$403:$G$408,Calc!$C$414)-1,0)</f>
        <v>-4.6718056528849417E-4</v>
      </c>
      <c r="K18" s="31">
        <f t="shared" si="2"/>
        <v>9.2670308251317474E-2</v>
      </c>
      <c r="L18" s="31">
        <f>IFERROR(INDEX(Calc!$I$382:$I$387,Calc!$C$414)/E18,0)</f>
        <v>0.45392225597881125</v>
      </c>
      <c r="M18" s="31">
        <f>IFERROR(-INDEX(Calc!$J$382:$J$387,Calc!$C$414)/E18,0)</f>
        <v>3.7755446495806387E-2</v>
      </c>
      <c r="N18" s="31">
        <f>IFERROR(-INDEX(Calc!$K$382:$K$387,Calc!$C$414)/E18,0)</f>
        <v>9.3323985354833675E-2</v>
      </c>
      <c r="O18" s="23">
        <f>INDEX(Calc!$L$382:$L$387,Calc!$C$414)</f>
        <v>12.433</v>
      </c>
      <c r="P18" s="23">
        <f>INDEX(Calc!$L$389:$L$394,Calc!$C$414)</f>
        <v>14.202999999999999</v>
      </c>
      <c r="Q18" s="24">
        <f t="shared" si="3"/>
        <v>-1.7699999999999996</v>
      </c>
      <c r="R18" s="31">
        <f t="shared" si="4"/>
        <v>0.32284282412817117</v>
      </c>
      <c r="S18" s="31">
        <f t="shared" si="4"/>
        <v>0.34107391575812879</v>
      </c>
      <c r="T18" s="32">
        <f t="shared" si="5"/>
        <v>-1.8231091629957619</v>
      </c>
      <c r="U18" s="33">
        <f>IFERROR(INDEX(Calc!$M$382:$M$387,Calc!$C$414)/INDEX(Calc!$N$382:$N$387,Calc!$C$414)*30.4*WinM,0)</f>
        <v>125.01385804638089</v>
      </c>
      <c r="V18" s="100"/>
      <c r="W18" s="100"/>
      <c r="X18" s="100"/>
      <c r="Y18" s="100"/>
    </row>
    <row r="19" spans="2:25" x14ac:dyDescent="0.25">
      <c r="B19" s="100" t="str">
        <f>INDEX(lstBrand,Calc!$C$415)</f>
        <v>Tindra</v>
      </c>
      <c r="C19" s="100"/>
      <c r="D19" s="100"/>
      <c r="E19" s="23">
        <f>INDEX(Calc!$G$382:$G$387,Calc!$C$415)</f>
        <v>21.925000000000001</v>
      </c>
      <c r="F19" s="23">
        <f>INDEX(Calc!$G$389:$G$394,Calc!$C$415)</f>
        <v>24.984999999999999</v>
      </c>
      <c r="G19" s="24">
        <f t="shared" si="0"/>
        <v>-3.0599999999999987</v>
      </c>
      <c r="H19" s="25">
        <f t="shared" si="1"/>
        <v>-0.12247348409045422</v>
      </c>
      <c r="I19" s="25">
        <f>IFERROR(E19/INDEX(Calc!$G$396:$G$401,Calc!$C$415)-1,0)</f>
        <v>-3.8840910087238556E-2</v>
      </c>
      <c r="J19" s="25">
        <f>IFERROR(E19/INDEX(Calc!$G$403:$G$408,Calc!$C$415)-1,0)</f>
        <v>-4.7277625689827518E-2</v>
      </c>
      <c r="K19" s="31">
        <f t="shared" si="2"/>
        <v>5.2758861323002143E-2</v>
      </c>
      <c r="L19" s="31">
        <f>IFERROR(INDEX(Calc!$I$382:$I$387,Calc!$C$415)/E19,0)</f>
        <v>0.52811858608893958</v>
      </c>
      <c r="M19" s="31">
        <f>IFERROR(-INDEX(Calc!$J$382:$J$387,Calc!$C$415)/E19,0)</f>
        <v>0.18554161915621434</v>
      </c>
      <c r="N19" s="31">
        <f>IFERROR(-INDEX(Calc!$K$382:$K$387,Calc!$C$415)/E19,0)</f>
        <v>9.3591790193842644E-2</v>
      </c>
      <c r="O19" s="23">
        <f>INDEX(Calc!$L$382:$L$387,Calc!$C$415)</f>
        <v>5.4589999999999996</v>
      </c>
      <c r="P19" s="23">
        <f>INDEX(Calc!$L$389:$L$394,Calc!$C$415)</f>
        <v>6.9939999999999998</v>
      </c>
      <c r="Q19" s="24">
        <f t="shared" si="3"/>
        <v>-1.5350000000000001</v>
      </c>
      <c r="R19" s="31">
        <f t="shared" si="4"/>
        <v>0.24898517673888254</v>
      </c>
      <c r="S19" s="31">
        <f t="shared" si="4"/>
        <v>0.27992795677406446</v>
      </c>
      <c r="T19" s="32">
        <f t="shared" si="5"/>
        <v>-3.0942780035181916</v>
      </c>
      <c r="U19" s="33">
        <f>IFERROR(INDEX(Calc!$M$382:$M$387,Calc!$C$415)/INDEX(Calc!$N$382:$N$387,Calc!$C$415)*30.4*WinM,0)</f>
        <v>125.93295324971494</v>
      </c>
      <c r="V19" s="100"/>
      <c r="W19" s="100"/>
      <c r="X19" s="100"/>
      <c r="Y19" s="100"/>
    </row>
    <row r="20" spans="2:25" x14ac:dyDescent="0.25">
      <c r="B20" s="107" t="s">
        <v>283</v>
      </c>
      <c r="C20" s="107"/>
      <c r="D20" s="107"/>
      <c r="E20" s="58">
        <f>SUM(Calc!$G$382:$G$387)</f>
        <v>415.57</v>
      </c>
      <c r="F20" s="58">
        <f>SUM(Calc!$G$389:$G$394)</f>
        <v>416.42200000000003</v>
      </c>
      <c r="G20" s="59">
        <f t="shared" si="0"/>
        <v>-0.85200000000003229</v>
      </c>
      <c r="H20" s="60">
        <f t="shared" si="1"/>
        <v>-2.0460014120292211E-3</v>
      </c>
      <c r="I20" s="60">
        <f>IFERROR(E20/SUM(Calc!$G$396:$G$401)-1,0)</f>
        <v>-1.0504630931690295E-3</v>
      </c>
      <c r="J20" s="60">
        <f>IFERROR(E20/SUM(Calc!$G$403:$G$408)-1,0)</f>
        <v>8.0755647329904034E-2</v>
      </c>
      <c r="K20" s="61">
        <f t="shared" si="2"/>
        <v>1</v>
      </c>
      <c r="L20" s="61">
        <f>IFERROR(SUM(Calc!$I$382:$I$387)/E20,0)</f>
        <v>0.56085857978198617</v>
      </c>
      <c r="M20" s="61">
        <f>IFERROR(-SUM(Calc!$J$382:$J$387)/E20,0)</f>
        <v>8.5807445195755228E-2</v>
      </c>
      <c r="N20" s="61">
        <f>IFERROR(-SUM(Calc!$K$382:$K$387)/E20,0)</f>
        <v>9.3418677960391758E-2</v>
      </c>
      <c r="O20" s="58">
        <f>SUM(Calc!$L$382:$L$387)</f>
        <v>158.595</v>
      </c>
      <c r="P20" s="58">
        <f>SUM(Calc!$L$389:$L$394)</f>
        <v>162.511</v>
      </c>
      <c r="Q20" s="59">
        <f t="shared" si="3"/>
        <v>-3.9159999999999968</v>
      </c>
      <c r="R20" s="61">
        <f t="shared" si="4"/>
        <v>0.38163245662583922</v>
      </c>
      <c r="S20" s="61">
        <f t="shared" si="4"/>
        <v>0.39025555806369494</v>
      </c>
      <c r="T20" s="62">
        <f t="shared" si="5"/>
        <v>-0.8623101437855718</v>
      </c>
      <c r="U20" s="63">
        <f>IFERROR(SUM(Calc!$M$382:$M$387)/SUM(Calc!$N$382:$N$387)*30.4*WinM,0)</f>
        <v>96.83432068224721</v>
      </c>
      <c r="V20" s="107"/>
      <c r="W20" s="107"/>
      <c r="X20" s="107"/>
      <c r="Y20" s="107"/>
    </row>
    <row r="22" spans="2:25" ht="18" customHeight="1" x14ac:dyDescent="0.25">
      <c r="B22" s="6" t="s">
        <v>381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</row>
    <row r="53" spans="2:25" ht="18" customHeight="1" x14ac:dyDescent="0.25">
      <c r="B53" s="6" t="str">
        <f>"Brand P&amp;L: "&amp;PerLbl&amp;", "&amp;UnitLbl</f>
        <v>Brand P&amp;L: YTD Oct 2026, $m</v>
      </c>
      <c r="C53" s="6"/>
      <c r="D53" s="6"/>
      <c r="E53" s="6"/>
      <c r="F53" s="6"/>
      <c r="G53" s="6"/>
      <c r="H53" s="6"/>
      <c r="I53" s="6"/>
      <c r="J53" s="6"/>
      <c r="K53" s="6"/>
      <c r="L53" s="6"/>
      <c r="N53" s="6" t="str">
        <f>"Contribution margin % heatmap: brand x channel"</f>
        <v>Contribution margin % heatmap: brand x channel</v>
      </c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2:25" ht="24" customHeight="1" x14ac:dyDescent="0.25">
      <c r="B54" s="98" t="s">
        <v>362</v>
      </c>
      <c r="C54" s="98"/>
      <c r="D54" s="98"/>
      <c r="E54" s="64" t="str">
        <f>$B$14</f>
        <v>Aurelia</v>
      </c>
      <c r="F54" s="64" t="str">
        <f>$B$15</f>
        <v>Novara</v>
      </c>
      <c r="G54" s="64" t="str">
        <f>$B$16</f>
        <v>Kestrel</v>
      </c>
      <c r="H54" s="64" t="str">
        <f>$B$17</f>
        <v>Lumio</v>
      </c>
      <c r="I54" s="64" t="str">
        <f>$B$18</f>
        <v>Everwood</v>
      </c>
      <c r="J54" s="64" t="str">
        <f>$B$19</f>
        <v>Tindra</v>
      </c>
      <c r="K54" s="20" t="s">
        <v>283</v>
      </c>
      <c r="L54" s="20" t="s">
        <v>50</v>
      </c>
      <c r="N54" s="98" t="s">
        <v>383</v>
      </c>
      <c r="O54" s="98"/>
      <c r="P54" s="98"/>
      <c r="Q54" s="64" t="str">
        <f>INDEX(lstChannel,1)</f>
        <v>Hypermarkets</v>
      </c>
      <c r="R54" s="64" t="str">
        <f>INDEX(lstChannel,2)</f>
        <v>Supermarkets</v>
      </c>
      <c r="S54" s="64" t="str">
        <f>INDEX(lstChannel,3)</f>
        <v>Discounters</v>
      </c>
      <c r="T54" s="64" t="str">
        <f>INDEX(lstChannel,4)</f>
        <v>Marketplaces</v>
      </c>
      <c r="U54" s="64" t="str">
        <f>INDEX(lstChannel,5)</f>
        <v>Direct to Consumer</v>
      </c>
      <c r="V54" s="64" t="str">
        <f>INDEX(lstChannel,6)</f>
        <v>Distributors</v>
      </c>
      <c r="W54" s="99" t="s">
        <v>283</v>
      </c>
      <c r="X54" s="99"/>
      <c r="Y54" s="99"/>
    </row>
    <row r="55" spans="2:25" x14ac:dyDescent="0.25">
      <c r="B55" s="97" t="s">
        <v>149</v>
      </c>
      <c r="C55" s="97"/>
      <c r="D55" s="97"/>
      <c r="E55" s="23">
        <f>INDEX(Calc!$D$382:$D$387,Calc!$C$410)</f>
        <v>146.96700000000001</v>
      </c>
      <c r="F55" s="23">
        <f>INDEX(Calc!$D$382:$D$387,Calc!$C$411)</f>
        <v>121.96</v>
      </c>
      <c r="G55" s="23">
        <f>INDEX(Calc!$D$382:$D$387,Calc!$C$412)</f>
        <v>90.001000000000005</v>
      </c>
      <c r="H55" s="23">
        <f>INDEX(Calc!$D$382:$D$387,Calc!$C$413)</f>
        <v>71.954999999999998</v>
      </c>
      <c r="I55" s="23">
        <f>INDEX(Calc!$D$382:$D$387,Calc!$C$414)</f>
        <v>46.73</v>
      </c>
      <c r="J55" s="23">
        <f>INDEX(Calc!$D$382:$D$387,Calc!$C$415)</f>
        <v>26.597999999999999</v>
      </c>
      <c r="K55" s="65">
        <f t="shared" ref="K55:K63" si="6">SUM(E55:J55)</f>
        <v>504.21100000000001</v>
      </c>
      <c r="L55" s="23">
        <f>SUM(Calc!$D$389:$D$394)</f>
        <v>504.00099999999998</v>
      </c>
      <c r="N55" s="100" t="str">
        <f>$B$14</f>
        <v>Aurelia</v>
      </c>
      <c r="O55" s="100"/>
      <c r="P55" s="100"/>
      <c r="Q55" s="66">
        <f>IFERROR(SUMIFS(Calc!$F$447:$F$482,Calc!$B$447:$B$482,$N55,Calc!$A$447:$A$482,Q$54)/SUMIFS(Calc!$E$447:$E$482,Calc!$B$447:$B$482,$N55,Calc!$A$447:$A$482,Q$54),0)</f>
        <v>0.41156645192078262</v>
      </c>
      <c r="R55" s="66">
        <f>IFERROR(SUMIFS(Calc!$F$447:$F$482,Calc!$B$447:$B$482,$N55,Calc!$A$447:$A$482,R$54)/SUMIFS(Calc!$E$447:$E$482,Calc!$B$447:$B$482,$N55,Calc!$A$447:$A$482,R$54),0)</f>
        <v>0.44161913270565595</v>
      </c>
      <c r="S55" s="66">
        <f>IFERROR(SUMIFS(Calc!$F$447:$F$482,Calc!$B$447:$B$482,$N55,Calc!$A$447:$A$482,S$54)/SUMIFS(Calc!$E$447:$E$482,Calc!$B$447:$B$482,$N55,Calc!$A$447:$A$482,S$54),0)</f>
        <v>0.40758040838115572</v>
      </c>
      <c r="T55" s="66">
        <f>IFERROR(SUMIFS(Calc!$F$447:$F$482,Calc!$B$447:$B$482,$N55,Calc!$A$447:$A$482,T$54)/SUMIFS(Calc!$E$447:$E$482,Calc!$B$447:$B$482,$N55,Calc!$A$447:$A$482,T$54),0)</f>
        <v>0.43555678568133593</v>
      </c>
      <c r="U55" s="66">
        <f>IFERROR(SUMIFS(Calc!$F$447:$F$482,Calc!$B$447:$B$482,$N55,Calc!$A$447:$A$482,U$54)/SUMIFS(Calc!$E$447:$E$482,Calc!$B$447:$B$482,$N55,Calc!$A$447:$A$482,U$54),0)</f>
        <v>0.4029432375613175</v>
      </c>
      <c r="V55" s="66">
        <f>IFERROR(SUMIFS(Calc!$F$447:$F$482,Calc!$B$447:$B$482,$N55,Calc!$A$447:$A$482,V$54)/SUMIFS(Calc!$E$447:$E$482,Calc!$B$447:$B$482,$N55,Calc!$A$447:$A$482,V$54),0)</f>
        <v>0.51592452830188684</v>
      </c>
      <c r="W55" s="109">
        <f>$R$14</f>
        <v>0.43339718923917891</v>
      </c>
      <c r="X55" s="110"/>
      <c r="Y55" s="110"/>
    </row>
    <row r="56" spans="2:25" x14ac:dyDescent="0.25">
      <c r="B56" s="97" t="s">
        <v>363</v>
      </c>
      <c r="C56" s="97"/>
      <c r="D56" s="97"/>
      <c r="E56" s="23">
        <f>INDEX(Calc!$E$382:$E$387,Calc!$C$410)</f>
        <v>-22.975000000000001</v>
      </c>
      <c r="F56" s="23">
        <f>INDEX(Calc!$E$382:$E$387,Calc!$C$411)</f>
        <v>-19.018000000000001</v>
      </c>
      <c r="G56" s="23">
        <f>INDEX(Calc!$E$382:$E$387,Calc!$C$412)</f>
        <v>-14.061</v>
      </c>
      <c r="H56" s="23">
        <f>INDEX(Calc!$E$382:$E$387,Calc!$C$413)</f>
        <v>-11.227</v>
      </c>
      <c r="I56" s="23">
        <f>INDEX(Calc!$E$382:$E$387,Calc!$C$414)</f>
        <v>-7.3010000000000002</v>
      </c>
      <c r="J56" s="23">
        <f>INDEX(Calc!$E$382:$E$387,Calc!$C$415)</f>
        <v>-4.1440000000000001</v>
      </c>
      <c r="K56" s="65">
        <f t="shared" si="6"/>
        <v>-78.726000000000013</v>
      </c>
      <c r="L56" s="23">
        <f>SUM(Calc!$E$389:$E$394)</f>
        <v>-77.914000000000016</v>
      </c>
      <c r="N56" s="100" t="str">
        <f>$B$15</f>
        <v>Novara</v>
      </c>
      <c r="O56" s="100"/>
      <c r="P56" s="100"/>
      <c r="Q56" s="66">
        <f>IFERROR(SUMIFS(Calc!$F$447:$F$482,Calc!$B$447:$B$482,$N56,Calc!$A$447:$A$482,Q$54)/SUMIFS(Calc!$E$447:$E$482,Calc!$B$447:$B$482,$N56,Calc!$A$447:$A$482,Q$54),0)</f>
        <v>0.36666302009262297</v>
      </c>
      <c r="R56" s="66">
        <f>IFERROR(SUMIFS(Calc!$F$447:$F$482,Calc!$B$447:$B$482,$N56,Calc!$A$447:$A$482,R$54)/SUMIFS(Calc!$E$447:$E$482,Calc!$B$447:$B$482,$N56,Calc!$A$447:$A$482,R$54),0)</f>
        <v>0.3989179366456036</v>
      </c>
      <c r="S56" s="66">
        <f>IFERROR(SUMIFS(Calc!$F$447:$F$482,Calc!$B$447:$B$482,$N56,Calc!$A$447:$A$482,S$54)/SUMIFS(Calc!$E$447:$E$482,Calc!$B$447:$B$482,$N56,Calc!$A$447:$A$482,S$54),0)</f>
        <v>0.36173296827186346</v>
      </c>
      <c r="T56" s="66">
        <f>IFERROR(SUMIFS(Calc!$F$447:$F$482,Calc!$B$447:$B$482,$N56,Calc!$A$447:$A$482,T$54)/SUMIFS(Calc!$E$447:$E$482,Calc!$B$447:$B$482,$N56,Calc!$A$447:$A$482,T$54),0)</f>
        <v>0.39226183905508338</v>
      </c>
      <c r="U56" s="66">
        <f>IFERROR(SUMIFS(Calc!$F$447:$F$482,Calc!$B$447:$B$482,$N56,Calc!$A$447:$A$482,U$54)/SUMIFS(Calc!$E$447:$E$482,Calc!$B$447:$B$482,$N56,Calc!$A$447:$A$482,U$54),0)</f>
        <v>0.36330633901144932</v>
      </c>
      <c r="V56" s="66">
        <f>IFERROR(SUMIFS(Calc!$F$447:$F$482,Calc!$B$447:$B$482,$N56,Calc!$A$447:$A$482,V$54)/SUMIFS(Calc!$E$447:$E$482,Calc!$B$447:$B$482,$N56,Calc!$A$447:$A$482,V$54),0)</f>
        <v>0.47746541722445335</v>
      </c>
      <c r="W56" s="109">
        <f>$R$15</f>
        <v>0.39054496265130945</v>
      </c>
      <c r="X56" s="110"/>
      <c r="Y56" s="110"/>
    </row>
    <row r="57" spans="2:25" x14ac:dyDescent="0.25">
      <c r="B57" s="97" t="s">
        <v>8</v>
      </c>
      <c r="C57" s="97"/>
      <c r="D57" s="97"/>
      <c r="E57" s="23">
        <f>INDEX(Calc!$F$382:$F$387,Calc!$C$410)</f>
        <v>-2.8860000000000001</v>
      </c>
      <c r="F57" s="23">
        <f>INDEX(Calc!$F$382:$F$387,Calc!$C$411)</f>
        <v>-2.403</v>
      </c>
      <c r="G57" s="23">
        <f>INDEX(Calc!$F$382:$F$387,Calc!$C$412)</f>
        <v>-1.7689999999999999</v>
      </c>
      <c r="H57" s="23">
        <f>INDEX(Calc!$F$382:$F$387,Calc!$C$413)</f>
        <v>-1.41</v>
      </c>
      <c r="I57" s="23">
        <f>INDEX(Calc!$F$382:$F$387,Calc!$C$414)</f>
        <v>-0.91800000000000004</v>
      </c>
      <c r="J57" s="23">
        <f>INDEX(Calc!$F$382:$F$387,Calc!$C$415)</f>
        <v>-0.52900000000000003</v>
      </c>
      <c r="K57" s="65">
        <f t="shared" si="6"/>
        <v>-9.9149999999999991</v>
      </c>
      <c r="L57" s="23">
        <f>SUM(Calc!$F$389:$F$394)</f>
        <v>-9.6649999999999991</v>
      </c>
      <c r="N57" s="100" t="str">
        <f>$B$16</f>
        <v>Kestrel</v>
      </c>
      <c r="O57" s="100"/>
      <c r="P57" s="100"/>
      <c r="Q57" s="66">
        <f>IFERROR(SUMIFS(Calc!$F$447:$F$482,Calc!$B$447:$B$482,$N57,Calc!$A$447:$A$482,Q$54)/SUMIFS(Calc!$E$447:$E$482,Calc!$B$447:$B$482,$N57,Calc!$A$447:$A$482,Q$54),0)</f>
        <v>0.33996780330747844</v>
      </c>
      <c r="R57" s="66">
        <f>IFERROR(SUMIFS(Calc!$F$447:$F$482,Calc!$B$447:$B$482,$N57,Calc!$A$447:$A$482,R$54)/SUMIFS(Calc!$E$447:$E$482,Calc!$B$447:$B$482,$N57,Calc!$A$447:$A$482,R$54),0)</f>
        <v>0.37136591126356633</v>
      </c>
      <c r="S57" s="66">
        <f>IFERROR(SUMIFS(Calc!$F$447:$F$482,Calc!$B$447:$B$482,$N57,Calc!$A$447:$A$482,S$54)/SUMIFS(Calc!$E$447:$E$482,Calc!$B$447:$B$482,$N57,Calc!$A$447:$A$482,S$54),0)</f>
        <v>0.33333333333333331</v>
      </c>
      <c r="T57" s="66">
        <f>IFERROR(SUMIFS(Calc!$F$447:$F$482,Calc!$B$447:$B$482,$N57,Calc!$A$447:$A$482,T$54)/SUMIFS(Calc!$E$447:$E$482,Calc!$B$447:$B$482,$N57,Calc!$A$447:$A$482,T$54),0)</f>
        <v>0.36325173768510122</v>
      </c>
      <c r="U57" s="66">
        <f>IFERROR(SUMIFS(Calc!$F$447:$F$482,Calc!$B$447:$B$482,$N57,Calc!$A$447:$A$482,U$54)/SUMIFS(Calc!$E$447:$E$482,Calc!$B$447:$B$482,$N57,Calc!$A$447:$A$482,U$54),0)</f>
        <v>0.33788395904436863</v>
      </c>
      <c r="V57" s="66">
        <f>IFERROR(SUMIFS(Calc!$F$447:$F$482,Calc!$B$447:$B$482,$N57,Calc!$A$447:$A$482,V$54)/SUMIFS(Calc!$E$447:$E$482,Calc!$B$447:$B$482,$N57,Calc!$A$447:$A$482,V$54),0)</f>
        <v>0.45128957340178472</v>
      </c>
      <c r="W57" s="109">
        <f>$R$16</f>
        <v>0.36295856871283921</v>
      </c>
      <c r="X57" s="110"/>
      <c r="Y57" s="110"/>
    </row>
    <row r="58" spans="2:25" x14ac:dyDescent="0.25">
      <c r="B58" s="107" t="s">
        <v>146</v>
      </c>
      <c r="C58" s="107"/>
      <c r="D58" s="107"/>
      <c r="E58" s="58">
        <f>INDEX(Calc!$G$382:$G$387,Calc!$C$410)</f>
        <v>121.10599999999999</v>
      </c>
      <c r="F58" s="58">
        <f>INDEX(Calc!$G$382:$G$387,Calc!$C$411)</f>
        <v>100.539</v>
      </c>
      <c r="G58" s="58">
        <f>INDEX(Calc!$G$382:$G$387,Calc!$C$412)</f>
        <v>74.171000000000006</v>
      </c>
      <c r="H58" s="58">
        <f>INDEX(Calc!$G$382:$G$387,Calc!$C$413)</f>
        <v>59.317999999999998</v>
      </c>
      <c r="I58" s="58">
        <f>INDEX(Calc!$G$382:$G$387,Calc!$C$414)</f>
        <v>38.511000000000003</v>
      </c>
      <c r="J58" s="58">
        <f>INDEX(Calc!$G$382:$G$387,Calc!$C$415)</f>
        <v>21.925000000000001</v>
      </c>
      <c r="K58" s="44">
        <f t="shared" si="6"/>
        <v>415.57</v>
      </c>
      <c r="L58" s="58">
        <f>SUM(Calc!$G$389:$G$394)</f>
        <v>416.42200000000003</v>
      </c>
      <c r="N58" s="100" t="str">
        <f>$B$17</f>
        <v>Lumio</v>
      </c>
      <c r="O58" s="100"/>
      <c r="P58" s="100"/>
      <c r="Q58" s="66">
        <f>IFERROR(SUMIFS(Calc!$F$447:$F$482,Calc!$B$447:$B$482,$N58,Calc!$A$447:$A$482,Q$54)/SUMIFS(Calc!$E$447:$E$482,Calc!$B$447:$B$482,$N58,Calc!$A$447:$A$482,Q$54),0)</f>
        <v>0.3445759489789661</v>
      </c>
      <c r="R58" s="66">
        <f>IFERROR(SUMIFS(Calc!$F$447:$F$482,Calc!$B$447:$B$482,$N58,Calc!$A$447:$A$482,R$54)/SUMIFS(Calc!$E$447:$E$482,Calc!$B$447:$B$482,$N58,Calc!$A$447:$A$482,R$54),0)</f>
        <v>0.38022575250836116</v>
      </c>
      <c r="S58" s="66">
        <f>IFERROR(SUMIFS(Calc!$F$447:$F$482,Calc!$B$447:$B$482,$N58,Calc!$A$447:$A$482,S$54)/SUMIFS(Calc!$E$447:$E$482,Calc!$B$447:$B$482,$N58,Calc!$A$447:$A$482,S$54),0)</f>
        <v>0.33722527472527475</v>
      </c>
      <c r="T58" s="66">
        <f>IFERROR(SUMIFS(Calc!$F$447:$F$482,Calc!$B$447:$B$482,$N58,Calc!$A$447:$A$482,T$54)/SUMIFS(Calc!$E$447:$E$482,Calc!$B$447:$B$482,$N58,Calc!$A$447:$A$482,T$54),0)</f>
        <v>0.37715903728173666</v>
      </c>
      <c r="U58" s="66">
        <f>IFERROR(SUMIFS(Calc!$F$447:$F$482,Calc!$B$447:$B$482,$N58,Calc!$A$447:$A$482,U$54)/SUMIFS(Calc!$E$447:$E$482,Calc!$B$447:$B$482,$N58,Calc!$A$447:$A$482,U$54),0)</f>
        <v>0.34805442826450228</v>
      </c>
      <c r="V58" s="66">
        <f>IFERROR(SUMIFS(Calc!$F$447:$F$482,Calc!$B$447:$B$482,$N58,Calc!$A$447:$A$482,V$54)/SUMIFS(Calc!$E$447:$E$482,Calc!$B$447:$B$482,$N58,Calc!$A$447:$A$482,V$54),0)</f>
        <v>0.46171341925701287</v>
      </c>
      <c r="W58" s="109">
        <f>$R$17</f>
        <v>0.37138811153444151</v>
      </c>
      <c r="X58" s="110"/>
      <c r="Y58" s="110"/>
    </row>
    <row r="59" spans="2:25" x14ac:dyDescent="0.25">
      <c r="B59" s="97" t="s">
        <v>31</v>
      </c>
      <c r="C59" s="97"/>
      <c r="D59" s="97"/>
      <c r="E59" s="23">
        <f>INDEX(Calc!$H$382:$H$387,Calc!$C$410)</f>
        <v>-45.094999999999999</v>
      </c>
      <c r="F59" s="23">
        <f>INDEX(Calc!$H$382:$H$387,Calc!$C$411)</f>
        <v>-44.908000000000001</v>
      </c>
      <c r="G59" s="23">
        <f>INDEX(Calc!$H$382:$H$387,Calc!$C$412)</f>
        <v>-36.832000000000001</v>
      </c>
      <c r="H59" s="23">
        <f>INDEX(Calc!$H$382:$H$387,Calc!$C$413)</f>
        <v>-24.283000000000001</v>
      </c>
      <c r="I59" s="23">
        <f>INDEX(Calc!$H$382:$H$387,Calc!$C$414)</f>
        <v>-21.03</v>
      </c>
      <c r="J59" s="23">
        <f>INDEX(Calc!$H$382:$H$387,Calc!$C$415)</f>
        <v>-10.346</v>
      </c>
      <c r="K59" s="65">
        <f t="shared" si="6"/>
        <v>-182.494</v>
      </c>
      <c r="L59" s="23">
        <f>SUM(Calc!$H$389:$H$394)</f>
        <v>-179.13</v>
      </c>
      <c r="N59" s="100" t="str">
        <f>$B$18</f>
        <v>Everwood</v>
      </c>
      <c r="O59" s="100"/>
      <c r="P59" s="100"/>
      <c r="Q59" s="66">
        <f>IFERROR(SUMIFS(Calc!$F$447:$F$482,Calc!$B$447:$B$482,$N59,Calc!$A$447:$A$482,Q$54)/SUMIFS(Calc!$E$447:$E$482,Calc!$B$447:$B$482,$N59,Calc!$A$447:$A$482,Q$54),0)</f>
        <v>0.29749952642545935</v>
      </c>
      <c r="R59" s="66">
        <f>IFERROR(SUMIFS(Calc!$F$447:$F$482,Calc!$B$447:$B$482,$N59,Calc!$A$447:$A$482,R$54)/SUMIFS(Calc!$E$447:$E$482,Calc!$B$447:$B$482,$N59,Calc!$A$447:$A$482,R$54),0)</f>
        <v>0.3319799123838017</v>
      </c>
      <c r="S59" s="66">
        <f>IFERROR(SUMIFS(Calc!$F$447:$F$482,Calc!$B$447:$B$482,$N59,Calc!$A$447:$A$482,S$54)/SUMIFS(Calc!$E$447:$E$482,Calc!$B$447:$B$482,$N59,Calc!$A$447:$A$482,S$54),0)</f>
        <v>0.29018044481745697</v>
      </c>
      <c r="T59" s="66">
        <f>IFERROR(SUMIFS(Calc!$F$447:$F$482,Calc!$B$447:$B$482,$N59,Calc!$A$447:$A$482,T$54)/SUMIFS(Calc!$E$447:$E$482,Calc!$B$447:$B$482,$N59,Calc!$A$447:$A$482,T$54),0)</f>
        <v>0.32328966521106262</v>
      </c>
      <c r="U59" s="66">
        <f>IFERROR(SUMIFS(Calc!$F$447:$F$482,Calc!$B$447:$B$482,$N59,Calc!$A$447:$A$482,U$54)/SUMIFS(Calc!$E$447:$E$482,Calc!$B$447:$B$482,$N59,Calc!$A$447:$A$482,U$54),0)</f>
        <v>0.30199115044247782</v>
      </c>
      <c r="V59" s="66">
        <f>IFERROR(SUMIFS(Calc!$F$447:$F$482,Calc!$B$447:$B$482,$N59,Calc!$A$447:$A$482,V$54)/SUMIFS(Calc!$E$447:$E$482,Calc!$B$447:$B$482,$N59,Calc!$A$447:$A$482,V$54),0)</f>
        <v>0.41497880357983979</v>
      </c>
      <c r="W59" s="109">
        <f>$R$18</f>
        <v>0.32284282412817117</v>
      </c>
      <c r="X59" s="110"/>
      <c r="Y59" s="110"/>
    </row>
    <row r="60" spans="2:25" x14ac:dyDescent="0.25">
      <c r="B60" s="107" t="s">
        <v>151</v>
      </c>
      <c r="C60" s="107"/>
      <c r="D60" s="107"/>
      <c r="E60" s="58">
        <f>INDEX(Calc!$I$382:$I$387,Calc!$C$410)</f>
        <v>76.010999999999996</v>
      </c>
      <c r="F60" s="58">
        <f>INDEX(Calc!$I$382:$I$387,Calc!$C$411)</f>
        <v>55.631</v>
      </c>
      <c r="G60" s="58">
        <f>INDEX(Calc!$I$382:$I$387,Calc!$C$412)</f>
        <v>37.338999999999999</v>
      </c>
      <c r="H60" s="58">
        <f>INDEX(Calc!$I$382:$I$387,Calc!$C$413)</f>
        <v>35.034999999999997</v>
      </c>
      <c r="I60" s="58">
        <f>INDEX(Calc!$I$382:$I$387,Calc!$C$414)</f>
        <v>17.481000000000002</v>
      </c>
      <c r="J60" s="58">
        <f>INDEX(Calc!$I$382:$I$387,Calc!$C$415)</f>
        <v>11.579000000000001</v>
      </c>
      <c r="K60" s="44">
        <f t="shared" si="6"/>
        <v>233.07599999999999</v>
      </c>
      <c r="L60" s="58">
        <f>SUM(Calc!$I$389:$I$394)</f>
        <v>237.292</v>
      </c>
      <c r="N60" s="100" t="str">
        <f>$B$19</f>
        <v>Tindra</v>
      </c>
      <c r="O60" s="100"/>
      <c r="P60" s="100"/>
      <c r="Q60" s="66">
        <f>IFERROR(SUMIFS(Calc!$F$447:$F$482,Calc!$B$447:$B$482,$N60,Calc!$A$447:$A$482,Q$54)/SUMIFS(Calc!$E$447:$E$482,Calc!$B$447:$B$482,$N60,Calc!$A$447:$A$482,Q$54),0)</f>
        <v>0.21120834735779195</v>
      </c>
      <c r="R60" s="66">
        <f>IFERROR(SUMIFS(Calc!$F$447:$F$482,Calc!$B$447:$B$482,$N60,Calc!$A$447:$A$482,R$54)/SUMIFS(Calc!$E$447:$E$482,Calc!$B$447:$B$482,$N60,Calc!$A$447:$A$482,R$54),0)</f>
        <v>0.25900094250706884</v>
      </c>
      <c r="S60" s="66">
        <f>IFERROR(SUMIFS(Calc!$F$447:$F$482,Calc!$B$447:$B$482,$N60,Calc!$A$447:$A$482,S$54)/SUMIFS(Calc!$E$447:$E$482,Calc!$B$447:$B$482,$N60,Calc!$A$447:$A$482,S$54),0)</f>
        <v>0.20331491712707186</v>
      </c>
      <c r="T60" s="66">
        <f>IFERROR(SUMIFS(Calc!$F$447:$F$482,Calc!$B$447:$B$482,$N60,Calc!$A$447:$A$482,T$54)/SUMIFS(Calc!$E$447:$E$482,Calc!$B$447:$B$482,$N60,Calc!$A$447:$A$482,T$54),0)</f>
        <v>0.26396577755410161</v>
      </c>
      <c r="U60" s="66">
        <f>IFERROR(SUMIFS(Calc!$F$447:$F$482,Calc!$B$447:$B$482,$N60,Calc!$A$447:$A$482,U$54)/SUMIFS(Calc!$E$447:$E$482,Calc!$B$447:$B$482,$N60,Calc!$A$447:$A$482,U$54),0)</f>
        <v>0.24341682723185615</v>
      </c>
      <c r="V60" s="66">
        <f>IFERROR(SUMIFS(Calc!$F$447:$F$482,Calc!$B$447:$B$482,$N60,Calc!$A$447:$A$482,V$54)/SUMIFS(Calc!$E$447:$E$482,Calc!$B$447:$B$482,$N60,Calc!$A$447:$A$482,V$54),0)</f>
        <v>0.34950657894736842</v>
      </c>
      <c r="W60" s="109">
        <f>$R$19</f>
        <v>0.24898517673888254</v>
      </c>
      <c r="X60" s="110"/>
      <c r="Y60" s="110"/>
    </row>
    <row r="61" spans="2:25" x14ac:dyDescent="0.25">
      <c r="B61" s="97" t="s">
        <v>277</v>
      </c>
      <c r="C61" s="97"/>
      <c r="D61" s="97"/>
      <c r="E61" s="23">
        <f>INDEX(Calc!$J$382:$J$387,Calc!$C$410)</f>
        <v>-12.208</v>
      </c>
      <c r="F61" s="23">
        <f>INDEX(Calc!$J$382:$J$387,Calc!$C$411)</f>
        <v>-6.9749999999999996</v>
      </c>
      <c r="G61" s="23">
        <f>INDEX(Calc!$J$382:$J$387,Calc!$C$412)</f>
        <v>-3.4889999999999999</v>
      </c>
      <c r="H61" s="23">
        <f>INDEX(Calc!$J$382:$J$387,Calc!$C$413)</f>
        <v>-7.4649999999999999</v>
      </c>
      <c r="I61" s="23">
        <f>INDEX(Calc!$J$382:$J$387,Calc!$C$414)</f>
        <v>-1.454</v>
      </c>
      <c r="J61" s="23">
        <f>INDEX(Calc!$J$382:$J$387,Calc!$C$415)</f>
        <v>-4.0679999999999996</v>
      </c>
      <c r="K61" s="65">
        <f t="shared" si="6"/>
        <v>-35.658999999999999</v>
      </c>
      <c r="L61" s="23">
        <f>SUM(Calc!$J$389:$J$394)</f>
        <v>-37.085000000000001</v>
      </c>
      <c r="N61" s="111" t="str">
        <f>"Net revenue variance to budget, "&amp;UnitLbl</f>
        <v>Net revenue variance to budget, $m</v>
      </c>
      <c r="O61" s="112"/>
      <c r="P61" s="112"/>
      <c r="Q61" s="112"/>
      <c r="R61" s="112"/>
      <c r="S61" s="112"/>
      <c r="T61" s="112"/>
      <c r="U61" s="112"/>
      <c r="V61" s="112"/>
      <c r="W61" s="112"/>
      <c r="X61" s="112"/>
      <c r="Y61" s="112"/>
    </row>
    <row r="62" spans="2:25" ht="21" customHeight="1" x14ac:dyDescent="0.25">
      <c r="B62" s="97" t="s">
        <v>155</v>
      </c>
      <c r="C62" s="97"/>
      <c r="D62" s="97"/>
      <c r="E62" s="23">
        <f>INDEX(Calc!$K$382:$K$387,Calc!$C$410)</f>
        <v>-11.316000000000001</v>
      </c>
      <c r="F62" s="23">
        <f>INDEX(Calc!$K$382:$K$387,Calc!$C$411)</f>
        <v>-9.391</v>
      </c>
      <c r="G62" s="23">
        <f>INDEX(Calc!$K$382:$K$387,Calc!$C$412)</f>
        <v>-6.9290000000000003</v>
      </c>
      <c r="H62" s="23">
        <f>INDEX(Calc!$K$382:$K$387,Calc!$C$413)</f>
        <v>-5.54</v>
      </c>
      <c r="I62" s="23">
        <f>INDEX(Calc!$K$382:$K$387,Calc!$C$414)</f>
        <v>-3.5939999999999999</v>
      </c>
      <c r="J62" s="23">
        <f>INDEX(Calc!$K$382:$K$387,Calc!$C$415)</f>
        <v>-2.052</v>
      </c>
      <c r="K62" s="65">
        <f t="shared" si="6"/>
        <v>-38.822000000000003</v>
      </c>
      <c r="L62" s="23">
        <f>SUM(Calc!$K$389:$K$394)</f>
        <v>-37.695999999999998</v>
      </c>
      <c r="N62" s="98" t="s">
        <v>3</v>
      </c>
      <c r="O62" s="98"/>
      <c r="P62" s="98"/>
      <c r="Q62" s="64" t="str">
        <f>INDEX(lstChannel,1)</f>
        <v>Hypermarkets</v>
      </c>
      <c r="R62" s="64" t="str">
        <f>INDEX(lstChannel,2)</f>
        <v>Supermarkets</v>
      </c>
      <c r="S62" s="64" t="str">
        <f>INDEX(lstChannel,3)</f>
        <v>Discounters</v>
      </c>
      <c r="T62" s="64" t="str">
        <f>INDEX(lstChannel,4)</f>
        <v>Marketplaces</v>
      </c>
      <c r="U62" s="64" t="str">
        <f>INDEX(lstChannel,5)</f>
        <v>Direct to Consumer</v>
      </c>
      <c r="V62" s="64" t="str">
        <f>INDEX(lstChannel,6)</f>
        <v>Distributors</v>
      </c>
      <c r="W62" s="99" t="s">
        <v>283</v>
      </c>
      <c r="X62" s="99"/>
      <c r="Y62" s="99"/>
    </row>
    <row r="63" spans="2:25" x14ac:dyDescent="0.25">
      <c r="B63" s="107" t="s">
        <v>157</v>
      </c>
      <c r="C63" s="107"/>
      <c r="D63" s="107"/>
      <c r="E63" s="58">
        <f>INDEX(Calc!$L$382:$L$387,Calc!$C$410)</f>
        <v>52.487000000000002</v>
      </c>
      <c r="F63" s="58">
        <f>INDEX(Calc!$L$382:$L$387,Calc!$C$411)</f>
        <v>39.265000000000001</v>
      </c>
      <c r="G63" s="58">
        <f>INDEX(Calc!$L$382:$L$387,Calc!$C$412)</f>
        <v>26.920999999999999</v>
      </c>
      <c r="H63" s="58">
        <f>INDEX(Calc!$L$382:$L$387,Calc!$C$413)</f>
        <v>22.03</v>
      </c>
      <c r="I63" s="58">
        <f>INDEX(Calc!$L$382:$L$387,Calc!$C$414)</f>
        <v>12.433</v>
      </c>
      <c r="J63" s="58">
        <f>INDEX(Calc!$L$382:$L$387,Calc!$C$415)</f>
        <v>5.4589999999999996</v>
      </c>
      <c r="K63" s="44">
        <f t="shared" si="6"/>
        <v>158.595</v>
      </c>
      <c r="L63" s="58">
        <f>SUM(Calc!$L$389:$L$394)</f>
        <v>162.511</v>
      </c>
      <c r="N63" s="100" t="s">
        <v>368</v>
      </c>
      <c r="O63" s="100"/>
      <c r="P63" s="100"/>
      <c r="Q63" s="24">
        <f>SUMIFS(Calc!$E$447:$E$482,Calc!$A$447:$A$482,Q$62)-SUMIFS(Calc!$I$447:$I$482,Calc!$A$447:$A$482,Q$62)</f>
        <v>-5.9479999999999933</v>
      </c>
      <c r="R63" s="24">
        <f>SUMIFS(Calc!$E$447:$E$482,Calc!$A$447:$A$482,R$62)-SUMIFS(Calc!$I$447:$I$482,Calc!$A$447:$A$482,R$62)</f>
        <v>-3.5999999999987153E-2</v>
      </c>
      <c r="S63" s="24">
        <f>SUMIFS(Calc!$E$447:$E$482,Calc!$A$447:$A$482,S$62)-SUMIFS(Calc!$I$447:$I$482,Calc!$A$447:$A$482,S$62)</f>
        <v>-2.9750000000000014</v>
      </c>
      <c r="T63" s="24">
        <f>SUMIFS(Calc!$E$447:$E$482,Calc!$A$447:$A$482,T$62)-SUMIFS(Calc!$I$447:$I$482,Calc!$A$447:$A$482,T$62)</f>
        <v>5.9279999999999973</v>
      </c>
      <c r="U63" s="24">
        <f>SUMIFS(Calc!$E$447:$E$482,Calc!$A$447:$A$482,U$62)-SUMIFS(Calc!$I$447:$I$482,Calc!$A$447:$A$482,U$62)</f>
        <v>1.6309999999999967</v>
      </c>
      <c r="V63" s="24">
        <f>SUMIFS(Calc!$E$447:$E$482,Calc!$A$447:$A$482,V$62)-SUMIFS(Calc!$I$447:$I$482,Calc!$A$447:$A$482,V$62)</f>
        <v>0.54799999999999471</v>
      </c>
      <c r="W63" s="113">
        <f>SUM(Q63:V63)</f>
        <v>-0.85199999999999321</v>
      </c>
      <c r="X63" s="113"/>
      <c r="Y63" s="113"/>
    </row>
    <row r="64" spans="2:25" x14ac:dyDescent="0.25">
      <c r="B64" s="97" t="s">
        <v>364</v>
      </c>
      <c r="C64" s="97"/>
      <c r="D64" s="97"/>
      <c r="E64" s="31">
        <f t="shared" ref="E64:L64" si="7">IFERROR(E60/E58,0)</f>
        <v>0.62764024903803284</v>
      </c>
      <c r="F64" s="31">
        <f t="shared" si="7"/>
        <v>0.55332756442773445</v>
      </c>
      <c r="G64" s="31">
        <f t="shared" si="7"/>
        <v>0.50341777783769925</v>
      </c>
      <c r="H64" s="31">
        <f t="shared" si="7"/>
        <v>0.59063016285107384</v>
      </c>
      <c r="I64" s="31">
        <f t="shared" si="7"/>
        <v>0.45392225597881125</v>
      </c>
      <c r="J64" s="31">
        <f t="shared" si="7"/>
        <v>0.52811858608893958</v>
      </c>
      <c r="K64" s="67">
        <f t="shared" si="7"/>
        <v>0.56085857978198617</v>
      </c>
      <c r="L64" s="31">
        <f t="shared" si="7"/>
        <v>0.56983540735119664</v>
      </c>
      <c r="N64" s="100" t="s">
        <v>369</v>
      </c>
      <c r="O64" s="100"/>
      <c r="P64" s="100"/>
      <c r="Q64" s="25">
        <f>IFERROR(Q63/SUMIFS(Calc!$I$447:$I$482,Calc!$A$447:$A$482,Q$62),0)</f>
        <v>-4.9482134686577042E-2</v>
      </c>
      <c r="R64" s="25">
        <f>IFERROR(R63/SUMIFS(Calc!$I$447:$I$482,Calc!$A$447:$A$482,R$62),0)</f>
        <v>-3.5946080878669151E-4</v>
      </c>
      <c r="S64" s="25">
        <f>IFERROR(S63/SUMIFS(Calc!$I$447:$I$482,Calc!$A$447:$A$482,S$62),0)</f>
        <v>-5.4749898781699759E-2</v>
      </c>
      <c r="T64" s="25">
        <f>IFERROR(T63/SUMIFS(Calc!$I$447:$I$482,Calc!$A$447:$A$482,T$62),0)</f>
        <v>8.6485855594298416E-2</v>
      </c>
      <c r="U64" s="25">
        <f>IFERROR(U63/SUMIFS(Calc!$I$447:$I$482,Calc!$A$447:$A$482,U$62),0)</f>
        <v>5.8616352201257736E-2</v>
      </c>
      <c r="V64" s="25">
        <f>IFERROR(V63/SUMIFS(Calc!$I$447:$I$482,Calc!$A$447:$A$482,V$62),0)</f>
        <v>1.2080862414849644E-2</v>
      </c>
      <c r="W64" s="114">
        <f>H20</f>
        <v>-2.0460014120292211E-3</v>
      </c>
      <c r="X64" s="114"/>
      <c r="Y64" s="114"/>
    </row>
    <row r="65" spans="2:25" x14ac:dyDescent="0.25">
      <c r="B65" s="97" t="s">
        <v>343</v>
      </c>
      <c r="C65" s="97"/>
      <c r="D65" s="97"/>
      <c r="E65" s="31">
        <f t="shared" ref="E65:L65" si="8">IFERROR(E63/E58,0)</f>
        <v>0.43339718923917891</v>
      </c>
      <c r="F65" s="31">
        <f t="shared" si="8"/>
        <v>0.39054496265130945</v>
      </c>
      <c r="G65" s="31">
        <f t="shared" si="8"/>
        <v>0.36295856871283921</v>
      </c>
      <c r="H65" s="31">
        <f t="shared" si="8"/>
        <v>0.37138811153444151</v>
      </c>
      <c r="I65" s="31">
        <f t="shared" si="8"/>
        <v>0.32284282412817117</v>
      </c>
      <c r="J65" s="31">
        <f t="shared" si="8"/>
        <v>0.24898517673888254</v>
      </c>
      <c r="K65" s="67">
        <f t="shared" si="8"/>
        <v>0.38163245662583922</v>
      </c>
      <c r="L65" s="31">
        <f t="shared" si="8"/>
        <v>0.39025555806369494</v>
      </c>
      <c r="N65" s="100" t="s">
        <v>370</v>
      </c>
      <c r="O65" s="100"/>
      <c r="P65" s="100"/>
      <c r="Q65" s="24">
        <f>SUMIFS(Calc!$F$447:$F$482,Calc!$A$447:$A$482,Q$62)-SUMIFS(Calc!$J$447:$J$482,Calc!$A$447:$A$482,Q$62)</f>
        <v>-3.919000000000004</v>
      </c>
      <c r="R65" s="24">
        <f>SUMIFS(Calc!$F$447:$F$482,Calc!$A$447:$A$482,R$62)-SUMIFS(Calc!$J$447:$J$482,Calc!$A$447:$A$482,R$62)</f>
        <v>-0.74199999999999733</v>
      </c>
      <c r="S65" s="24">
        <f>SUMIFS(Calc!$F$447:$F$482,Calc!$A$447:$A$482,S$62)-SUMIFS(Calc!$J$447:$J$482,Calc!$A$447:$A$482,S$62)</f>
        <v>-2.1309999999999967</v>
      </c>
      <c r="T65" s="24">
        <f>SUMIFS(Calc!$F$447:$F$482,Calc!$A$447:$A$482,T$62)-SUMIFS(Calc!$J$447:$J$482,Calc!$A$447:$A$482,T$62)</f>
        <v>2.335999999999995</v>
      </c>
      <c r="U65" s="24">
        <f>SUMIFS(Calc!$F$447:$F$482,Calc!$A$447:$A$482,U$62)-SUMIFS(Calc!$J$447:$J$482,Calc!$A$447:$A$482,U$62)</f>
        <v>0.48099999999999987</v>
      </c>
      <c r="V65" s="24">
        <f>SUMIFS(Calc!$F$447:$F$482,Calc!$A$447:$A$482,V$62)-SUMIFS(Calc!$J$447:$J$482,Calc!$A$447:$A$482,V$62)</f>
        <v>5.9000000000001052E-2</v>
      </c>
      <c r="W65" s="113">
        <f>SUM(Q65:V65)</f>
        <v>-3.9160000000000021</v>
      </c>
      <c r="X65" s="113"/>
      <c r="Y65" s="113"/>
    </row>
    <row r="66" spans="2:25" x14ac:dyDescent="0.25">
      <c r="B66" s="97" t="s">
        <v>365</v>
      </c>
      <c r="C66" s="97"/>
      <c r="D66" s="97"/>
      <c r="E66" s="23"/>
      <c r="F66" s="23"/>
      <c r="G66" s="23"/>
      <c r="H66" s="23"/>
      <c r="I66" s="23"/>
      <c r="J66" s="23"/>
      <c r="K66" s="65">
        <f>Calc!$E$306</f>
        <v>-76.784999999999997</v>
      </c>
      <c r="L66" s="23">
        <f>Calc!$F$306</f>
        <v>-76.947000000000017</v>
      </c>
      <c r="N66" s="100" t="s">
        <v>343</v>
      </c>
      <c r="O66" s="100"/>
      <c r="P66" s="100"/>
      <c r="Q66" s="31">
        <f>IFERROR(SUMIFS(Calc!$F$447:$F$482,Calc!$A$447:$A$482,Q$62)/SUMIFS(Calc!$E$447:$E$482,Calc!$A$447:$A$482,Q$62),0)</f>
        <v>0.35742230235346628</v>
      </c>
      <c r="R66" s="31">
        <f>IFERROR(SUMIFS(Calc!$F$447:$F$482,Calc!$A$447:$A$482,R$62)/SUMIFS(Calc!$E$447:$E$482,Calc!$A$447:$A$482,R$62),0)</f>
        <v>0.39008530275485948</v>
      </c>
      <c r="S66" s="31">
        <f>IFERROR(SUMIFS(Calc!$F$447:$F$482,Calc!$A$447:$A$482,S$62)/SUMIFS(Calc!$E$447:$E$482,Calc!$A$447:$A$482,S$62),0)</f>
        <v>0.35153709868971827</v>
      </c>
      <c r="T66" s="31">
        <f>IFERROR(SUMIFS(Calc!$F$447:$F$482,Calc!$A$447:$A$482,T$62)/SUMIFS(Calc!$E$447:$E$482,Calc!$A$447:$A$482,T$62),0)</f>
        <v>0.38435095540545977</v>
      </c>
      <c r="U66" s="31">
        <f>IFERROR(SUMIFS(Calc!$F$447:$F$482,Calc!$A$447:$A$482,U$62)/SUMIFS(Calc!$E$447:$E$482,Calc!$A$447:$A$482,U$62),0)</f>
        <v>0.35612438891906573</v>
      </c>
      <c r="V66" s="31">
        <f>IFERROR(SUMIFS(Calc!$F$447:$F$482,Calc!$A$447:$A$482,V$62)/SUMIFS(Calc!$E$447:$E$482,Calc!$A$447:$A$482,V$62),0)</f>
        <v>0.46908013679235017</v>
      </c>
      <c r="W66" s="110">
        <f>R20</f>
        <v>0.38163245662583922</v>
      </c>
      <c r="X66" s="110"/>
      <c r="Y66" s="110"/>
    </row>
    <row r="67" spans="2:25" x14ac:dyDescent="0.25">
      <c r="B67" s="107" t="s">
        <v>366</v>
      </c>
      <c r="C67" s="107"/>
      <c r="D67" s="107"/>
      <c r="E67" s="58"/>
      <c r="F67" s="58"/>
      <c r="G67" s="58"/>
      <c r="H67" s="58"/>
      <c r="I67" s="58"/>
      <c r="J67" s="58"/>
      <c r="K67" s="44">
        <f>K63+K66</f>
        <v>81.81</v>
      </c>
      <c r="L67" s="58">
        <f>L63+L66</f>
        <v>85.563999999999979</v>
      </c>
    </row>
    <row r="69" spans="2:25" ht="18" customHeight="1" x14ac:dyDescent="0.25">
      <c r="B69" s="6" t="str">
        <f>"Net revenue variance drivers vs budget, "&amp;UnitLbl</f>
        <v>Net revenue variance drivers vs budget, $m</v>
      </c>
      <c r="C69" s="6"/>
      <c r="D69" s="6"/>
      <c r="E69" s="6"/>
      <c r="F69" s="6"/>
      <c r="G69" s="6"/>
      <c r="H69" s="6"/>
      <c r="I69" s="6"/>
    </row>
    <row r="70" spans="2:25" ht="24" customHeight="1" x14ac:dyDescent="0.25">
      <c r="B70" s="98" t="s">
        <v>4</v>
      </c>
      <c r="C70" s="98"/>
      <c r="D70" s="98"/>
      <c r="E70" s="20" t="s">
        <v>249</v>
      </c>
      <c r="F70" s="20" t="s">
        <v>250</v>
      </c>
      <c r="G70" s="20" t="s">
        <v>272</v>
      </c>
      <c r="H70" s="20" t="s">
        <v>273</v>
      </c>
      <c r="I70" s="20" t="s">
        <v>371</v>
      </c>
    </row>
    <row r="71" spans="2:25" x14ac:dyDescent="0.25">
      <c r="B71" s="100" t="str">
        <f>$B$14</f>
        <v>Aurelia</v>
      </c>
      <c r="C71" s="100"/>
      <c r="D71" s="100"/>
      <c r="E71" s="24">
        <f>SUMIFS(Calc!$K$447:$K$482,Calc!$B$447:$B$482,$B71)</f>
        <v>-0.81371364793872791</v>
      </c>
      <c r="F71" s="24">
        <f>SUMIFS(Calc!$L$447:$L$482,Calc!$B$447:$B$482,$B71)</f>
        <v>5.0139142312609506</v>
      </c>
      <c r="G71" s="24">
        <f>SUMIFS(Calc!$M$447:$M$482,Calc!$B$447:$B$482,$B71)</f>
        <v>0.96796620286316826</v>
      </c>
      <c r="H71" s="24">
        <f>SUMIFS(Calc!$N$447:$N$482,Calc!$B$447:$B$482,$B71)</f>
        <v>-0.65916678618538505</v>
      </c>
      <c r="I71" s="59">
        <f t="shared" ref="I71:I77" si="9">SUM(E71:H71)</f>
        <v>4.5090000000000066</v>
      </c>
    </row>
    <row r="72" spans="2:25" x14ac:dyDescent="0.25">
      <c r="B72" s="100" t="str">
        <f>$B$15</f>
        <v>Novara</v>
      </c>
      <c r="C72" s="100"/>
      <c r="D72" s="100"/>
      <c r="E72" s="24">
        <f>SUMIFS(Calc!$K$447:$K$482,Calc!$B$447:$B$482,$B72)</f>
        <v>-0.69748080484311215</v>
      </c>
      <c r="F72" s="24">
        <f>SUMIFS(Calc!$L$447:$L$482,Calc!$B$447:$B$482,$B72)</f>
        <v>1.4532957550345205</v>
      </c>
      <c r="G72" s="24">
        <f>SUMIFS(Calc!$M$447:$M$482,Calc!$B$447:$B$482,$B72)</f>
        <v>0.31111765781192019</v>
      </c>
      <c r="H72" s="24">
        <f>SUMIFS(Calc!$N$447:$N$482,Calc!$B$447:$B$482,$B72)</f>
        <v>-0.46993260800333431</v>
      </c>
      <c r="I72" s="59">
        <f t="shared" si="9"/>
        <v>0.5969999999999942</v>
      </c>
    </row>
    <row r="73" spans="2:25" x14ac:dyDescent="0.25">
      <c r="B73" s="100" t="str">
        <f>$B$16</f>
        <v>Kestrel</v>
      </c>
      <c r="C73" s="100"/>
      <c r="D73" s="100"/>
      <c r="E73" s="24">
        <f>SUMIFS(Calc!$K$447:$K$482,Calc!$B$447:$B$482,$B73)</f>
        <v>-0.52310711420444178</v>
      </c>
      <c r="F73" s="24">
        <f>SUMIFS(Calc!$L$447:$L$482,Calc!$B$447:$B$482,$B73)</f>
        <v>-1.7262892317089773E-3</v>
      </c>
      <c r="G73" s="24">
        <f>SUMIFS(Calc!$M$447:$M$482,Calc!$B$447:$B$482,$B73)</f>
        <v>4.8501477138357368E-2</v>
      </c>
      <c r="H73" s="24">
        <f>SUMIFS(Calc!$N$447:$N$482,Calc!$B$447:$B$482,$B73)</f>
        <v>-0.30866807370220573</v>
      </c>
      <c r="I73" s="59">
        <f t="shared" si="9"/>
        <v>-0.78499999999999914</v>
      </c>
    </row>
    <row r="74" spans="2:25" x14ac:dyDescent="0.25">
      <c r="B74" s="100" t="str">
        <f>$B$17</f>
        <v>Lumio</v>
      </c>
      <c r="C74" s="100"/>
      <c r="D74" s="100"/>
      <c r="E74" s="24">
        <f>SUMIFS(Calc!$K$447:$K$482,Calc!$B$447:$B$482,$B74)</f>
        <v>-0.40686729225304114</v>
      </c>
      <c r="F74" s="24">
        <f>SUMIFS(Calc!$L$447:$L$482,Calc!$B$447:$B$482,$B74)</f>
        <v>1.4515083600871914</v>
      </c>
      <c r="G74" s="24">
        <f>SUMIFS(Calc!$M$447:$M$482,Calc!$B$447:$B$482,$B74)</f>
        <v>0.25414521010864466</v>
      </c>
      <c r="H74" s="24">
        <f>SUMIFS(Calc!$N$447:$N$482,Calc!$B$447:$B$482,$B74)</f>
        <v>-0.28078627794279565</v>
      </c>
      <c r="I74" s="59">
        <f t="shared" si="9"/>
        <v>1.0179999999999991</v>
      </c>
    </row>
    <row r="75" spans="2:25" x14ac:dyDescent="0.25">
      <c r="B75" s="100" t="str">
        <f>$B$18</f>
        <v>Everwood</v>
      </c>
      <c r="C75" s="100"/>
      <c r="D75" s="100"/>
      <c r="E75" s="24">
        <f>SUMIFS(Calc!$K$447:$K$482,Calc!$B$447:$B$482,$B75)</f>
        <v>-0.29061351259007101</v>
      </c>
      <c r="F75" s="24">
        <f>SUMIFS(Calc!$L$447:$L$482,Calc!$B$447:$B$482,$B75)</f>
        <v>-2.5481820897341891</v>
      </c>
      <c r="G75" s="24">
        <f>SUMIFS(Calc!$M$447:$M$482,Calc!$B$447:$B$482,$B75)</f>
        <v>-0.15769980654762442</v>
      </c>
      <c r="H75" s="24">
        <f>SUMIFS(Calc!$N$447:$N$482,Calc!$B$447:$B$482,$B75)</f>
        <v>-0.13450459112811583</v>
      </c>
      <c r="I75" s="59">
        <f t="shared" si="9"/>
        <v>-3.1310000000000002</v>
      </c>
    </row>
    <row r="76" spans="2:25" x14ac:dyDescent="0.25">
      <c r="B76" s="100" t="str">
        <f>$B$19</f>
        <v>Tindra</v>
      </c>
      <c r="C76" s="100"/>
      <c r="D76" s="100"/>
      <c r="E76" s="24">
        <f>SUMIFS(Calc!$K$447:$K$482,Calc!$B$447:$B$482,$B76)</f>
        <v>-0.17436671178288563</v>
      </c>
      <c r="F76" s="24">
        <f>SUMIFS(Calc!$L$447:$L$482,Calc!$B$447:$B$482,$B76)</f>
        <v>-2.8055492570209459</v>
      </c>
      <c r="G76" s="24">
        <f>SUMIFS(Calc!$M$447:$M$482,Calc!$B$447:$B$482,$B76)</f>
        <v>1.667030428041915E-2</v>
      </c>
      <c r="H76" s="24">
        <f>SUMIFS(Calc!$N$447:$N$482,Calc!$B$447:$B$482,$B76)</f>
        <v>-9.6754335476587988E-2</v>
      </c>
      <c r="I76" s="59">
        <f t="shared" si="9"/>
        <v>-3.0600000000000005</v>
      </c>
    </row>
    <row r="77" spans="2:25" x14ac:dyDescent="0.25">
      <c r="B77" s="107" t="s">
        <v>283</v>
      </c>
      <c r="C77" s="107"/>
      <c r="D77" s="107"/>
      <c r="E77" s="59">
        <f>SUM(E71:E76)</f>
        <v>-2.9061490836122794</v>
      </c>
      <c r="F77" s="59">
        <f>SUM(F71:F76)</f>
        <v>2.5632607103958183</v>
      </c>
      <c r="G77" s="59">
        <f>SUM(G71:G76)</f>
        <v>1.4407010456548852</v>
      </c>
      <c r="H77" s="59">
        <f>SUM(H71:H76)</f>
        <v>-1.9498126724384246</v>
      </c>
      <c r="I77" s="59">
        <f t="shared" si="9"/>
        <v>-0.85200000000000053</v>
      </c>
    </row>
    <row r="79" spans="2:25" x14ac:dyDescent="0.25">
      <c r="B79" s="115" t="s">
        <v>372</v>
      </c>
      <c r="C79" s="115"/>
      <c r="D79" s="115"/>
      <c r="E79" s="115"/>
      <c r="F79" s="115"/>
      <c r="G79" s="115"/>
      <c r="H79" s="115"/>
      <c r="I79" s="115"/>
    </row>
    <row r="80" spans="2:25" x14ac:dyDescent="0.25">
      <c r="B80" s="115"/>
      <c r="C80" s="115"/>
      <c r="D80" s="115"/>
      <c r="E80" s="115"/>
      <c r="F80" s="115"/>
      <c r="G80" s="115"/>
      <c r="H80" s="115"/>
      <c r="I80" s="115"/>
    </row>
    <row r="81" spans="2:25" x14ac:dyDescent="0.25">
      <c r="B81" s="115"/>
      <c r="C81" s="115"/>
      <c r="D81" s="115"/>
      <c r="E81" s="115"/>
      <c r="F81" s="115"/>
      <c r="G81" s="115"/>
      <c r="H81" s="115"/>
      <c r="I81" s="115"/>
    </row>
    <row r="82" spans="2:25" x14ac:dyDescent="0.25">
      <c r="B82" s="115"/>
      <c r="C82" s="115"/>
      <c r="D82" s="115"/>
      <c r="E82" s="115"/>
      <c r="F82" s="115"/>
      <c r="G82" s="115"/>
      <c r="H82" s="115"/>
      <c r="I82" s="115"/>
    </row>
    <row r="83" spans="2:25" x14ac:dyDescent="0.25">
      <c r="B83" s="115"/>
      <c r="C83" s="115"/>
      <c r="D83" s="115"/>
      <c r="E83" s="115"/>
      <c r="F83" s="115"/>
      <c r="G83" s="115"/>
      <c r="H83" s="115"/>
      <c r="I83" s="115"/>
    </row>
    <row r="85" spans="2:25" ht="18" customHeight="1" x14ac:dyDescent="0.25">
      <c r="B85" s="6" t="str">
        <f>"Focus: "&amp;focusBrand&amp;"  (change the brand in the yellow cell at the top of this page)"</f>
        <v>Focus: Aurelia  (change the brand in the yellow cell at the top of this page)</v>
      </c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</sheetData>
  <mergeCells count="91">
    <mergeCell ref="B77:D77"/>
    <mergeCell ref="B79:I83"/>
    <mergeCell ref="B72:D72"/>
    <mergeCell ref="B73:D73"/>
    <mergeCell ref="B74:D74"/>
    <mergeCell ref="B75:D75"/>
    <mergeCell ref="B76:D76"/>
    <mergeCell ref="W64:Y64"/>
    <mergeCell ref="W65:Y65"/>
    <mergeCell ref="W66:Y66"/>
    <mergeCell ref="B70:D70"/>
    <mergeCell ref="B71:D71"/>
    <mergeCell ref="B64:D64"/>
    <mergeCell ref="B65:D65"/>
    <mergeCell ref="B66:D66"/>
    <mergeCell ref="B67:D67"/>
    <mergeCell ref="N64:P64"/>
    <mergeCell ref="N65:P65"/>
    <mergeCell ref="N66:P66"/>
    <mergeCell ref="W60:Y60"/>
    <mergeCell ref="N61:Y61"/>
    <mergeCell ref="N62:P62"/>
    <mergeCell ref="W62:Y62"/>
    <mergeCell ref="N63:P63"/>
    <mergeCell ref="W63:Y63"/>
    <mergeCell ref="N60:P60"/>
    <mergeCell ref="W57:Y57"/>
    <mergeCell ref="N58:P58"/>
    <mergeCell ref="W58:Y58"/>
    <mergeCell ref="N59:P59"/>
    <mergeCell ref="W59:Y59"/>
    <mergeCell ref="N57:P57"/>
    <mergeCell ref="W54:Y54"/>
    <mergeCell ref="N55:P55"/>
    <mergeCell ref="W55:Y55"/>
    <mergeCell ref="N56:P56"/>
    <mergeCell ref="W56:Y56"/>
    <mergeCell ref="N54:P54"/>
    <mergeCell ref="B59:D59"/>
    <mergeCell ref="B60:D60"/>
    <mergeCell ref="B61:D61"/>
    <mergeCell ref="B62:D62"/>
    <mergeCell ref="B63:D63"/>
    <mergeCell ref="B54:D54"/>
    <mergeCell ref="B55:D55"/>
    <mergeCell ref="B56:D56"/>
    <mergeCell ref="B57:D57"/>
    <mergeCell ref="B58:D58"/>
    <mergeCell ref="N9:Q9"/>
    <mergeCell ref="R6:U6"/>
    <mergeCell ref="R7:U8"/>
    <mergeCell ref="R9:U9"/>
    <mergeCell ref="V6:Y6"/>
    <mergeCell ref="V7:Y8"/>
    <mergeCell ref="V9:Y9"/>
    <mergeCell ref="B18:D18"/>
    <mergeCell ref="V18:Y18"/>
    <mergeCell ref="B19:D19"/>
    <mergeCell ref="V19:Y19"/>
    <mergeCell ref="B20:D20"/>
    <mergeCell ref="V20:Y20"/>
    <mergeCell ref="B15:D15"/>
    <mergeCell ref="V15:Y15"/>
    <mergeCell ref="B16:D16"/>
    <mergeCell ref="V16:Y16"/>
    <mergeCell ref="B17:D17"/>
    <mergeCell ref="V17:Y17"/>
    <mergeCell ref="W5:Y5"/>
    <mergeCell ref="B13:D13"/>
    <mergeCell ref="V13:Y13"/>
    <mergeCell ref="B14:D14"/>
    <mergeCell ref="V14:Y14"/>
    <mergeCell ref="B6:E6"/>
    <mergeCell ref="B7:E8"/>
    <mergeCell ref="B9:E9"/>
    <mergeCell ref="F6:I6"/>
    <mergeCell ref="F7:I8"/>
    <mergeCell ref="F9:I9"/>
    <mergeCell ref="J6:M6"/>
    <mergeCell ref="J7:M8"/>
    <mergeCell ref="J9:M9"/>
    <mergeCell ref="N6:Q6"/>
    <mergeCell ref="N7:Q8"/>
    <mergeCell ref="B2:O2"/>
    <mergeCell ref="B3:O3"/>
    <mergeCell ref="B4:C4"/>
    <mergeCell ref="D4:E4"/>
    <mergeCell ref="F4:G4"/>
    <mergeCell ref="H4:I4"/>
    <mergeCell ref="J4:K4"/>
    <mergeCell ref="L4:M4"/>
  </mergeCells>
  <conditionalFormatting sqref="E71:I77">
    <cfRule type="cellIs" dxfId="10" priority="18" operator="greaterThan">
      <formula>0</formula>
    </cfRule>
    <cfRule type="cellIs" dxfId="9" priority="19" operator="lessThan">
      <formula>0</formula>
    </cfRule>
  </conditionalFormatting>
  <conditionalFormatting sqref="G14:J20">
    <cfRule type="cellIs" dxfId="8" priority="1" operator="greaterThan">
      <formula>0</formula>
    </cfRule>
    <cfRule type="cellIs" dxfId="7" priority="2" operator="lessThan">
      <formula>0</formula>
    </cfRule>
  </conditionalFormatting>
  <conditionalFormatting sqref="K14:K19">
    <cfRule type="dataBar" priority="14">
      <dataBar>
        <cfvo type="min"/>
        <cfvo type="max"/>
        <color rgb="FFCBD5E1"/>
      </dataBar>
      <extLst>
        <ext xmlns:x14="http://schemas.microsoft.com/office/spreadsheetml/2009/9/main" uri="{B025F937-C7B1-47D3-B67F-A62EFF666E3E}">
          <x14:id>{DA7ABA51-AAAA-BBBB-0004-000000000001}</x14:id>
        </ext>
      </extLst>
    </cfRule>
  </conditionalFormatting>
  <conditionalFormatting sqref="Q14:Q20">
    <cfRule type="cellIs" dxfId="6" priority="9" operator="greaterThan">
      <formula>0</formula>
    </cfRule>
    <cfRule type="cellIs" dxfId="5" priority="10" operator="lessThan">
      <formula>0</formula>
    </cfRule>
  </conditionalFormatting>
  <conditionalFormatting sqref="Q55:V60">
    <cfRule type="colorScale" priority="15">
      <colorScale>
        <cfvo type="min"/>
        <cfvo type="percentile" val="50"/>
        <cfvo type="max"/>
        <color rgb="FFE9A49D"/>
        <color rgb="FFFFFFFF"/>
        <color rgb="FF8CCBA8"/>
      </colorScale>
    </cfRule>
  </conditionalFormatting>
  <conditionalFormatting sqref="Q63:Y65">
    <cfRule type="cellIs" dxfId="4" priority="16" operator="greaterThan">
      <formula>0</formula>
    </cfRule>
    <cfRule type="cellIs" dxfId="3" priority="17" operator="lessThan">
      <formula>0</formula>
    </cfRule>
  </conditionalFormatting>
  <conditionalFormatting sqref="R14:R19">
    <cfRule type="dataBar" priority="13">
      <dataBar>
        <cfvo type="min"/>
        <cfvo type="max"/>
        <color rgb="FFA7D3D7"/>
      </dataBar>
      <extLst>
        <ext xmlns:x14="http://schemas.microsoft.com/office/spreadsheetml/2009/9/main" uri="{B025F937-C7B1-47D3-B67F-A62EFF666E3E}">
          <x14:id>{DA7ABA51-AAAA-BBBB-0004-000000000002}</x14:id>
        </ext>
      </extLst>
    </cfRule>
  </conditionalFormatting>
  <conditionalFormatting sqref="T14:T20">
    <cfRule type="cellIs" dxfId="2" priority="11" operator="greaterThan">
      <formula>0</formula>
    </cfRule>
    <cfRule type="cellIs" dxfId="1" priority="12" operator="lessThan">
      <formula>0</formula>
    </cfRule>
  </conditionalFormatting>
  <dataValidations count="1">
    <dataValidation type="list" allowBlank="1" showInputMessage="1" showErrorMessage="1" promptTitle="Focus" prompt="Drives the focus charts at the bottom of this page." sqref="W5" xr:uid="{00000000-0002-0000-0300-000000000000}">
      <formula1>lstBrand</formula1>
    </dataValidation>
  </dataValidations>
  <hyperlinks>
    <hyperlink ref="B4" location="Summary!A1" display="Summary" xr:uid="{00000000-0004-0000-0300-000000000000}"/>
    <hyperlink ref="D4" location="'P&amp;L'!A1" display="P&amp;L" xr:uid="{00000000-0004-0000-0300-000001000000}"/>
    <hyperlink ref="F4" location="Channel!A1" display="Channel" xr:uid="{00000000-0004-0000-0300-000002000000}"/>
    <hyperlink ref="H4" location="Brand!A1" display="Brand" xr:uid="{00000000-0004-0000-0300-000003000000}"/>
    <hyperlink ref="J4" location="Data!A1" display="Data" xr:uid="{00000000-0004-0000-0300-000004000000}"/>
    <hyperlink ref="L4" location="Guide!A1" display="Guide" xr:uid="{00000000-0004-0000-0300-000005000000}"/>
  </hyperlinks>
  <pageMargins left="0.3" right="0.3" top="0.4" bottom="0.4" header="0.3" footer="0.3"/>
  <pageSetup paperSize="9" fitToHeight="0" orientation="landscape"/>
  <rowBreaks count="1" manualBreakCount="1">
    <brk id="52" max="16383" man="1"/>
  </rowBreaks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A7ABA51-AAAA-BBBB-0004-000000000001}">
            <x14:dataBar minLength="0" maxLength="100" border="1" gradient="0" negativeBarBorderColorSameAsPositive="0">
              <x14:cfvo type="autoMin"/>
              <x14:cfvo type="autoMax"/>
              <x14:borderColor rgb="FFCBD5E1"/>
              <x14:negativeFillColor rgb="FFFF0000"/>
              <x14:negativeBorderColor rgb="FFFF0000"/>
              <x14:axisColor rgb="FF000000"/>
            </x14:dataBar>
          </x14:cfRule>
          <xm:sqref>K14:K19</xm:sqref>
        </x14:conditionalFormatting>
        <x14:conditionalFormatting xmlns:xm="http://schemas.microsoft.com/office/excel/2006/main">
          <x14:cfRule type="dataBar" id="{DA7ABA51-AAAA-BBBB-0004-000000000002}">
            <x14:dataBar minLength="0" maxLength="100" border="1" gradient="0" negativeBarBorderColorSameAsPositive="0">
              <x14:cfvo type="autoMin"/>
              <x14:cfvo type="autoMax"/>
              <x14:borderColor rgb="FFA7D3D7"/>
              <x14:negativeFillColor rgb="FFFF0000"/>
              <x14:negativeBorderColor rgb="FFFF0000"/>
              <x14:axisColor rgb="FF000000"/>
            </x14:dataBar>
          </x14:cfRule>
          <xm:sqref>R14:R19</xm:sqref>
        </x14:conditionalFormatting>
      </x14:conditionalFormattings>
    </ext>
    <ext xmlns:x14="http://schemas.microsoft.com/office/spreadsheetml/2009/9/main" uri="{05C60535-1F16-4fd2-B633-F4F36F0B64E0}">
      <x14:sparklineGroups xmlns:xm="http://schemas.microsoft.com/office/excel/2006/main">
        <x14:sparklineGroup lineWeight="1.25" displayEmptyCellsAs="gap" high="1" xr2:uid="{00000000-0003-0000-0300-000032000000}">
          <x14:colorSeries rgb="FF0F2A47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rgb="FF12808A"/>
          <x14:colorLow theme="4"/>
          <x14:sparklines>
            <x14:sparkline>
              <xm:f>Calc!D424:O424</xm:f>
              <xm:sqref>V14</xm:sqref>
            </x14:sparkline>
          </x14:sparklines>
        </x14:sparklineGroup>
        <x14:sparklineGroup lineWeight="1.25" displayEmptyCellsAs="gap" high="1" xr2:uid="{00000000-0003-0000-0300-000031000000}">
          <x14:colorSeries rgb="FF0F2A47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rgb="FF12808A"/>
          <x14:colorLow theme="4"/>
          <x14:sparklines>
            <x14:sparkline>
              <xm:f>Calc!D425:O425</xm:f>
              <xm:sqref>V15</xm:sqref>
            </x14:sparkline>
          </x14:sparklines>
        </x14:sparklineGroup>
        <x14:sparklineGroup lineWeight="1.25" displayEmptyCellsAs="gap" high="1" xr2:uid="{00000000-0003-0000-0300-000030000000}">
          <x14:colorSeries rgb="FF0F2A47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rgb="FF12808A"/>
          <x14:colorLow theme="4"/>
          <x14:sparklines>
            <x14:sparkline>
              <xm:f>Calc!D426:O426</xm:f>
              <xm:sqref>V16</xm:sqref>
            </x14:sparkline>
          </x14:sparklines>
        </x14:sparklineGroup>
        <x14:sparklineGroup lineWeight="1.25" displayEmptyCellsAs="gap" high="1" xr2:uid="{00000000-0003-0000-0300-00002F000000}">
          <x14:colorSeries rgb="FF0F2A47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rgb="FF12808A"/>
          <x14:colorLow theme="4"/>
          <x14:sparklines>
            <x14:sparkline>
              <xm:f>Calc!D427:O427</xm:f>
              <xm:sqref>V17</xm:sqref>
            </x14:sparkline>
          </x14:sparklines>
        </x14:sparklineGroup>
        <x14:sparklineGroup lineWeight="1.25" displayEmptyCellsAs="gap" high="1" xr2:uid="{00000000-0003-0000-0300-00002E000000}">
          <x14:colorSeries rgb="FF0F2A47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rgb="FF12808A"/>
          <x14:colorLow theme="4"/>
          <x14:sparklines>
            <x14:sparkline>
              <xm:f>Calc!D428:O428</xm:f>
              <xm:sqref>V18</xm:sqref>
            </x14:sparkline>
          </x14:sparklines>
        </x14:sparklineGroup>
        <x14:sparklineGroup lineWeight="1.25" displayEmptyCellsAs="gap" high="1" xr2:uid="{00000000-0003-0000-0300-00002D000000}">
          <x14:colorSeries rgb="FF0F2A47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rgb="FF12808A"/>
          <x14:colorLow theme="4"/>
          <x14:sparklines>
            <x14:sparkline>
              <xm:f>Calc!D429:O429</xm:f>
              <xm:sqref>V19</xm:sqref>
            </x14:sparkline>
          </x14:sparklines>
        </x14:sparklineGroup>
      </x14:sparklineGroup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D9B26F"/>
    <pageSetUpPr fitToPage="1"/>
  </sheetPr>
  <dimension ref="A2:AK1746"/>
  <sheetViews>
    <sheetView showGridLines="0" workbookViewId="0">
      <pane xSplit="6" ySplit="7" topLeftCell="G123" activePane="bottomRight" state="frozen"/>
      <selection pane="topRight" activeCell="G1" sqref="G1"/>
      <selection pane="bottomLeft" activeCell="A8" sqref="A8"/>
      <selection pane="bottomRight" activeCell="F126" sqref="F126"/>
    </sheetView>
  </sheetViews>
  <sheetFormatPr defaultRowHeight="15" x14ac:dyDescent="0.25"/>
  <cols>
    <col min="1" max="1" width="2" style="1" customWidth="1"/>
    <col min="2" max="4" width="10.85546875" customWidth="1"/>
    <col min="5" max="6" width="18.28515625" customWidth="1"/>
    <col min="7" max="38" width="21.42578125" customWidth="1"/>
  </cols>
  <sheetData>
    <row r="2" spans="2:37" ht="18" x14ac:dyDescent="0.25">
      <c r="B2" s="68" t="s">
        <v>530</v>
      </c>
      <c r="G2" s="69" t="s">
        <v>534</v>
      </c>
    </row>
    <row r="3" spans="2:37" x14ac:dyDescent="0.25">
      <c r="B3" s="70" t="s">
        <v>531</v>
      </c>
    </row>
    <row r="4" spans="2:37" x14ac:dyDescent="0.25">
      <c r="B4" s="70" t="s">
        <v>532</v>
      </c>
    </row>
    <row r="5" spans="2:37" x14ac:dyDescent="0.25">
      <c r="B5" s="70" t="s">
        <v>533</v>
      </c>
    </row>
    <row r="7" spans="2:37" x14ac:dyDescent="0.25">
      <c r="B7" t="s">
        <v>0</v>
      </c>
      <c r="C7" t="s">
        <v>1</v>
      </c>
      <c r="D7" t="s">
        <v>2</v>
      </c>
      <c r="E7" t="s">
        <v>3</v>
      </c>
      <c r="F7" t="s">
        <v>4</v>
      </c>
      <c r="G7" t="s">
        <v>5</v>
      </c>
      <c r="H7" t="s">
        <v>6</v>
      </c>
      <c r="I7" t="s">
        <v>7</v>
      </c>
      <c r="J7" t="s">
        <v>8</v>
      </c>
      <c r="K7" t="s">
        <v>9</v>
      </c>
      <c r="L7" t="s">
        <v>10</v>
      </c>
      <c r="M7" t="s">
        <v>11</v>
      </c>
      <c r="N7" t="s">
        <v>12</v>
      </c>
      <c r="O7" t="s">
        <v>13</v>
      </c>
      <c r="P7" t="s">
        <v>14</v>
      </c>
      <c r="Q7" t="s">
        <v>15</v>
      </c>
      <c r="R7" t="s">
        <v>16</v>
      </c>
      <c r="S7" t="s">
        <v>17</v>
      </c>
      <c r="T7" t="s">
        <v>18</v>
      </c>
      <c r="U7" t="s">
        <v>19</v>
      </c>
      <c r="V7" t="s">
        <v>20</v>
      </c>
      <c r="W7" t="s">
        <v>21</v>
      </c>
      <c r="X7" t="s">
        <v>22</v>
      </c>
      <c r="Y7" t="s">
        <v>23</v>
      </c>
      <c r="Z7" t="s">
        <v>24</v>
      </c>
      <c r="AA7" t="s">
        <v>25</v>
      </c>
      <c r="AB7" t="s">
        <v>26</v>
      </c>
      <c r="AC7" t="s">
        <v>27</v>
      </c>
      <c r="AD7" t="s">
        <v>28</v>
      </c>
      <c r="AE7" t="s">
        <v>29</v>
      </c>
      <c r="AF7" t="s">
        <v>30</v>
      </c>
      <c r="AG7" t="s">
        <v>31</v>
      </c>
      <c r="AH7" t="s">
        <v>32</v>
      </c>
      <c r="AI7" t="s">
        <v>33</v>
      </c>
      <c r="AJ7" t="s">
        <v>34</v>
      </c>
      <c r="AK7" t="s">
        <v>35</v>
      </c>
    </row>
    <row r="8" spans="2:37" x14ac:dyDescent="0.25">
      <c r="B8" s="71" t="s">
        <v>36</v>
      </c>
      <c r="C8" s="71">
        <v>2024</v>
      </c>
      <c r="D8" s="71">
        <v>12</v>
      </c>
      <c r="E8" s="71" t="s">
        <v>37</v>
      </c>
      <c r="F8" s="71" t="s">
        <v>38</v>
      </c>
      <c r="G8" s="72">
        <v>0</v>
      </c>
      <c r="H8" s="73">
        <v>0</v>
      </c>
      <c r="I8" s="73">
        <v>0</v>
      </c>
      <c r="J8" s="73">
        <v>0</v>
      </c>
      <c r="K8" s="73">
        <v>0</v>
      </c>
      <c r="L8" s="73">
        <v>0</v>
      </c>
      <c r="M8" s="73">
        <v>0</v>
      </c>
      <c r="N8" s="73">
        <v>0</v>
      </c>
      <c r="O8" s="73">
        <v>0</v>
      </c>
      <c r="P8" s="73">
        <v>0</v>
      </c>
      <c r="Q8" s="73">
        <v>0</v>
      </c>
      <c r="R8" s="73">
        <v>0</v>
      </c>
      <c r="S8" s="73">
        <v>0</v>
      </c>
      <c r="T8" s="73">
        <v>0</v>
      </c>
      <c r="U8" s="73">
        <v>0</v>
      </c>
      <c r="V8" s="73">
        <v>0</v>
      </c>
      <c r="W8" s="73">
        <v>0</v>
      </c>
      <c r="X8" s="73">
        <v>0</v>
      </c>
      <c r="Y8" s="73">
        <v>0</v>
      </c>
      <c r="Z8" s="73">
        <v>4502</v>
      </c>
      <c r="AA8" s="73">
        <v>2874</v>
      </c>
      <c r="AB8" s="73">
        <v>0</v>
      </c>
      <c r="AC8" s="73">
        <v>0</v>
      </c>
      <c r="AD8" s="73">
        <v>0</v>
      </c>
      <c r="AE8" s="73">
        <v>0</v>
      </c>
      <c r="AF8" s="74">
        <f>tblData[[#This Row],[Gross Sales]]+tblData[[#This Row],[Trade Discounts]]+tblData[[#This Row],[Returns]]</f>
        <v>0</v>
      </c>
      <c r="AG8" s="74">
        <f>tblData[[#This Row],[Material Cost]]+tblData[[#This Row],[Conversion Cost]]+tblData[[#This Row],[Inbound Freight]]</f>
        <v>0</v>
      </c>
      <c r="AH8" s="74">
        <f>tblData[[#This Row],[Net Revenue]]+tblData[[#This Row],[COGS]]</f>
        <v>0</v>
      </c>
      <c r="AI8" s="74">
        <f>tblData[[#This Row],[Advertising]]+tblData[[#This Row],[Promotions]]</f>
        <v>0</v>
      </c>
      <c r="AJ8" s="74">
        <f>tblData[[#This Row],[Outbound Logistics]]+tblData[[#This Row],[Direct Selling]]</f>
        <v>0</v>
      </c>
      <c r="AK8" s="74">
        <f>tblData[[#This Row],[Gross Profit]]+tblData[[#This Row],[AP Spend]]+tblData[[#This Row],[Cost to Serve]]</f>
        <v>0</v>
      </c>
    </row>
    <row r="9" spans="2:37" x14ac:dyDescent="0.25">
      <c r="B9" s="71" t="s">
        <v>36</v>
      </c>
      <c r="C9" s="71">
        <v>2024</v>
      </c>
      <c r="D9" s="71">
        <v>12</v>
      </c>
      <c r="E9" s="71" t="s">
        <v>37</v>
      </c>
      <c r="F9" s="71" t="s">
        <v>39</v>
      </c>
      <c r="G9" s="72">
        <v>0</v>
      </c>
      <c r="H9" s="73">
        <v>0</v>
      </c>
      <c r="I9" s="73">
        <v>0</v>
      </c>
      <c r="J9" s="73">
        <v>0</v>
      </c>
      <c r="K9" s="73">
        <v>0</v>
      </c>
      <c r="L9" s="73">
        <v>0</v>
      </c>
      <c r="M9" s="73">
        <v>0</v>
      </c>
      <c r="N9" s="73">
        <v>0</v>
      </c>
      <c r="O9" s="73">
        <v>0</v>
      </c>
      <c r="P9" s="73">
        <v>0</v>
      </c>
      <c r="Q9" s="73">
        <v>0</v>
      </c>
      <c r="R9" s="73">
        <v>0</v>
      </c>
      <c r="S9" s="73">
        <v>0</v>
      </c>
      <c r="T9" s="73">
        <v>0</v>
      </c>
      <c r="U9" s="73">
        <v>0</v>
      </c>
      <c r="V9" s="73">
        <v>0</v>
      </c>
      <c r="W9" s="73">
        <v>0</v>
      </c>
      <c r="X9" s="73">
        <v>0</v>
      </c>
      <c r="Y9" s="73">
        <v>0</v>
      </c>
      <c r="Z9" s="73">
        <v>3839</v>
      </c>
      <c r="AA9" s="73">
        <v>2476</v>
      </c>
      <c r="AB9" s="73">
        <v>0</v>
      </c>
      <c r="AC9" s="73">
        <v>0</v>
      </c>
      <c r="AD9" s="73">
        <v>0</v>
      </c>
      <c r="AE9" s="73">
        <v>0</v>
      </c>
      <c r="AF9" s="74">
        <f>tblData[[#This Row],[Gross Sales]]+tblData[[#This Row],[Trade Discounts]]+tblData[[#This Row],[Returns]]</f>
        <v>0</v>
      </c>
      <c r="AG9" s="74">
        <f>tblData[[#This Row],[Material Cost]]+tblData[[#This Row],[Conversion Cost]]+tblData[[#This Row],[Inbound Freight]]</f>
        <v>0</v>
      </c>
      <c r="AH9" s="74">
        <f>tblData[[#This Row],[Net Revenue]]+tblData[[#This Row],[COGS]]</f>
        <v>0</v>
      </c>
      <c r="AI9" s="74">
        <f>tblData[[#This Row],[Advertising]]+tblData[[#This Row],[Promotions]]</f>
        <v>0</v>
      </c>
      <c r="AJ9" s="74">
        <f>tblData[[#This Row],[Outbound Logistics]]+tblData[[#This Row],[Direct Selling]]</f>
        <v>0</v>
      </c>
      <c r="AK9" s="74">
        <f>tblData[[#This Row],[Gross Profit]]+tblData[[#This Row],[AP Spend]]+tblData[[#This Row],[Cost to Serve]]</f>
        <v>0</v>
      </c>
    </row>
    <row r="10" spans="2:37" x14ac:dyDescent="0.25">
      <c r="B10" s="71" t="s">
        <v>36</v>
      </c>
      <c r="C10" s="71">
        <v>2024</v>
      </c>
      <c r="D10" s="71">
        <v>12</v>
      </c>
      <c r="E10" s="71" t="s">
        <v>37</v>
      </c>
      <c r="F10" s="71" t="s">
        <v>40</v>
      </c>
      <c r="G10" s="72">
        <v>0</v>
      </c>
      <c r="H10" s="73">
        <v>0</v>
      </c>
      <c r="I10" s="73">
        <v>0</v>
      </c>
      <c r="J10" s="73">
        <v>0</v>
      </c>
      <c r="K10" s="73">
        <v>0</v>
      </c>
      <c r="L10" s="73">
        <v>0</v>
      </c>
      <c r="M10" s="73">
        <v>0</v>
      </c>
      <c r="N10" s="73">
        <v>0</v>
      </c>
      <c r="O10" s="73">
        <v>0</v>
      </c>
      <c r="P10" s="73">
        <v>0</v>
      </c>
      <c r="Q10" s="73">
        <v>0</v>
      </c>
      <c r="R10" s="73">
        <v>0</v>
      </c>
      <c r="S10" s="73">
        <v>0</v>
      </c>
      <c r="T10" s="73">
        <v>0</v>
      </c>
      <c r="U10" s="73">
        <v>0</v>
      </c>
      <c r="V10" s="73">
        <v>0</v>
      </c>
      <c r="W10" s="73">
        <v>0</v>
      </c>
      <c r="X10" s="73">
        <v>0</v>
      </c>
      <c r="Y10" s="73">
        <v>0</v>
      </c>
      <c r="Z10" s="73">
        <v>2820</v>
      </c>
      <c r="AA10" s="73">
        <v>1895</v>
      </c>
      <c r="AB10" s="73">
        <v>0</v>
      </c>
      <c r="AC10" s="73">
        <v>0</v>
      </c>
      <c r="AD10" s="73">
        <v>0</v>
      </c>
      <c r="AE10" s="73">
        <v>0</v>
      </c>
      <c r="AF10" s="74">
        <f>tblData[[#This Row],[Gross Sales]]+tblData[[#This Row],[Trade Discounts]]+tblData[[#This Row],[Returns]]</f>
        <v>0</v>
      </c>
      <c r="AG10" s="74">
        <f>tblData[[#This Row],[Material Cost]]+tblData[[#This Row],[Conversion Cost]]+tblData[[#This Row],[Inbound Freight]]</f>
        <v>0</v>
      </c>
      <c r="AH10" s="74">
        <f>tblData[[#This Row],[Net Revenue]]+tblData[[#This Row],[COGS]]</f>
        <v>0</v>
      </c>
      <c r="AI10" s="74">
        <f>tblData[[#This Row],[Advertising]]+tblData[[#This Row],[Promotions]]</f>
        <v>0</v>
      </c>
      <c r="AJ10" s="74">
        <f>tblData[[#This Row],[Outbound Logistics]]+tblData[[#This Row],[Direct Selling]]</f>
        <v>0</v>
      </c>
      <c r="AK10" s="74">
        <f>tblData[[#This Row],[Gross Profit]]+tblData[[#This Row],[AP Spend]]+tblData[[#This Row],[Cost to Serve]]</f>
        <v>0</v>
      </c>
    </row>
    <row r="11" spans="2:37" x14ac:dyDescent="0.25">
      <c r="B11" s="71" t="s">
        <v>36</v>
      </c>
      <c r="C11" s="71">
        <v>2024</v>
      </c>
      <c r="D11" s="71">
        <v>12</v>
      </c>
      <c r="E11" s="71" t="s">
        <v>37</v>
      </c>
      <c r="F11" s="71" t="s">
        <v>41</v>
      </c>
      <c r="G11" s="72">
        <v>0</v>
      </c>
      <c r="H11" s="73">
        <v>0</v>
      </c>
      <c r="I11" s="73">
        <v>0</v>
      </c>
      <c r="J11" s="73">
        <v>0</v>
      </c>
      <c r="K11" s="73">
        <v>0</v>
      </c>
      <c r="L11" s="73">
        <v>0</v>
      </c>
      <c r="M11" s="73">
        <v>0</v>
      </c>
      <c r="N11" s="73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0</v>
      </c>
      <c r="X11" s="73">
        <v>0</v>
      </c>
      <c r="Y11" s="73">
        <v>0</v>
      </c>
      <c r="Z11" s="73">
        <v>2221</v>
      </c>
      <c r="AA11" s="73">
        <v>1477</v>
      </c>
      <c r="AB11" s="73">
        <v>0</v>
      </c>
      <c r="AC11" s="73">
        <v>0</v>
      </c>
      <c r="AD11" s="73">
        <v>0</v>
      </c>
      <c r="AE11" s="73">
        <v>0</v>
      </c>
      <c r="AF11" s="74">
        <f>tblData[[#This Row],[Gross Sales]]+tblData[[#This Row],[Trade Discounts]]+tblData[[#This Row],[Returns]]</f>
        <v>0</v>
      </c>
      <c r="AG11" s="74">
        <f>tblData[[#This Row],[Material Cost]]+tblData[[#This Row],[Conversion Cost]]+tblData[[#This Row],[Inbound Freight]]</f>
        <v>0</v>
      </c>
      <c r="AH11" s="74">
        <f>tblData[[#This Row],[Net Revenue]]+tblData[[#This Row],[COGS]]</f>
        <v>0</v>
      </c>
      <c r="AI11" s="74">
        <f>tblData[[#This Row],[Advertising]]+tblData[[#This Row],[Promotions]]</f>
        <v>0</v>
      </c>
      <c r="AJ11" s="74">
        <f>tblData[[#This Row],[Outbound Logistics]]+tblData[[#This Row],[Direct Selling]]</f>
        <v>0</v>
      </c>
      <c r="AK11" s="74">
        <f>tblData[[#This Row],[Gross Profit]]+tblData[[#This Row],[AP Spend]]+tblData[[#This Row],[Cost to Serve]]</f>
        <v>0</v>
      </c>
    </row>
    <row r="12" spans="2:37" x14ac:dyDescent="0.25">
      <c r="B12" s="71" t="s">
        <v>36</v>
      </c>
      <c r="C12" s="71">
        <v>2024</v>
      </c>
      <c r="D12" s="71">
        <v>12</v>
      </c>
      <c r="E12" s="71" t="s">
        <v>37</v>
      </c>
      <c r="F12" s="71" t="s">
        <v>42</v>
      </c>
      <c r="G12" s="72">
        <v>0</v>
      </c>
      <c r="H12" s="73">
        <v>0</v>
      </c>
      <c r="I12" s="73">
        <v>0</v>
      </c>
      <c r="J12" s="73">
        <v>0</v>
      </c>
      <c r="K12" s="73">
        <v>0</v>
      </c>
      <c r="L12" s="73">
        <v>0</v>
      </c>
      <c r="M12" s="73">
        <v>0</v>
      </c>
      <c r="N12" s="73">
        <v>0</v>
      </c>
      <c r="O12" s="73">
        <v>0</v>
      </c>
      <c r="P12" s="73">
        <v>0</v>
      </c>
      <c r="Q12" s="73">
        <v>0</v>
      </c>
      <c r="R12" s="73">
        <v>0</v>
      </c>
      <c r="S12" s="73">
        <v>0</v>
      </c>
      <c r="T12" s="73">
        <v>0</v>
      </c>
      <c r="U12" s="73">
        <v>0</v>
      </c>
      <c r="V12" s="73">
        <v>0</v>
      </c>
      <c r="W12" s="73">
        <v>0</v>
      </c>
      <c r="X12" s="73">
        <v>0</v>
      </c>
      <c r="Y12" s="73">
        <v>0</v>
      </c>
      <c r="Z12" s="73">
        <v>1600</v>
      </c>
      <c r="AA12" s="73">
        <v>1734</v>
      </c>
      <c r="AB12" s="73">
        <v>0</v>
      </c>
      <c r="AC12" s="73">
        <v>0</v>
      </c>
      <c r="AD12" s="73">
        <v>0</v>
      </c>
      <c r="AE12" s="73">
        <v>0</v>
      </c>
      <c r="AF12" s="74">
        <f>tblData[[#This Row],[Gross Sales]]+tblData[[#This Row],[Trade Discounts]]+tblData[[#This Row],[Returns]]</f>
        <v>0</v>
      </c>
      <c r="AG12" s="74">
        <f>tblData[[#This Row],[Material Cost]]+tblData[[#This Row],[Conversion Cost]]+tblData[[#This Row],[Inbound Freight]]</f>
        <v>0</v>
      </c>
      <c r="AH12" s="74">
        <f>tblData[[#This Row],[Net Revenue]]+tblData[[#This Row],[COGS]]</f>
        <v>0</v>
      </c>
      <c r="AI12" s="74">
        <f>tblData[[#This Row],[Advertising]]+tblData[[#This Row],[Promotions]]</f>
        <v>0</v>
      </c>
      <c r="AJ12" s="74">
        <f>tblData[[#This Row],[Outbound Logistics]]+tblData[[#This Row],[Direct Selling]]</f>
        <v>0</v>
      </c>
      <c r="AK12" s="74">
        <f>tblData[[#This Row],[Gross Profit]]+tblData[[#This Row],[AP Spend]]+tblData[[#This Row],[Cost to Serve]]</f>
        <v>0</v>
      </c>
    </row>
    <row r="13" spans="2:37" x14ac:dyDescent="0.25">
      <c r="B13" s="71" t="s">
        <v>36</v>
      </c>
      <c r="C13" s="71">
        <v>2024</v>
      </c>
      <c r="D13" s="71">
        <v>12</v>
      </c>
      <c r="E13" s="71" t="s">
        <v>37</v>
      </c>
      <c r="F13" s="71" t="s">
        <v>43</v>
      </c>
      <c r="G13" s="72">
        <v>0</v>
      </c>
      <c r="H13" s="73">
        <v>0</v>
      </c>
      <c r="I13" s="73">
        <v>0</v>
      </c>
      <c r="J13" s="73">
        <v>0</v>
      </c>
      <c r="K13" s="73">
        <v>0</v>
      </c>
      <c r="L13" s="73">
        <v>0</v>
      </c>
      <c r="M13" s="73">
        <v>0</v>
      </c>
      <c r="N13" s="73">
        <v>0</v>
      </c>
      <c r="O13" s="73">
        <v>0</v>
      </c>
      <c r="P13" s="73">
        <v>0</v>
      </c>
      <c r="Q13" s="73">
        <v>0</v>
      </c>
      <c r="R13" s="73">
        <v>0</v>
      </c>
      <c r="S13" s="73">
        <v>0</v>
      </c>
      <c r="T13" s="73">
        <v>0</v>
      </c>
      <c r="U13" s="73">
        <v>0</v>
      </c>
      <c r="V13" s="73">
        <v>0</v>
      </c>
      <c r="W13" s="73">
        <v>0</v>
      </c>
      <c r="X13" s="73">
        <v>0</v>
      </c>
      <c r="Y13" s="73">
        <v>0</v>
      </c>
      <c r="Z13" s="73">
        <v>951</v>
      </c>
      <c r="AA13" s="73">
        <v>971</v>
      </c>
      <c r="AB13" s="73">
        <v>0</v>
      </c>
      <c r="AC13" s="73">
        <v>0</v>
      </c>
      <c r="AD13" s="73">
        <v>0</v>
      </c>
      <c r="AE13" s="73">
        <v>0</v>
      </c>
      <c r="AF13" s="74">
        <f>tblData[[#This Row],[Gross Sales]]+tblData[[#This Row],[Trade Discounts]]+tblData[[#This Row],[Returns]]</f>
        <v>0</v>
      </c>
      <c r="AG13" s="74">
        <f>tblData[[#This Row],[Material Cost]]+tblData[[#This Row],[Conversion Cost]]+tblData[[#This Row],[Inbound Freight]]</f>
        <v>0</v>
      </c>
      <c r="AH13" s="74">
        <f>tblData[[#This Row],[Net Revenue]]+tblData[[#This Row],[COGS]]</f>
        <v>0</v>
      </c>
      <c r="AI13" s="74">
        <f>tblData[[#This Row],[Advertising]]+tblData[[#This Row],[Promotions]]</f>
        <v>0</v>
      </c>
      <c r="AJ13" s="74">
        <f>tblData[[#This Row],[Outbound Logistics]]+tblData[[#This Row],[Direct Selling]]</f>
        <v>0</v>
      </c>
      <c r="AK13" s="74">
        <f>tblData[[#This Row],[Gross Profit]]+tblData[[#This Row],[AP Spend]]+tblData[[#This Row],[Cost to Serve]]</f>
        <v>0</v>
      </c>
    </row>
    <row r="14" spans="2:37" x14ac:dyDescent="0.25">
      <c r="B14" s="71" t="s">
        <v>36</v>
      </c>
      <c r="C14" s="71">
        <v>2024</v>
      </c>
      <c r="D14" s="71">
        <v>12</v>
      </c>
      <c r="E14" s="71" t="s">
        <v>44</v>
      </c>
      <c r="F14" s="71" t="s">
        <v>38</v>
      </c>
      <c r="G14" s="72">
        <v>0</v>
      </c>
      <c r="H14" s="73">
        <v>0</v>
      </c>
      <c r="I14" s="73">
        <v>0</v>
      </c>
      <c r="J14" s="73">
        <v>0</v>
      </c>
      <c r="K14" s="73">
        <v>0</v>
      </c>
      <c r="L14" s="73">
        <v>0</v>
      </c>
      <c r="M14" s="73">
        <v>0</v>
      </c>
      <c r="N14" s="73">
        <v>0</v>
      </c>
      <c r="O14" s="73">
        <v>0</v>
      </c>
      <c r="P14" s="73">
        <v>0</v>
      </c>
      <c r="Q14" s="73">
        <v>0</v>
      </c>
      <c r="R14" s="73">
        <v>0</v>
      </c>
      <c r="S14" s="73">
        <v>0</v>
      </c>
      <c r="T14" s="73">
        <v>0</v>
      </c>
      <c r="U14" s="73">
        <v>0</v>
      </c>
      <c r="V14" s="73">
        <v>0</v>
      </c>
      <c r="W14" s="73">
        <v>0</v>
      </c>
      <c r="X14" s="73">
        <v>0</v>
      </c>
      <c r="Y14" s="73">
        <v>0</v>
      </c>
      <c r="Z14" s="73">
        <v>3367</v>
      </c>
      <c r="AA14" s="73">
        <v>2270</v>
      </c>
      <c r="AB14" s="73">
        <v>0</v>
      </c>
      <c r="AC14" s="73">
        <v>0</v>
      </c>
      <c r="AD14" s="73">
        <v>0</v>
      </c>
      <c r="AE14" s="73">
        <v>0</v>
      </c>
      <c r="AF14" s="74">
        <f>tblData[[#This Row],[Gross Sales]]+tblData[[#This Row],[Trade Discounts]]+tblData[[#This Row],[Returns]]</f>
        <v>0</v>
      </c>
      <c r="AG14" s="74">
        <f>tblData[[#This Row],[Material Cost]]+tblData[[#This Row],[Conversion Cost]]+tblData[[#This Row],[Inbound Freight]]</f>
        <v>0</v>
      </c>
      <c r="AH14" s="74">
        <f>tblData[[#This Row],[Net Revenue]]+tblData[[#This Row],[COGS]]</f>
        <v>0</v>
      </c>
      <c r="AI14" s="74">
        <f>tblData[[#This Row],[Advertising]]+tblData[[#This Row],[Promotions]]</f>
        <v>0</v>
      </c>
      <c r="AJ14" s="74">
        <f>tblData[[#This Row],[Outbound Logistics]]+tblData[[#This Row],[Direct Selling]]</f>
        <v>0</v>
      </c>
      <c r="AK14" s="74">
        <f>tblData[[#This Row],[Gross Profit]]+tblData[[#This Row],[AP Spend]]+tblData[[#This Row],[Cost to Serve]]</f>
        <v>0</v>
      </c>
    </row>
    <row r="15" spans="2:37" x14ac:dyDescent="0.25">
      <c r="B15" s="71" t="s">
        <v>36</v>
      </c>
      <c r="C15" s="71">
        <v>2024</v>
      </c>
      <c r="D15" s="71">
        <v>12</v>
      </c>
      <c r="E15" s="71" t="s">
        <v>44</v>
      </c>
      <c r="F15" s="71" t="s">
        <v>39</v>
      </c>
      <c r="G15" s="72">
        <v>0</v>
      </c>
      <c r="H15" s="73">
        <v>0</v>
      </c>
      <c r="I15" s="73">
        <v>0</v>
      </c>
      <c r="J15" s="73">
        <v>0</v>
      </c>
      <c r="K15" s="73">
        <v>0</v>
      </c>
      <c r="L15" s="73">
        <v>0</v>
      </c>
      <c r="M15" s="73">
        <v>0</v>
      </c>
      <c r="N15" s="73">
        <v>0</v>
      </c>
      <c r="O15" s="73">
        <v>0</v>
      </c>
      <c r="P15" s="73">
        <v>0</v>
      </c>
      <c r="Q15" s="73">
        <v>0</v>
      </c>
      <c r="R15" s="73">
        <v>0</v>
      </c>
      <c r="S15" s="73">
        <v>0</v>
      </c>
      <c r="T15" s="73">
        <v>0</v>
      </c>
      <c r="U15" s="73">
        <v>0</v>
      </c>
      <c r="V15" s="73">
        <v>0</v>
      </c>
      <c r="W15" s="73">
        <v>0</v>
      </c>
      <c r="X15" s="73">
        <v>0</v>
      </c>
      <c r="Y15" s="73">
        <v>0</v>
      </c>
      <c r="Z15" s="73">
        <v>2930</v>
      </c>
      <c r="AA15" s="73">
        <v>1996</v>
      </c>
      <c r="AB15" s="73">
        <v>0</v>
      </c>
      <c r="AC15" s="73">
        <v>0</v>
      </c>
      <c r="AD15" s="73">
        <v>0</v>
      </c>
      <c r="AE15" s="73">
        <v>0</v>
      </c>
      <c r="AF15" s="74">
        <f>tblData[[#This Row],[Gross Sales]]+tblData[[#This Row],[Trade Discounts]]+tblData[[#This Row],[Returns]]</f>
        <v>0</v>
      </c>
      <c r="AG15" s="74">
        <f>tblData[[#This Row],[Material Cost]]+tblData[[#This Row],[Conversion Cost]]+tblData[[#This Row],[Inbound Freight]]</f>
        <v>0</v>
      </c>
      <c r="AH15" s="74">
        <f>tblData[[#This Row],[Net Revenue]]+tblData[[#This Row],[COGS]]</f>
        <v>0</v>
      </c>
      <c r="AI15" s="74">
        <f>tblData[[#This Row],[Advertising]]+tblData[[#This Row],[Promotions]]</f>
        <v>0</v>
      </c>
      <c r="AJ15" s="74">
        <f>tblData[[#This Row],[Outbound Logistics]]+tblData[[#This Row],[Direct Selling]]</f>
        <v>0</v>
      </c>
      <c r="AK15" s="74">
        <f>tblData[[#This Row],[Gross Profit]]+tblData[[#This Row],[AP Spend]]+tblData[[#This Row],[Cost to Serve]]</f>
        <v>0</v>
      </c>
    </row>
    <row r="16" spans="2:37" x14ac:dyDescent="0.25">
      <c r="B16" s="71" t="s">
        <v>36</v>
      </c>
      <c r="C16" s="71">
        <v>2024</v>
      </c>
      <c r="D16" s="71">
        <v>12</v>
      </c>
      <c r="E16" s="71" t="s">
        <v>44</v>
      </c>
      <c r="F16" s="71" t="s">
        <v>40</v>
      </c>
      <c r="G16" s="72">
        <v>0</v>
      </c>
      <c r="H16" s="73">
        <v>0</v>
      </c>
      <c r="I16" s="73">
        <v>0</v>
      </c>
      <c r="J16" s="73">
        <v>0</v>
      </c>
      <c r="K16" s="73">
        <v>0</v>
      </c>
      <c r="L16" s="73">
        <v>0</v>
      </c>
      <c r="M16" s="73">
        <v>0</v>
      </c>
      <c r="N16" s="73">
        <v>0</v>
      </c>
      <c r="O16" s="73">
        <v>0</v>
      </c>
      <c r="P16" s="73">
        <v>0</v>
      </c>
      <c r="Q16" s="73">
        <v>0</v>
      </c>
      <c r="R16" s="73">
        <v>0</v>
      </c>
      <c r="S16" s="73">
        <v>0</v>
      </c>
      <c r="T16" s="73">
        <v>0</v>
      </c>
      <c r="U16" s="73">
        <v>0</v>
      </c>
      <c r="V16" s="73">
        <v>0</v>
      </c>
      <c r="W16" s="73">
        <v>0</v>
      </c>
      <c r="X16" s="73">
        <v>0</v>
      </c>
      <c r="Y16" s="73">
        <v>0</v>
      </c>
      <c r="Z16" s="73">
        <v>2131</v>
      </c>
      <c r="AA16" s="73">
        <v>1513</v>
      </c>
      <c r="AB16" s="73">
        <v>0</v>
      </c>
      <c r="AC16" s="73">
        <v>0</v>
      </c>
      <c r="AD16" s="73">
        <v>0</v>
      </c>
      <c r="AE16" s="73">
        <v>0</v>
      </c>
      <c r="AF16" s="74">
        <f>tblData[[#This Row],[Gross Sales]]+tblData[[#This Row],[Trade Discounts]]+tblData[[#This Row],[Returns]]</f>
        <v>0</v>
      </c>
      <c r="AG16" s="74">
        <f>tblData[[#This Row],[Material Cost]]+tblData[[#This Row],[Conversion Cost]]+tblData[[#This Row],[Inbound Freight]]</f>
        <v>0</v>
      </c>
      <c r="AH16" s="74">
        <f>tblData[[#This Row],[Net Revenue]]+tblData[[#This Row],[COGS]]</f>
        <v>0</v>
      </c>
      <c r="AI16" s="74">
        <f>tblData[[#This Row],[Advertising]]+tblData[[#This Row],[Promotions]]</f>
        <v>0</v>
      </c>
      <c r="AJ16" s="74">
        <f>tblData[[#This Row],[Outbound Logistics]]+tblData[[#This Row],[Direct Selling]]</f>
        <v>0</v>
      </c>
      <c r="AK16" s="74">
        <f>tblData[[#This Row],[Gross Profit]]+tblData[[#This Row],[AP Spend]]+tblData[[#This Row],[Cost to Serve]]</f>
        <v>0</v>
      </c>
    </row>
    <row r="17" spans="2:37" x14ac:dyDescent="0.25">
      <c r="B17" s="71" t="s">
        <v>36</v>
      </c>
      <c r="C17" s="71">
        <v>2024</v>
      </c>
      <c r="D17" s="71">
        <v>12</v>
      </c>
      <c r="E17" s="71" t="s">
        <v>44</v>
      </c>
      <c r="F17" s="71" t="s">
        <v>41</v>
      </c>
      <c r="G17" s="72">
        <v>0</v>
      </c>
      <c r="H17" s="73">
        <v>0</v>
      </c>
      <c r="I17" s="73">
        <v>0</v>
      </c>
      <c r="J17" s="73">
        <v>0</v>
      </c>
      <c r="K17" s="73">
        <v>0</v>
      </c>
      <c r="L17" s="73">
        <v>0</v>
      </c>
      <c r="M17" s="73">
        <v>0</v>
      </c>
      <c r="N17" s="73">
        <v>0</v>
      </c>
      <c r="O17" s="73">
        <v>0</v>
      </c>
      <c r="P17" s="73">
        <v>0</v>
      </c>
      <c r="Q17" s="73">
        <v>0</v>
      </c>
      <c r="R17" s="73">
        <v>0</v>
      </c>
      <c r="S17" s="73">
        <v>0</v>
      </c>
      <c r="T17" s="73">
        <v>0</v>
      </c>
      <c r="U17" s="73">
        <v>0</v>
      </c>
      <c r="V17" s="73">
        <v>0</v>
      </c>
      <c r="W17" s="73">
        <v>0</v>
      </c>
      <c r="X17" s="73">
        <v>0</v>
      </c>
      <c r="Y17" s="73">
        <v>0</v>
      </c>
      <c r="Z17" s="73">
        <v>1766</v>
      </c>
      <c r="AA17" s="73">
        <v>1241</v>
      </c>
      <c r="AB17" s="73">
        <v>0</v>
      </c>
      <c r="AC17" s="73">
        <v>0</v>
      </c>
      <c r="AD17" s="73">
        <v>0</v>
      </c>
      <c r="AE17" s="73">
        <v>0</v>
      </c>
      <c r="AF17" s="74">
        <f>tblData[[#This Row],[Gross Sales]]+tblData[[#This Row],[Trade Discounts]]+tblData[[#This Row],[Returns]]</f>
        <v>0</v>
      </c>
      <c r="AG17" s="74">
        <f>tblData[[#This Row],[Material Cost]]+tblData[[#This Row],[Conversion Cost]]+tblData[[#This Row],[Inbound Freight]]</f>
        <v>0</v>
      </c>
      <c r="AH17" s="74">
        <f>tblData[[#This Row],[Net Revenue]]+tblData[[#This Row],[COGS]]</f>
        <v>0</v>
      </c>
      <c r="AI17" s="74">
        <f>tblData[[#This Row],[Advertising]]+tblData[[#This Row],[Promotions]]</f>
        <v>0</v>
      </c>
      <c r="AJ17" s="74">
        <f>tblData[[#This Row],[Outbound Logistics]]+tblData[[#This Row],[Direct Selling]]</f>
        <v>0</v>
      </c>
      <c r="AK17" s="74">
        <f>tblData[[#This Row],[Gross Profit]]+tblData[[#This Row],[AP Spend]]+tblData[[#This Row],[Cost to Serve]]</f>
        <v>0</v>
      </c>
    </row>
    <row r="18" spans="2:37" x14ac:dyDescent="0.25">
      <c r="B18" s="71" t="s">
        <v>36</v>
      </c>
      <c r="C18" s="71">
        <v>2024</v>
      </c>
      <c r="D18" s="71">
        <v>12</v>
      </c>
      <c r="E18" s="71" t="s">
        <v>44</v>
      </c>
      <c r="F18" s="71" t="s">
        <v>42</v>
      </c>
      <c r="G18" s="72">
        <v>0</v>
      </c>
      <c r="H18" s="73">
        <v>0</v>
      </c>
      <c r="I18" s="73">
        <v>0</v>
      </c>
      <c r="J18" s="73">
        <v>0</v>
      </c>
      <c r="K18" s="73">
        <v>0</v>
      </c>
      <c r="L18" s="73">
        <v>0</v>
      </c>
      <c r="M18" s="73">
        <v>0</v>
      </c>
      <c r="N18" s="73">
        <v>0</v>
      </c>
      <c r="O18" s="73">
        <v>0</v>
      </c>
      <c r="P18" s="73">
        <v>0</v>
      </c>
      <c r="Q18" s="73">
        <v>0</v>
      </c>
      <c r="R18" s="73">
        <v>0</v>
      </c>
      <c r="S18" s="73">
        <v>0</v>
      </c>
      <c r="T18" s="73">
        <v>0</v>
      </c>
      <c r="U18" s="73">
        <v>0</v>
      </c>
      <c r="V18" s="73">
        <v>0</v>
      </c>
      <c r="W18" s="73">
        <v>0</v>
      </c>
      <c r="X18" s="73">
        <v>0</v>
      </c>
      <c r="Y18" s="73">
        <v>0</v>
      </c>
      <c r="Z18" s="73">
        <v>1227</v>
      </c>
      <c r="AA18" s="73">
        <v>1406</v>
      </c>
      <c r="AB18" s="73">
        <v>0</v>
      </c>
      <c r="AC18" s="73">
        <v>0</v>
      </c>
      <c r="AD18" s="73">
        <v>0</v>
      </c>
      <c r="AE18" s="73">
        <v>0</v>
      </c>
      <c r="AF18" s="74">
        <f>tblData[[#This Row],[Gross Sales]]+tblData[[#This Row],[Trade Discounts]]+tblData[[#This Row],[Returns]]</f>
        <v>0</v>
      </c>
      <c r="AG18" s="74">
        <f>tblData[[#This Row],[Material Cost]]+tblData[[#This Row],[Conversion Cost]]+tblData[[#This Row],[Inbound Freight]]</f>
        <v>0</v>
      </c>
      <c r="AH18" s="74">
        <f>tblData[[#This Row],[Net Revenue]]+tblData[[#This Row],[COGS]]</f>
        <v>0</v>
      </c>
      <c r="AI18" s="74">
        <f>tblData[[#This Row],[Advertising]]+tblData[[#This Row],[Promotions]]</f>
        <v>0</v>
      </c>
      <c r="AJ18" s="74">
        <f>tblData[[#This Row],[Outbound Logistics]]+tblData[[#This Row],[Direct Selling]]</f>
        <v>0</v>
      </c>
      <c r="AK18" s="74">
        <f>tblData[[#This Row],[Gross Profit]]+tblData[[#This Row],[AP Spend]]+tblData[[#This Row],[Cost to Serve]]</f>
        <v>0</v>
      </c>
    </row>
    <row r="19" spans="2:37" x14ac:dyDescent="0.25">
      <c r="B19" s="71" t="s">
        <v>36</v>
      </c>
      <c r="C19" s="71">
        <v>2024</v>
      </c>
      <c r="D19" s="71">
        <v>12</v>
      </c>
      <c r="E19" s="71" t="s">
        <v>44</v>
      </c>
      <c r="F19" s="71" t="s">
        <v>43</v>
      </c>
      <c r="G19" s="72">
        <v>0</v>
      </c>
      <c r="H19" s="73">
        <v>0</v>
      </c>
      <c r="I19" s="73">
        <v>0</v>
      </c>
      <c r="J19" s="73">
        <v>0</v>
      </c>
      <c r="K19" s="73">
        <v>0</v>
      </c>
      <c r="L19" s="73">
        <v>0</v>
      </c>
      <c r="M19" s="73">
        <v>0</v>
      </c>
      <c r="N19" s="73">
        <v>0</v>
      </c>
      <c r="O19" s="73">
        <v>0</v>
      </c>
      <c r="P19" s="73">
        <v>0</v>
      </c>
      <c r="Q19" s="73">
        <v>0</v>
      </c>
      <c r="R19" s="73">
        <v>0</v>
      </c>
      <c r="S19" s="73">
        <v>0</v>
      </c>
      <c r="T19" s="73">
        <v>0</v>
      </c>
      <c r="U19" s="73">
        <v>0</v>
      </c>
      <c r="V19" s="73">
        <v>0</v>
      </c>
      <c r="W19" s="73">
        <v>0</v>
      </c>
      <c r="X19" s="73">
        <v>0</v>
      </c>
      <c r="Y19" s="73">
        <v>0</v>
      </c>
      <c r="Z19" s="73">
        <v>734</v>
      </c>
      <c r="AA19" s="73">
        <v>792</v>
      </c>
      <c r="AB19" s="73">
        <v>0</v>
      </c>
      <c r="AC19" s="73">
        <v>0</v>
      </c>
      <c r="AD19" s="73">
        <v>0</v>
      </c>
      <c r="AE19" s="73">
        <v>0</v>
      </c>
      <c r="AF19" s="74">
        <f>tblData[[#This Row],[Gross Sales]]+tblData[[#This Row],[Trade Discounts]]+tblData[[#This Row],[Returns]]</f>
        <v>0</v>
      </c>
      <c r="AG19" s="74">
        <f>tblData[[#This Row],[Material Cost]]+tblData[[#This Row],[Conversion Cost]]+tblData[[#This Row],[Inbound Freight]]</f>
        <v>0</v>
      </c>
      <c r="AH19" s="74">
        <f>tblData[[#This Row],[Net Revenue]]+tblData[[#This Row],[COGS]]</f>
        <v>0</v>
      </c>
      <c r="AI19" s="74">
        <f>tblData[[#This Row],[Advertising]]+tblData[[#This Row],[Promotions]]</f>
        <v>0</v>
      </c>
      <c r="AJ19" s="74">
        <f>tblData[[#This Row],[Outbound Logistics]]+tblData[[#This Row],[Direct Selling]]</f>
        <v>0</v>
      </c>
      <c r="AK19" s="74">
        <f>tblData[[#This Row],[Gross Profit]]+tblData[[#This Row],[AP Spend]]+tblData[[#This Row],[Cost to Serve]]</f>
        <v>0</v>
      </c>
    </row>
    <row r="20" spans="2:37" x14ac:dyDescent="0.25">
      <c r="B20" s="71" t="s">
        <v>36</v>
      </c>
      <c r="C20" s="71">
        <v>2024</v>
      </c>
      <c r="D20" s="71">
        <v>12</v>
      </c>
      <c r="E20" s="71" t="s">
        <v>45</v>
      </c>
      <c r="F20" s="71" t="s">
        <v>38</v>
      </c>
      <c r="G20" s="72">
        <v>0</v>
      </c>
      <c r="H20" s="73">
        <v>0</v>
      </c>
      <c r="I20" s="73">
        <v>0</v>
      </c>
      <c r="J20" s="73">
        <v>0</v>
      </c>
      <c r="K20" s="73">
        <v>0</v>
      </c>
      <c r="L20" s="73">
        <v>0</v>
      </c>
      <c r="M20" s="73">
        <v>0</v>
      </c>
      <c r="N20" s="73">
        <v>0</v>
      </c>
      <c r="O20" s="73">
        <v>0</v>
      </c>
      <c r="P20" s="73">
        <v>0</v>
      </c>
      <c r="Q20" s="73">
        <v>0</v>
      </c>
      <c r="R20" s="73">
        <v>0</v>
      </c>
      <c r="S20" s="73">
        <v>0</v>
      </c>
      <c r="T20" s="73">
        <v>0</v>
      </c>
      <c r="U20" s="73">
        <v>0</v>
      </c>
      <c r="V20" s="73">
        <v>0</v>
      </c>
      <c r="W20" s="73">
        <v>0</v>
      </c>
      <c r="X20" s="73">
        <v>0</v>
      </c>
      <c r="Y20" s="73">
        <v>0</v>
      </c>
      <c r="Z20" s="73">
        <v>1630</v>
      </c>
      <c r="AA20" s="73">
        <v>1313</v>
      </c>
      <c r="AB20" s="73">
        <v>0</v>
      </c>
      <c r="AC20" s="73">
        <v>0</v>
      </c>
      <c r="AD20" s="73">
        <v>0</v>
      </c>
      <c r="AE20" s="73">
        <v>0</v>
      </c>
      <c r="AF20" s="74">
        <f>tblData[[#This Row],[Gross Sales]]+tblData[[#This Row],[Trade Discounts]]+tblData[[#This Row],[Returns]]</f>
        <v>0</v>
      </c>
      <c r="AG20" s="74">
        <f>tblData[[#This Row],[Material Cost]]+tblData[[#This Row],[Conversion Cost]]+tblData[[#This Row],[Inbound Freight]]</f>
        <v>0</v>
      </c>
      <c r="AH20" s="74">
        <f>tblData[[#This Row],[Net Revenue]]+tblData[[#This Row],[COGS]]</f>
        <v>0</v>
      </c>
      <c r="AI20" s="74">
        <f>tblData[[#This Row],[Advertising]]+tblData[[#This Row],[Promotions]]</f>
        <v>0</v>
      </c>
      <c r="AJ20" s="74">
        <f>tblData[[#This Row],[Outbound Logistics]]+tblData[[#This Row],[Direct Selling]]</f>
        <v>0</v>
      </c>
      <c r="AK20" s="74">
        <f>tblData[[#This Row],[Gross Profit]]+tblData[[#This Row],[AP Spend]]+tblData[[#This Row],[Cost to Serve]]</f>
        <v>0</v>
      </c>
    </row>
    <row r="21" spans="2:37" x14ac:dyDescent="0.25">
      <c r="B21" s="71" t="s">
        <v>36</v>
      </c>
      <c r="C21" s="71">
        <v>2024</v>
      </c>
      <c r="D21" s="71">
        <v>12</v>
      </c>
      <c r="E21" s="71" t="s">
        <v>45</v>
      </c>
      <c r="F21" s="71" t="s">
        <v>39</v>
      </c>
      <c r="G21" s="72">
        <v>0</v>
      </c>
      <c r="H21" s="73">
        <v>0</v>
      </c>
      <c r="I21" s="73">
        <v>0</v>
      </c>
      <c r="J21" s="73">
        <v>0</v>
      </c>
      <c r="K21" s="73">
        <v>0</v>
      </c>
      <c r="L21" s="73">
        <v>0</v>
      </c>
      <c r="M21" s="73">
        <v>0</v>
      </c>
      <c r="N21" s="73">
        <v>0</v>
      </c>
      <c r="O21" s="73">
        <v>0</v>
      </c>
      <c r="P21" s="73">
        <v>0</v>
      </c>
      <c r="Q21" s="73">
        <v>0</v>
      </c>
      <c r="R21" s="73">
        <v>0</v>
      </c>
      <c r="S21" s="73">
        <v>0</v>
      </c>
      <c r="T21" s="73">
        <v>0</v>
      </c>
      <c r="U21" s="73">
        <v>0</v>
      </c>
      <c r="V21" s="73">
        <v>0</v>
      </c>
      <c r="W21" s="73">
        <v>0</v>
      </c>
      <c r="X21" s="73">
        <v>0</v>
      </c>
      <c r="Y21" s="73">
        <v>0</v>
      </c>
      <c r="Z21" s="73">
        <v>1404</v>
      </c>
      <c r="AA21" s="73">
        <v>1142</v>
      </c>
      <c r="AB21" s="73">
        <v>0</v>
      </c>
      <c r="AC21" s="73">
        <v>0</v>
      </c>
      <c r="AD21" s="73">
        <v>0</v>
      </c>
      <c r="AE21" s="73">
        <v>0</v>
      </c>
      <c r="AF21" s="74">
        <f>tblData[[#This Row],[Gross Sales]]+tblData[[#This Row],[Trade Discounts]]+tblData[[#This Row],[Returns]]</f>
        <v>0</v>
      </c>
      <c r="AG21" s="74">
        <f>tblData[[#This Row],[Material Cost]]+tblData[[#This Row],[Conversion Cost]]+tblData[[#This Row],[Inbound Freight]]</f>
        <v>0</v>
      </c>
      <c r="AH21" s="74">
        <f>tblData[[#This Row],[Net Revenue]]+tblData[[#This Row],[COGS]]</f>
        <v>0</v>
      </c>
      <c r="AI21" s="74">
        <f>tblData[[#This Row],[Advertising]]+tblData[[#This Row],[Promotions]]</f>
        <v>0</v>
      </c>
      <c r="AJ21" s="74">
        <f>tblData[[#This Row],[Outbound Logistics]]+tblData[[#This Row],[Direct Selling]]</f>
        <v>0</v>
      </c>
      <c r="AK21" s="74">
        <f>tblData[[#This Row],[Gross Profit]]+tblData[[#This Row],[AP Spend]]+tblData[[#This Row],[Cost to Serve]]</f>
        <v>0</v>
      </c>
    </row>
    <row r="22" spans="2:37" x14ac:dyDescent="0.25">
      <c r="B22" s="71" t="s">
        <v>36</v>
      </c>
      <c r="C22" s="71">
        <v>2024</v>
      </c>
      <c r="D22" s="71">
        <v>12</v>
      </c>
      <c r="E22" s="71" t="s">
        <v>45</v>
      </c>
      <c r="F22" s="71" t="s">
        <v>40</v>
      </c>
      <c r="G22" s="72">
        <v>0</v>
      </c>
      <c r="H22" s="73">
        <v>0</v>
      </c>
      <c r="I22" s="73">
        <v>0</v>
      </c>
      <c r="J22" s="73">
        <v>0</v>
      </c>
      <c r="K22" s="73">
        <v>0</v>
      </c>
      <c r="L22" s="73">
        <v>0</v>
      </c>
      <c r="M22" s="73">
        <v>0</v>
      </c>
      <c r="N22" s="73">
        <v>0</v>
      </c>
      <c r="O22" s="73">
        <v>0</v>
      </c>
      <c r="P22" s="73">
        <v>0</v>
      </c>
      <c r="Q22" s="73">
        <v>0</v>
      </c>
      <c r="R22" s="73">
        <v>0</v>
      </c>
      <c r="S22" s="73">
        <v>0</v>
      </c>
      <c r="T22" s="73">
        <v>0</v>
      </c>
      <c r="U22" s="73">
        <v>0</v>
      </c>
      <c r="V22" s="73">
        <v>0</v>
      </c>
      <c r="W22" s="73">
        <v>0</v>
      </c>
      <c r="X22" s="73">
        <v>0</v>
      </c>
      <c r="Y22" s="73">
        <v>0</v>
      </c>
      <c r="Z22" s="73">
        <v>1095</v>
      </c>
      <c r="AA22" s="73">
        <v>928</v>
      </c>
      <c r="AB22" s="73">
        <v>0</v>
      </c>
      <c r="AC22" s="73">
        <v>0</v>
      </c>
      <c r="AD22" s="73">
        <v>0</v>
      </c>
      <c r="AE22" s="73">
        <v>0</v>
      </c>
      <c r="AF22" s="74">
        <f>tblData[[#This Row],[Gross Sales]]+tblData[[#This Row],[Trade Discounts]]+tblData[[#This Row],[Returns]]</f>
        <v>0</v>
      </c>
      <c r="AG22" s="74">
        <f>tblData[[#This Row],[Material Cost]]+tblData[[#This Row],[Conversion Cost]]+tblData[[#This Row],[Inbound Freight]]</f>
        <v>0</v>
      </c>
      <c r="AH22" s="74">
        <f>tblData[[#This Row],[Net Revenue]]+tblData[[#This Row],[COGS]]</f>
        <v>0</v>
      </c>
      <c r="AI22" s="74">
        <f>tblData[[#This Row],[Advertising]]+tblData[[#This Row],[Promotions]]</f>
        <v>0</v>
      </c>
      <c r="AJ22" s="74">
        <f>tblData[[#This Row],[Outbound Logistics]]+tblData[[#This Row],[Direct Selling]]</f>
        <v>0</v>
      </c>
      <c r="AK22" s="74">
        <f>tblData[[#This Row],[Gross Profit]]+tblData[[#This Row],[AP Spend]]+tblData[[#This Row],[Cost to Serve]]</f>
        <v>0</v>
      </c>
    </row>
    <row r="23" spans="2:37" x14ac:dyDescent="0.25">
      <c r="B23" s="71" t="s">
        <v>36</v>
      </c>
      <c r="C23" s="71">
        <v>2024</v>
      </c>
      <c r="D23" s="71">
        <v>12</v>
      </c>
      <c r="E23" s="71" t="s">
        <v>45</v>
      </c>
      <c r="F23" s="71" t="s">
        <v>41</v>
      </c>
      <c r="G23" s="72">
        <v>0</v>
      </c>
      <c r="H23" s="73">
        <v>0</v>
      </c>
      <c r="I23" s="73">
        <v>0</v>
      </c>
      <c r="J23" s="73">
        <v>0</v>
      </c>
      <c r="K23" s="73">
        <v>0</v>
      </c>
      <c r="L23" s="73">
        <v>0</v>
      </c>
      <c r="M23" s="73">
        <v>0</v>
      </c>
      <c r="N23" s="73">
        <v>0</v>
      </c>
      <c r="O23" s="73">
        <v>0</v>
      </c>
      <c r="P23" s="73">
        <v>0</v>
      </c>
      <c r="Q23" s="73">
        <v>0</v>
      </c>
      <c r="R23" s="73">
        <v>0</v>
      </c>
      <c r="S23" s="73">
        <v>0</v>
      </c>
      <c r="T23" s="73">
        <v>0</v>
      </c>
      <c r="U23" s="73">
        <v>0</v>
      </c>
      <c r="V23" s="73">
        <v>0</v>
      </c>
      <c r="W23" s="73">
        <v>0</v>
      </c>
      <c r="X23" s="73">
        <v>0</v>
      </c>
      <c r="Y23" s="73">
        <v>0</v>
      </c>
      <c r="Z23" s="73">
        <v>835</v>
      </c>
      <c r="AA23" s="73">
        <v>701</v>
      </c>
      <c r="AB23" s="73">
        <v>0</v>
      </c>
      <c r="AC23" s="73">
        <v>0</v>
      </c>
      <c r="AD23" s="73">
        <v>0</v>
      </c>
      <c r="AE23" s="73">
        <v>0</v>
      </c>
      <c r="AF23" s="74">
        <f>tblData[[#This Row],[Gross Sales]]+tblData[[#This Row],[Trade Discounts]]+tblData[[#This Row],[Returns]]</f>
        <v>0</v>
      </c>
      <c r="AG23" s="74">
        <f>tblData[[#This Row],[Material Cost]]+tblData[[#This Row],[Conversion Cost]]+tblData[[#This Row],[Inbound Freight]]</f>
        <v>0</v>
      </c>
      <c r="AH23" s="74">
        <f>tblData[[#This Row],[Net Revenue]]+tblData[[#This Row],[COGS]]</f>
        <v>0</v>
      </c>
      <c r="AI23" s="74">
        <f>tblData[[#This Row],[Advertising]]+tblData[[#This Row],[Promotions]]</f>
        <v>0</v>
      </c>
      <c r="AJ23" s="74">
        <f>tblData[[#This Row],[Outbound Logistics]]+tblData[[#This Row],[Direct Selling]]</f>
        <v>0</v>
      </c>
      <c r="AK23" s="74">
        <f>tblData[[#This Row],[Gross Profit]]+tblData[[#This Row],[AP Spend]]+tblData[[#This Row],[Cost to Serve]]</f>
        <v>0</v>
      </c>
    </row>
    <row r="24" spans="2:37" x14ac:dyDescent="0.25">
      <c r="B24" s="71" t="s">
        <v>36</v>
      </c>
      <c r="C24" s="71">
        <v>2024</v>
      </c>
      <c r="D24" s="71">
        <v>12</v>
      </c>
      <c r="E24" s="71" t="s">
        <v>45</v>
      </c>
      <c r="F24" s="71" t="s">
        <v>42</v>
      </c>
      <c r="G24" s="72">
        <v>0</v>
      </c>
      <c r="H24" s="73">
        <v>0</v>
      </c>
      <c r="I24" s="73">
        <v>0</v>
      </c>
      <c r="J24" s="73">
        <v>0</v>
      </c>
      <c r="K24" s="73">
        <v>0</v>
      </c>
      <c r="L24" s="73">
        <v>0</v>
      </c>
      <c r="M24" s="73">
        <v>0</v>
      </c>
      <c r="N24" s="73">
        <v>0</v>
      </c>
      <c r="O24" s="73">
        <v>0</v>
      </c>
      <c r="P24" s="73">
        <v>0</v>
      </c>
      <c r="Q24" s="73">
        <v>0</v>
      </c>
      <c r="R24" s="73">
        <v>0</v>
      </c>
      <c r="S24" s="73">
        <v>0</v>
      </c>
      <c r="T24" s="73">
        <v>0</v>
      </c>
      <c r="U24" s="73">
        <v>0</v>
      </c>
      <c r="V24" s="73">
        <v>0</v>
      </c>
      <c r="W24" s="73">
        <v>0</v>
      </c>
      <c r="X24" s="73">
        <v>0</v>
      </c>
      <c r="Y24" s="73">
        <v>0</v>
      </c>
      <c r="Z24" s="73">
        <v>588</v>
      </c>
      <c r="AA24" s="73">
        <v>804</v>
      </c>
      <c r="AB24" s="73">
        <v>0</v>
      </c>
      <c r="AC24" s="73">
        <v>0</v>
      </c>
      <c r="AD24" s="73">
        <v>0</v>
      </c>
      <c r="AE24" s="73">
        <v>0</v>
      </c>
      <c r="AF24" s="74">
        <f>tblData[[#This Row],[Gross Sales]]+tblData[[#This Row],[Trade Discounts]]+tblData[[#This Row],[Returns]]</f>
        <v>0</v>
      </c>
      <c r="AG24" s="74">
        <f>tblData[[#This Row],[Material Cost]]+tblData[[#This Row],[Conversion Cost]]+tblData[[#This Row],[Inbound Freight]]</f>
        <v>0</v>
      </c>
      <c r="AH24" s="74">
        <f>tblData[[#This Row],[Net Revenue]]+tblData[[#This Row],[COGS]]</f>
        <v>0</v>
      </c>
      <c r="AI24" s="74">
        <f>tblData[[#This Row],[Advertising]]+tblData[[#This Row],[Promotions]]</f>
        <v>0</v>
      </c>
      <c r="AJ24" s="74">
        <f>tblData[[#This Row],[Outbound Logistics]]+tblData[[#This Row],[Direct Selling]]</f>
        <v>0</v>
      </c>
      <c r="AK24" s="74">
        <f>tblData[[#This Row],[Gross Profit]]+tblData[[#This Row],[AP Spend]]+tblData[[#This Row],[Cost to Serve]]</f>
        <v>0</v>
      </c>
    </row>
    <row r="25" spans="2:37" x14ac:dyDescent="0.25">
      <c r="B25" s="71" t="s">
        <v>36</v>
      </c>
      <c r="C25" s="71">
        <v>2024</v>
      </c>
      <c r="D25" s="71">
        <v>12</v>
      </c>
      <c r="E25" s="71" t="s">
        <v>45</v>
      </c>
      <c r="F25" s="71" t="s">
        <v>43</v>
      </c>
      <c r="G25" s="72">
        <v>0</v>
      </c>
      <c r="H25" s="73">
        <v>0</v>
      </c>
      <c r="I25" s="73">
        <v>0</v>
      </c>
      <c r="J25" s="73">
        <v>0</v>
      </c>
      <c r="K25" s="73">
        <v>0</v>
      </c>
      <c r="L25" s="73">
        <v>0</v>
      </c>
      <c r="M25" s="73">
        <v>0</v>
      </c>
      <c r="N25" s="73">
        <v>0</v>
      </c>
      <c r="O25" s="73">
        <v>0</v>
      </c>
      <c r="P25" s="73">
        <v>0</v>
      </c>
      <c r="Q25" s="73">
        <v>0</v>
      </c>
      <c r="R25" s="73">
        <v>0</v>
      </c>
      <c r="S25" s="73">
        <v>0</v>
      </c>
      <c r="T25" s="73">
        <v>0</v>
      </c>
      <c r="U25" s="73">
        <v>0</v>
      </c>
      <c r="V25" s="73">
        <v>0</v>
      </c>
      <c r="W25" s="73">
        <v>0</v>
      </c>
      <c r="X25" s="73">
        <v>0</v>
      </c>
      <c r="Y25" s="73">
        <v>0</v>
      </c>
      <c r="Z25" s="73">
        <v>357</v>
      </c>
      <c r="AA25" s="73">
        <v>460</v>
      </c>
      <c r="AB25" s="73">
        <v>0</v>
      </c>
      <c r="AC25" s="73">
        <v>0</v>
      </c>
      <c r="AD25" s="73">
        <v>0</v>
      </c>
      <c r="AE25" s="73">
        <v>0</v>
      </c>
      <c r="AF25" s="74">
        <f>tblData[[#This Row],[Gross Sales]]+tblData[[#This Row],[Trade Discounts]]+tblData[[#This Row],[Returns]]</f>
        <v>0</v>
      </c>
      <c r="AG25" s="74">
        <f>tblData[[#This Row],[Material Cost]]+tblData[[#This Row],[Conversion Cost]]+tblData[[#This Row],[Inbound Freight]]</f>
        <v>0</v>
      </c>
      <c r="AH25" s="74">
        <f>tblData[[#This Row],[Net Revenue]]+tblData[[#This Row],[COGS]]</f>
        <v>0</v>
      </c>
      <c r="AI25" s="74">
        <f>tblData[[#This Row],[Advertising]]+tblData[[#This Row],[Promotions]]</f>
        <v>0</v>
      </c>
      <c r="AJ25" s="74">
        <f>tblData[[#This Row],[Outbound Logistics]]+tblData[[#This Row],[Direct Selling]]</f>
        <v>0</v>
      </c>
      <c r="AK25" s="74">
        <f>tblData[[#This Row],[Gross Profit]]+tblData[[#This Row],[AP Spend]]+tblData[[#This Row],[Cost to Serve]]</f>
        <v>0</v>
      </c>
    </row>
    <row r="26" spans="2:37" x14ac:dyDescent="0.25">
      <c r="B26" s="71" t="s">
        <v>36</v>
      </c>
      <c r="C26" s="71">
        <v>2024</v>
      </c>
      <c r="D26" s="71">
        <v>12</v>
      </c>
      <c r="E26" s="71" t="s">
        <v>46</v>
      </c>
      <c r="F26" s="71" t="s">
        <v>38</v>
      </c>
      <c r="G26" s="72">
        <v>0</v>
      </c>
      <c r="H26" s="73">
        <v>0</v>
      </c>
      <c r="I26" s="73">
        <v>0</v>
      </c>
      <c r="J26" s="73">
        <v>0</v>
      </c>
      <c r="K26" s="73">
        <v>0</v>
      </c>
      <c r="L26" s="73">
        <v>0</v>
      </c>
      <c r="M26" s="73">
        <v>0</v>
      </c>
      <c r="N26" s="73">
        <v>0</v>
      </c>
      <c r="O26" s="73">
        <v>0</v>
      </c>
      <c r="P26" s="73">
        <v>0</v>
      </c>
      <c r="Q26" s="73">
        <v>0</v>
      </c>
      <c r="R26" s="73">
        <v>0</v>
      </c>
      <c r="S26" s="73">
        <v>0</v>
      </c>
      <c r="T26" s="73">
        <v>0</v>
      </c>
      <c r="U26" s="73">
        <v>0</v>
      </c>
      <c r="V26" s="73">
        <v>0</v>
      </c>
      <c r="W26" s="73">
        <v>0</v>
      </c>
      <c r="X26" s="73">
        <v>0</v>
      </c>
      <c r="Y26" s="73">
        <v>0</v>
      </c>
      <c r="Z26" s="73">
        <v>1048</v>
      </c>
      <c r="AA26" s="73">
        <v>1376</v>
      </c>
      <c r="AB26" s="73">
        <v>0</v>
      </c>
      <c r="AC26" s="73">
        <v>0</v>
      </c>
      <c r="AD26" s="73">
        <v>0</v>
      </c>
      <c r="AE26" s="73">
        <v>0</v>
      </c>
      <c r="AF26" s="74">
        <f>tblData[[#This Row],[Gross Sales]]+tblData[[#This Row],[Trade Discounts]]+tblData[[#This Row],[Returns]]</f>
        <v>0</v>
      </c>
      <c r="AG26" s="74">
        <f>tblData[[#This Row],[Material Cost]]+tblData[[#This Row],[Conversion Cost]]+tblData[[#This Row],[Inbound Freight]]</f>
        <v>0</v>
      </c>
      <c r="AH26" s="74">
        <f>tblData[[#This Row],[Net Revenue]]+tblData[[#This Row],[COGS]]</f>
        <v>0</v>
      </c>
      <c r="AI26" s="74">
        <f>tblData[[#This Row],[Advertising]]+tblData[[#This Row],[Promotions]]</f>
        <v>0</v>
      </c>
      <c r="AJ26" s="74">
        <f>tblData[[#This Row],[Outbound Logistics]]+tblData[[#This Row],[Direct Selling]]</f>
        <v>0</v>
      </c>
      <c r="AK26" s="74">
        <f>tblData[[#This Row],[Gross Profit]]+tblData[[#This Row],[AP Spend]]+tblData[[#This Row],[Cost to Serve]]</f>
        <v>0</v>
      </c>
    </row>
    <row r="27" spans="2:37" x14ac:dyDescent="0.25">
      <c r="B27" s="71" t="s">
        <v>36</v>
      </c>
      <c r="C27" s="71">
        <v>2024</v>
      </c>
      <c r="D27" s="71">
        <v>12</v>
      </c>
      <c r="E27" s="71" t="s">
        <v>46</v>
      </c>
      <c r="F27" s="71" t="s">
        <v>39</v>
      </c>
      <c r="G27" s="72">
        <v>0</v>
      </c>
      <c r="H27" s="73">
        <v>0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  <c r="N27" s="73">
        <v>0</v>
      </c>
      <c r="O27" s="73">
        <v>0</v>
      </c>
      <c r="P27" s="73">
        <v>0</v>
      </c>
      <c r="Q27" s="73">
        <v>0</v>
      </c>
      <c r="R27" s="73">
        <v>0</v>
      </c>
      <c r="S27" s="73">
        <v>0</v>
      </c>
      <c r="T27" s="73">
        <v>0</v>
      </c>
      <c r="U27" s="73">
        <v>0</v>
      </c>
      <c r="V27" s="73">
        <v>0</v>
      </c>
      <c r="W27" s="73">
        <v>0</v>
      </c>
      <c r="X27" s="73">
        <v>0</v>
      </c>
      <c r="Y27" s="73">
        <v>0</v>
      </c>
      <c r="Z27" s="73">
        <v>907</v>
      </c>
      <c r="AA27" s="73">
        <v>1204</v>
      </c>
      <c r="AB27" s="73">
        <v>0</v>
      </c>
      <c r="AC27" s="73">
        <v>0</v>
      </c>
      <c r="AD27" s="73">
        <v>0</v>
      </c>
      <c r="AE27" s="73">
        <v>0</v>
      </c>
      <c r="AF27" s="74">
        <f>tblData[[#This Row],[Gross Sales]]+tblData[[#This Row],[Trade Discounts]]+tblData[[#This Row],[Returns]]</f>
        <v>0</v>
      </c>
      <c r="AG27" s="74">
        <f>tblData[[#This Row],[Material Cost]]+tblData[[#This Row],[Conversion Cost]]+tblData[[#This Row],[Inbound Freight]]</f>
        <v>0</v>
      </c>
      <c r="AH27" s="74">
        <f>tblData[[#This Row],[Net Revenue]]+tblData[[#This Row],[COGS]]</f>
        <v>0</v>
      </c>
      <c r="AI27" s="74">
        <f>tblData[[#This Row],[Advertising]]+tblData[[#This Row],[Promotions]]</f>
        <v>0</v>
      </c>
      <c r="AJ27" s="74">
        <f>tblData[[#This Row],[Outbound Logistics]]+tblData[[#This Row],[Direct Selling]]</f>
        <v>0</v>
      </c>
      <c r="AK27" s="74">
        <f>tblData[[#This Row],[Gross Profit]]+tblData[[#This Row],[AP Spend]]+tblData[[#This Row],[Cost to Serve]]</f>
        <v>0</v>
      </c>
    </row>
    <row r="28" spans="2:37" x14ac:dyDescent="0.25">
      <c r="B28" s="71" t="s">
        <v>36</v>
      </c>
      <c r="C28" s="71">
        <v>2024</v>
      </c>
      <c r="D28" s="71">
        <v>12</v>
      </c>
      <c r="E28" s="71" t="s">
        <v>46</v>
      </c>
      <c r="F28" s="71" t="s">
        <v>40</v>
      </c>
      <c r="G28" s="72">
        <v>0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3">
        <v>0</v>
      </c>
      <c r="O28" s="73">
        <v>0</v>
      </c>
      <c r="P28" s="73">
        <v>0</v>
      </c>
      <c r="Q28" s="73">
        <v>0</v>
      </c>
      <c r="R28" s="73">
        <v>0</v>
      </c>
      <c r="S28" s="73">
        <v>0</v>
      </c>
      <c r="T28" s="73">
        <v>0</v>
      </c>
      <c r="U28" s="73">
        <v>0</v>
      </c>
      <c r="V28" s="73">
        <v>0</v>
      </c>
      <c r="W28" s="73">
        <v>0</v>
      </c>
      <c r="X28" s="73">
        <v>0</v>
      </c>
      <c r="Y28" s="73">
        <v>0</v>
      </c>
      <c r="Z28" s="73">
        <v>676</v>
      </c>
      <c r="AA28" s="73">
        <v>935</v>
      </c>
      <c r="AB28" s="73">
        <v>0</v>
      </c>
      <c r="AC28" s="73">
        <v>0</v>
      </c>
      <c r="AD28" s="73">
        <v>0</v>
      </c>
      <c r="AE28" s="73">
        <v>0</v>
      </c>
      <c r="AF28" s="74">
        <f>tblData[[#This Row],[Gross Sales]]+tblData[[#This Row],[Trade Discounts]]+tblData[[#This Row],[Returns]]</f>
        <v>0</v>
      </c>
      <c r="AG28" s="74">
        <f>tblData[[#This Row],[Material Cost]]+tblData[[#This Row],[Conversion Cost]]+tblData[[#This Row],[Inbound Freight]]</f>
        <v>0</v>
      </c>
      <c r="AH28" s="74">
        <f>tblData[[#This Row],[Net Revenue]]+tblData[[#This Row],[COGS]]</f>
        <v>0</v>
      </c>
      <c r="AI28" s="74">
        <f>tblData[[#This Row],[Advertising]]+tblData[[#This Row],[Promotions]]</f>
        <v>0</v>
      </c>
      <c r="AJ28" s="74">
        <f>tblData[[#This Row],[Outbound Logistics]]+tblData[[#This Row],[Direct Selling]]</f>
        <v>0</v>
      </c>
      <c r="AK28" s="74">
        <f>tblData[[#This Row],[Gross Profit]]+tblData[[#This Row],[AP Spend]]+tblData[[#This Row],[Cost to Serve]]</f>
        <v>0</v>
      </c>
    </row>
    <row r="29" spans="2:37" x14ac:dyDescent="0.25">
      <c r="B29" s="71" t="s">
        <v>36</v>
      </c>
      <c r="C29" s="71">
        <v>2024</v>
      </c>
      <c r="D29" s="71">
        <v>12</v>
      </c>
      <c r="E29" s="71" t="s">
        <v>46</v>
      </c>
      <c r="F29" s="71" t="s">
        <v>41</v>
      </c>
      <c r="G29" s="72">
        <v>0</v>
      </c>
      <c r="H29" s="73">
        <v>0</v>
      </c>
      <c r="I29" s="73">
        <v>0</v>
      </c>
      <c r="J29" s="73">
        <v>0</v>
      </c>
      <c r="K29" s="73">
        <v>0</v>
      </c>
      <c r="L29" s="73">
        <v>0</v>
      </c>
      <c r="M29" s="73">
        <v>0</v>
      </c>
      <c r="N29" s="73">
        <v>0</v>
      </c>
      <c r="O29" s="73">
        <v>0</v>
      </c>
      <c r="P29" s="73">
        <v>0</v>
      </c>
      <c r="Q29" s="73">
        <v>0</v>
      </c>
      <c r="R29" s="73">
        <v>0</v>
      </c>
      <c r="S29" s="73">
        <v>0</v>
      </c>
      <c r="T29" s="73">
        <v>0</v>
      </c>
      <c r="U29" s="73">
        <v>0</v>
      </c>
      <c r="V29" s="73">
        <v>0</v>
      </c>
      <c r="W29" s="73">
        <v>0</v>
      </c>
      <c r="X29" s="73">
        <v>0</v>
      </c>
      <c r="Y29" s="73">
        <v>0</v>
      </c>
      <c r="Z29" s="73">
        <v>521</v>
      </c>
      <c r="AA29" s="73">
        <v>714</v>
      </c>
      <c r="AB29" s="73">
        <v>0</v>
      </c>
      <c r="AC29" s="73">
        <v>0</v>
      </c>
      <c r="AD29" s="73">
        <v>0</v>
      </c>
      <c r="AE29" s="73">
        <v>0</v>
      </c>
      <c r="AF29" s="74">
        <f>tblData[[#This Row],[Gross Sales]]+tblData[[#This Row],[Trade Discounts]]+tblData[[#This Row],[Returns]]</f>
        <v>0</v>
      </c>
      <c r="AG29" s="74">
        <f>tblData[[#This Row],[Material Cost]]+tblData[[#This Row],[Conversion Cost]]+tblData[[#This Row],[Inbound Freight]]</f>
        <v>0</v>
      </c>
      <c r="AH29" s="74">
        <f>tblData[[#This Row],[Net Revenue]]+tblData[[#This Row],[COGS]]</f>
        <v>0</v>
      </c>
      <c r="AI29" s="74">
        <f>tblData[[#This Row],[Advertising]]+tblData[[#This Row],[Promotions]]</f>
        <v>0</v>
      </c>
      <c r="AJ29" s="74">
        <f>tblData[[#This Row],[Outbound Logistics]]+tblData[[#This Row],[Direct Selling]]</f>
        <v>0</v>
      </c>
      <c r="AK29" s="74">
        <f>tblData[[#This Row],[Gross Profit]]+tblData[[#This Row],[AP Spend]]+tblData[[#This Row],[Cost to Serve]]</f>
        <v>0</v>
      </c>
    </row>
    <row r="30" spans="2:37" x14ac:dyDescent="0.25">
      <c r="B30" s="71" t="s">
        <v>36</v>
      </c>
      <c r="C30" s="71">
        <v>2024</v>
      </c>
      <c r="D30" s="71">
        <v>12</v>
      </c>
      <c r="E30" s="71" t="s">
        <v>46</v>
      </c>
      <c r="F30" s="71" t="s">
        <v>42</v>
      </c>
      <c r="G30" s="72">
        <v>0</v>
      </c>
      <c r="H30" s="73">
        <v>0</v>
      </c>
      <c r="I30" s="73">
        <v>0</v>
      </c>
      <c r="J30" s="73">
        <v>0</v>
      </c>
      <c r="K30" s="73">
        <v>0</v>
      </c>
      <c r="L30" s="73">
        <v>0</v>
      </c>
      <c r="M30" s="73">
        <v>0</v>
      </c>
      <c r="N30" s="73">
        <v>0</v>
      </c>
      <c r="O30" s="73">
        <v>0</v>
      </c>
      <c r="P30" s="73">
        <v>0</v>
      </c>
      <c r="Q30" s="73">
        <v>0</v>
      </c>
      <c r="R30" s="73">
        <v>0</v>
      </c>
      <c r="S30" s="73">
        <v>0</v>
      </c>
      <c r="T30" s="73">
        <v>0</v>
      </c>
      <c r="U30" s="73">
        <v>0</v>
      </c>
      <c r="V30" s="73">
        <v>0</v>
      </c>
      <c r="W30" s="73">
        <v>0</v>
      </c>
      <c r="X30" s="73">
        <v>0</v>
      </c>
      <c r="Y30" s="73">
        <v>0</v>
      </c>
      <c r="Z30" s="73">
        <v>394</v>
      </c>
      <c r="AA30" s="73">
        <v>879</v>
      </c>
      <c r="AB30" s="73">
        <v>0</v>
      </c>
      <c r="AC30" s="73">
        <v>0</v>
      </c>
      <c r="AD30" s="73">
        <v>0</v>
      </c>
      <c r="AE30" s="73">
        <v>0</v>
      </c>
      <c r="AF30" s="74">
        <f>tblData[[#This Row],[Gross Sales]]+tblData[[#This Row],[Trade Discounts]]+tblData[[#This Row],[Returns]]</f>
        <v>0</v>
      </c>
      <c r="AG30" s="74">
        <f>tblData[[#This Row],[Material Cost]]+tblData[[#This Row],[Conversion Cost]]+tblData[[#This Row],[Inbound Freight]]</f>
        <v>0</v>
      </c>
      <c r="AH30" s="74">
        <f>tblData[[#This Row],[Net Revenue]]+tblData[[#This Row],[COGS]]</f>
        <v>0</v>
      </c>
      <c r="AI30" s="74">
        <f>tblData[[#This Row],[Advertising]]+tblData[[#This Row],[Promotions]]</f>
        <v>0</v>
      </c>
      <c r="AJ30" s="74">
        <f>tblData[[#This Row],[Outbound Logistics]]+tblData[[#This Row],[Direct Selling]]</f>
        <v>0</v>
      </c>
      <c r="AK30" s="74">
        <f>tblData[[#This Row],[Gross Profit]]+tblData[[#This Row],[AP Spend]]+tblData[[#This Row],[Cost to Serve]]</f>
        <v>0</v>
      </c>
    </row>
    <row r="31" spans="2:37" x14ac:dyDescent="0.25">
      <c r="B31" s="71" t="s">
        <v>36</v>
      </c>
      <c r="C31" s="71">
        <v>2024</v>
      </c>
      <c r="D31" s="71">
        <v>12</v>
      </c>
      <c r="E31" s="71" t="s">
        <v>46</v>
      </c>
      <c r="F31" s="71" t="s">
        <v>43</v>
      </c>
      <c r="G31" s="72">
        <v>0</v>
      </c>
      <c r="H31" s="73">
        <v>0</v>
      </c>
      <c r="I31" s="73">
        <v>0</v>
      </c>
      <c r="J31" s="73">
        <v>0</v>
      </c>
      <c r="K31" s="73">
        <v>0</v>
      </c>
      <c r="L31" s="73">
        <v>0</v>
      </c>
      <c r="M31" s="73">
        <v>0</v>
      </c>
      <c r="N31" s="73">
        <v>0</v>
      </c>
      <c r="O31" s="73">
        <v>0</v>
      </c>
      <c r="P31" s="73">
        <v>0</v>
      </c>
      <c r="Q31" s="73">
        <v>0</v>
      </c>
      <c r="R31" s="73">
        <v>0</v>
      </c>
      <c r="S31" s="73">
        <v>0</v>
      </c>
      <c r="T31" s="73">
        <v>0</v>
      </c>
      <c r="U31" s="73">
        <v>0</v>
      </c>
      <c r="V31" s="73">
        <v>0</v>
      </c>
      <c r="W31" s="73">
        <v>0</v>
      </c>
      <c r="X31" s="73">
        <v>0</v>
      </c>
      <c r="Y31" s="73">
        <v>0</v>
      </c>
      <c r="Z31" s="73">
        <v>223</v>
      </c>
      <c r="AA31" s="73">
        <v>469</v>
      </c>
      <c r="AB31" s="73">
        <v>0</v>
      </c>
      <c r="AC31" s="73">
        <v>0</v>
      </c>
      <c r="AD31" s="73">
        <v>0</v>
      </c>
      <c r="AE31" s="73">
        <v>0</v>
      </c>
      <c r="AF31" s="74">
        <f>tblData[[#This Row],[Gross Sales]]+tblData[[#This Row],[Trade Discounts]]+tblData[[#This Row],[Returns]]</f>
        <v>0</v>
      </c>
      <c r="AG31" s="74">
        <f>tblData[[#This Row],[Material Cost]]+tblData[[#This Row],[Conversion Cost]]+tblData[[#This Row],[Inbound Freight]]</f>
        <v>0</v>
      </c>
      <c r="AH31" s="74">
        <f>tblData[[#This Row],[Net Revenue]]+tblData[[#This Row],[COGS]]</f>
        <v>0</v>
      </c>
      <c r="AI31" s="74">
        <f>tblData[[#This Row],[Advertising]]+tblData[[#This Row],[Promotions]]</f>
        <v>0</v>
      </c>
      <c r="AJ31" s="74">
        <f>tblData[[#This Row],[Outbound Logistics]]+tblData[[#This Row],[Direct Selling]]</f>
        <v>0</v>
      </c>
      <c r="AK31" s="74">
        <f>tblData[[#This Row],[Gross Profit]]+tblData[[#This Row],[AP Spend]]+tblData[[#This Row],[Cost to Serve]]</f>
        <v>0</v>
      </c>
    </row>
    <row r="32" spans="2:37" x14ac:dyDescent="0.25">
      <c r="B32" s="71" t="s">
        <v>36</v>
      </c>
      <c r="C32" s="71">
        <v>2024</v>
      </c>
      <c r="D32" s="71">
        <v>12</v>
      </c>
      <c r="E32" s="71" t="s">
        <v>47</v>
      </c>
      <c r="F32" s="71" t="s">
        <v>38</v>
      </c>
      <c r="G32" s="72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73">
        <v>0</v>
      </c>
      <c r="U32" s="73">
        <v>0</v>
      </c>
      <c r="V32" s="73">
        <v>0</v>
      </c>
      <c r="W32" s="73">
        <v>0</v>
      </c>
      <c r="X32" s="73">
        <v>0</v>
      </c>
      <c r="Y32" s="73">
        <v>0</v>
      </c>
      <c r="Z32" s="73">
        <v>56</v>
      </c>
      <c r="AA32" s="73">
        <v>563</v>
      </c>
      <c r="AB32" s="73">
        <v>0</v>
      </c>
      <c r="AC32" s="73">
        <v>0</v>
      </c>
      <c r="AD32" s="73">
        <v>0</v>
      </c>
      <c r="AE32" s="73">
        <v>0</v>
      </c>
      <c r="AF32" s="74">
        <f>tblData[[#This Row],[Gross Sales]]+tblData[[#This Row],[Trade Discounts]]+tblData[[#This Row],[Returns]]</f>
        <v>0</v>
      </c>
      <c r="AG32" s="74">
        <f>tblData[[#This Row],[Material Cost]]+tblData[[#This Row],[Conversion Cost]]+tblData[[#This Row],[Inbound Freight]]</f>
        <v>0</v>
      </c>
      <c r="AH32" s="74">
        <f>tblData[[#This Row],[Net Revenue]]+tblData[[#This Row],[COGS]]</f>
        <v>0</v>
      </c>
      <c r="AI32" s="74">
        <f>tblData[[#This Row],[Advertising]]+tblData[[#This Row],[Promotions]]</f>
        <v>0</v>
      </c>
      <c r="AJ32" s="74">
        <f>tblData[[#This Row],[Outbound Logistics]]+tblData[[#This Row],[Direct Selling]]</f>
        <v>0</v>
      </c>
      <c r="AK32" s="74">
        <f>tblData[[#This Row],[Gross Profit]]+tblData[[#This Row],[AP Spend]]+tblData[[#This Row],[Cost to Serve]]</f>
        <v>0</v>
      </c>
    </row>
    <row r="33" spans="2:37" x14ac:dyDescent="0.25">
      <c r="B33" s="71" t="s">
        <v>36</v>
      </c>
      <c r="C33" s="71">
        <v>2024</v>
      </c>
      <c r="D33" s="71">
        <v>12</v>
      </c>
      <c r="E33" s="71" t="s">
        <v>47</v>
      </c>
      <c r="F33" s="71" t="s">
        <v>39</v>
      </c>
      <c r="G33" s="72">
        <v>0</v>
      </c>
      <c r="H33" s="73">
        <v>0</v>
      </c>
      <c r="I33" s="73">
        <v>0</v>
      </c>
      <c r="J33" s="73">
        <v>0</v>
      </c>
      <c r="K33" s="73">
        <v>0</v>
      </c>
      <c r="L33" s="73">
        <v>0</v>
      </c>
      <c r="M33" s="73">
        <v>0</v>
      </c>
      <c r="N33" s="73">
        <v>0</v>
      </c>
      <c r="O33" s="73">
        <v>0</v>
      </c>
      <c r="P33" s="73">
        <v>0</v>
      </c>
      <c r="Q33" s="73">
        <v>0</v>
      </c>
      <c r="R33" s="73">
        <v>0</v>
      </c>
      <c r="S33" s="73">
        <v>0</v>
      </c>
      <c r="T33" s="73">
        <v>0</v>
      </c>
      <c r="U33" s="73">
        <v>0</v>
      </c>
      <c r="V33" s="73">
        <v>0</v>
      </c>
      <c r="W33" s="73">
        <v>0</v>
      </c>
      <c r="X33" s="73">
        <v>0</v>
      </c>
      <c r="Y33" s="73">
        <v>0</v>
      </c>
      <c r="Z33" s="73">
        <v>48</v>
      </c>
      <c r="AA33" s="73">
        <v>487</v>
      </c>
      <c r="AB33" s="73">
        <v>0</v>
      </c>
      <c r="AC33" s="73">
        <v>0</v>
      </c>
      <c r="AD33" s="73">
        <v>0</v>
      </c>
      <c r="AE33" s="73">
        <v>0</v>
      </c>
      <c r="AF33" s="74">
        <f>tblData[[#This Row],[Gross Sales]]+tblData[[#This Row],[Trade Discounts]]+tblData[[#This Row],[Returns]]</f>
        <v>0</v>
      </c>
      <c r="AG33" s="74">
        <f>tblData[[#This Row],[Material Cost]]+tblData[[#This Row],[Conversion Cost]]+tblData[[#This Row],[Inbound Freight]]</f>
        <v>0</v>
      </c>
      <c r="AH33" s="74">
        <f>tblData[[#This Row],[Net Revenue]]+tblData[[#This Row],[COGS]]</f>
        <v>0</v>
      </c>
      <c r="AI33" s="74">
        <f>tblData[[#This Row],[Advertising]]+tblData[[#This Row],[Promotions]]</f>
        <v>0</v>
      </c>
      <c r="AJ33" s="74">
        <f>tblData[[#This Row],[Outbound Logistics]]+tblData[[#This Row],[Direct Selling]]</f>
        <v>0</v>
      </c>
      <c r="AK33" s="74">
        <f>tblData[[#This Row],[Gross Profit]]+tblData[[#This Row],[AP Spend]]+tblData[[#This Row],[Cost to Serve]]</f>
        <v>0</v>
      </c>
    </row>
    <row r="34" spans="2:37" x14ac:dyDescent="0.25">
      <c r="B34" s="71" t="s">
        <v>36</v>
      </c>
      <c r="C34" s="71">
        <v>2024</v>
      </c>
      <c r="D34" s="71">
        <v>12</v>
      </c>
      <c r="E34" s="71" t="s">
        <v>47</v>
      </c>
      <c r="F34" s="71" t="s">
        <v>40</v>
      </c>
      <c r="G34" s="72">
        <v>0</v>
      </c>
      <c r="H34" s="73">
        <v>0</v>
      </c>
      <c r="I34" s="73">
        <v>0</v>
      </c>
      <c r="J34" s="73">
        <v>0</v>
      </c>
      <c r="K34" s="73">
        <v>0</v>
      </c>
      <c r="L34" s="73">
        <v>0</v>
      </c>
      <c r="M34" s="73">
        <v>0</v>
      </c>
      <c r="N34" s="73">
        <v>0</v>
      </c>
      <c r="O34" s="73">
        <v>0</v>
      </c>
      <c r="P34" s="73">
        <v>0</v>
      </c>
      <c r="Q34" s="73">
        <v>0</v>
      </c>
      <c r="R34" s="73">
        <v>0</v>
      </c>
      <c r="S34" s="73">
        <v>0</v>
      </c>
      <c r="T34" s="73">
        <v>0</v>
      </c>
      <c r="U34" s="73">
        <v>0</v>
      </c>
      <c r="V34" s="73">
        <v>0</v>
      </c>
      <c r="W34" s="73">
        <v>0</v>
      </c>
      <c r="X34" s="73">
        <v>0</v>
      </c>
      <c r="Y34" s="73">
        <v>0</v>
      </c>
      <c r="Z34" s="73">
        <v>35</v>
      </c>
      <c r="AA34" s="73">
        <v>376</v>
      </c>
      <c r="AB34" s="73">
        <v>0</v>
      </c>
      <c r="AC34" s="73">
        <v>0</v>
      </c>
      <c r="AD34" s="73">
        <v>0</v>
      </c>
      <c r="AE34" s="73">
        <v>0</v>
      </c>
      <c r="AF34" s="74">
        <f>tblData[[#This Row],[Gross Sales]]+tblData[[#This Row],[Trade Discounts]]+tblData[[#This Row],[Returns]]</f>
        <v>0</v>
      </c>
      <c r="AG34" s="74">
        <f>tblData[[#This Row],[Material Cost]]+tblData[[#This Row],[Conversion Cost]]+tblData[[#This Row],[Inbound Freight]]</f>
        <v>0</v>
      </c>
      <c r="AH34" s="74">
        <f>tblData[[#This Row],[Net Revenue]]+tblData[[#This Row],[COGS]]</f>
        <v>0</v>
      </c>
      <c r="AI34" s="74">
        <f>tblData[[#This Row],[Advertising]]+tblData[[#This Row],[Promotions]]</f>
        <v>0</v>
      </c>
      <c r="AJ34" s="74">
        <f>tblData[[#This Row],[Outbound Logistics]]+tblData[[#This Row],[Direct Selling]]</f>
        <v>0</v>
      </c>
      <c r="AK34" s="74">
        <f>tblData[[#This Row],[Gross Profit]]+tblData[[#This Row],[AP Spend]]+tblData[[#This Row],[Cost to Serve]]</f>
        <v>0</v>
      </c>
    </row>
    <row r="35" spans="2:37" x14ac:dyDescent="0.25">
      <c r="B35" s="71" t="s">
        <v>36</v>
      </c>
      <c r="C35" s="71">
        <v>2024</v>
      </c>
      <c r="D35" s="71">
        <v>12</v>
      </c>
      <c r="E35" s="71" t="s">
        <v>47</v>
      </c>
      <c r="F35" s="71" t="s">
        <v>41</v>
      </c>
      <c r="G35" s="72">
        <v>0</v>
      </c>
      <c r="H35" s="73">
        <v>0</v>
      </c>
      <c r="I35" s="73">
        <v>0</v>
      </c>
      <c r="J35" s="73">
        <v>0</v>
      </c>
      <c r="K35" s="73">
        <v>0</v>
      </c>
      <c r="L35" s="73">
        <v>0</v>
      </c>
      <c r="M35" s="73">
        <v>0</v>
      </c>
      <c r="N35" s="73">
        <v>0</v>
      </c>
      <c r="O35" s="73">
        <v>0</v>
      </c>
      <c r="P35" s="73">
        <v>0</v>
      </c>
      <c r="Q35" s="73">
        <v>0</v>
      </c>
      <c r="R35" s="73">
        <v>0</v>
      </c>
      <c r="S35" s="73">
        <v>0</v>
      </c>
      <c r="T35" s="73">
        <v>0</v>
      </c>
      <c r="U35" s="73">
        <v>0</v>
      </c>
      <c r="V35" s="73">
        <v>0</v>
      </c>
      <c r="W35" s="73">
        <v>0</v>
      </c>
      <c r="X35" s="73">
        <v>0</v>
      </c>
      <c r="Y35" s="73">
        <v>0</v>
      </c>
      <c r="Z35" s="73">
        <v>28</v>
      </c>
      <c r="AA35" s="73">
        <v>294</v>
      </c>
      <c r="AB35" s="73">
        <v>0</v>
      </c>
      <c r="AC35" s="73">
        <v>0</v>
      </c>
      <c r="AD35" s="73">
        <v>0</v>
      </c>
      <c r="AE35" s="73">
        <v>0</v>
      </c>
      <c r="AF35" s="74">
        <f>tblData[[#This Row],[Gross Sales]]+tblData[[#This Row],[Trade Discounts]]+tblData[[#This Row],[Returns]]</f>
        <v>0</v>
      </c>
      <c r="AG35" s="74">
        <f>tblData[[#This Row],[Material Cost]]+tblData[[#This Row],[Conversion Cost]]+tblData[[#This Row],[Inbound Freight]]</f>
        <v>0</v>
      </c>
      <c r="AH35" s="74">
        <f>tblData[[#This Row],[Net Revenue]]+tblData[[#This Row],[COGS]]</f>
        <v>0</v>
      </c>
      <c r="AI35" s="74">
        <f>tblData[[#This Row],[Advertising]]+tblData[[#This Row],[Promotions]]</f>
        <v>0</v>
      </c>
      <c r="AJ35" s="74">
        <f>tblData[[#This Row],[Outbound Logistics]]+tblData[[#This Row],[Direct Selling]]</f>
        <v>0</v>
      </c>
      <c r="AK35" s="74">
        <f>tblData[[#This Row],[Gross Profit]]+tblData[[#This Row],[AP Spend]]+tblData[[#This Row],[Cost to Serve]]</f>
        <v>0</v>
      </c>
    </row>
    <row r="36" spans="2:37" x14ac:dyDescent="0.25">
      <c r="B36" s="71" t="s">
        <v>36</v>
      </c>
      <c r="C36" s="71">
        <v>2024</v>
      </c>
      <c r="D36" s="71">
        <v>12</v>
      </c>
      <c r="E36" s="71" t="s">
        <v>47</v>
      </c>
      <c r="F36" s="71" t="s">
        <v>42</v>
      </c>
      <c r="G36" s="72">
        <v>0</v>
      </c>
      <c r="H36" s="73">
        <v>0</v>
      </c>
      <c r="I36" s="73">
        <v>0</v>
      </c>
      <c r="J36" s="73">
        <v>0</v>
      </c>
      <c r="K36" s="73">
        <v>0</v>
      </c>
      <c r="L36" s="73">
        <v>0</v>
      </c>
      <c r="M36" s="73">
        <v>0</v>
      </c>
      <c r="N36" s="73">
        <v>0</v>
      </c>
      <c r="O36" s="73">
        <v>0</v>
      </c>
      <c r="P36" s="73">
        <v>0</v>
      </c>
      <c r="Q36" s="73">
        <v>0</v>
      </c>
      <c r="R36" s="73">
        <v>0</v>
      </c>
      <c r="S36" s="73">
        <v>0</v>
      </c>
      <c r="T36" s="73">
        <v>0</v>
      </c>
      <c r="U36" s="73">
        <v>0</v>
      </c>
      <c r="V36" s="73">
        <v>0</v>
      </c>
      <c r="W36" s="73">
        <v>0</v>
      </c>
      <c r="X36" s="73">
        <v>0</v>
      </c>
      <c r="Y36" s="73">
        <v>0</v>
      </c>
      <c r="Z36" s="73">
        <v>20</v>
      </c>
      <c r="AA36" s="73">
        <v>343</v>
      </c>
      <c r="AB36" s="73">
        <v>0</v>
      </c>
      <c r="AC36" s="73">
        <v>0</v>
      </c>
      <c r="AD36" s="73">
        <v>0</v>
      </c>
      <c r="AE36" s="73">
        <v>0</v>
      </c>
      <c r="AF36" s="74">
        <f>tblData[[#This Row],[Gross Sales]]+tblData[[#This Row],[Trade Discounts]]+tblData[[#This Row],[Returns]]</f>
        <v>0</v>
      </c>
      <c r="AG36" s="74">
        <f>tblData[[#This Row],[Material Cost]]+tblData[[#This Row],[Conversion Cost]]+tblData[[#This Row],[Inbound Freight]]</f>
        <v>0</v>
      </c>
      <c r="AH36" s="74">
        <f>tblData[[#This Row],[Net Revenue]]+tblData[[#This Row],[COGS]]</f>
        <v>0</v>
      </c>
      <c r="AI36" s="74">
        <f>tblData[[#This Row],[Advertising]]+tblData[[#This Row],[Promotions]]</f>
        <v>0</v>
      </c>
      <c r="AJ36" s="74">
        <f>tblData[[#This Row],[Outbound Logistics]]+tblData[[#This Row],[Direct Selling]]</f>
        <v>0</v>
      </c>
      <c r="AK36" s="74">
        <f>tblData[[#This Row],[Gross Profit]]+tblData[[#This Row],[AP Spend]]+tblData[[#This Row],[Cost to Serve]]</f>
        <v>0</v>
      </c>
    </row>
    <row r="37" spans="2:37" x14ac:dyDescent="0.25">
      <c r="B37" s="71" t="s">
        <v>36</v>
      </c>
      <c r="C37" s="71">
        <v>2024</v>
      </c>
      <c r="D37" s="71">
        <v>12</v>
      </c>
      <c r="E37" s="71" t="s">
        <v>47</v>
      </c>
      <c r="F37" s="71" t="s">
        <v>43</v>
      </c>
      <c r="G37" s="72">
        <v>0</v>
      </c>
      <c r="H37" s="73">
        <v>0</v>
      </c>
      <c r="I37" s="73">
        <v>0</v>
      </c>
      <c r="J37" s="73">
        <v>0</v>
      </c>
      <c r="K37" s="73">
        <v>0</v>
      </c>
      <c r="L37" s="73">
        <v>0</v>
      </c>
      <c r="M37" s="73">
        <v>0</v>
      </c>
      <c r="N37" s="73">
        <v>0</v>
      </c>
      <c r="O37" s="73">
        <v>0</v>
      </c>
      <c r="P37" s="73">
        <v>0</v>
      </c>
      <c r="Q37" s="73">
        <v>0</v>
      </c>
      <c r="R37" s="73">
        <v>0</v>
      </c>
      <c r="S37" s="73">
        <v>0</v>
      </c>
      <c r="T37" s="73">
        <v>0</v>
      </c>
      <c r="U37" s="73">
        <v>0</v>
      </c>
      <c r="V37" s="73">
        <v>0</v>
      </c>
      <c r="W37" s="73">
        <v>0</v>
      </c>
      <c r="X37" s="73">
        <v>0</v>
      </c>
      <c r="Y37" s="73">
        <v>0</v>
      </c>
      <c r="Z37" s="73">
        <v>12</v>
      </c>
      <c r="AA37" s="73">
        <v>199</v>
      </c>
      <c r="AB37" s="73">
        <v>0</v>
      </c>
      <c r="AC37" s="73">
        <v>0</v>
      </c>
      <c r="AD37" s="73">
        <v>0</v>
      </c>
      <c r="AE37" s="73">
        <v>0</v>
      </c>
      <c r="AF37" s="74">
        <f>tblData[[#This Row],[Gross Sales]]+tblData[[#This Row],[Trade Discounts]]+tblData[[#This Row],[Returns]]</f>
        <v>0</v>
      </c>
      <c r="AG37" s="74">
        <f>tblData[[#This Row],[Material Cost]]+tblData[[#This Row],[Conversion Cost]]+tblData[[#This Row],[Inbound Freight]]</f>
        <v>0</v>
      </c>
      <c r="AH37" s="74">
        <f>tblData[[#This Row],[Net Revenue]]+tblData[[#This Row],[COGS]]</f>
        <v>0</v>
      </c>
      <c r="AI37" s="74">
        <f>tblData[[#This Row],[Advertising]]+tblData[[#This Row],[Promotions]]</f>
        <v>0</v>
      </c>
      <c r="AJ37" s="74">
        <f>tblData[[#This Row],[Outbound Logistics]]+tblData[[#This Row],[Direct Selling]]</f>
        <v>0</v>
      </c>
      <c r="AK37" s="74">
        <f>tblData[[#This Row],[Gross Profit]]+tblData[[#This Row],[AP Spend]]+tblData[[#This Row],[Cost to Serve]]</f>
        <v>0</v>
      </c>
    </row>
    <row r="38" spans="2:37" x14ac:dyDescent="0.25">
      <c r="B38" s="71" t="s">
        <v>36</v>
      </c>
      <c r="C38" s="71">
        <v>2024</v>
      </c>
      <c r="D38" s="71">
        <v>12</v>
      </c>
      <c r="E38" s="71" t="s">
        <v>48</v>
      </c>
      <c r="F38" s="71" t="s">
        <v>38</v>
      </c>
      <c r="G38" s="72">
        <v>0</v>
      </c>
      <c r="H38" s="73">
        <v>0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  <c r="N38" s="73">
        <v>0</v>
      </c>
      <c r="O38" s="73">
        <v>0</v>
      </c>
      <c r="P38" s="73">
        <v>0</v>
      </c>
      <c r="Q38" s="73">
        <v>0</v>
      </c>
      <c r="R38" s="73">
        <v>0</v>
      </c>
      <c r="S38" s="73">
        <v>0</v>
      </c>
      <c r="T38" s="73">
        <v>0</v>
      </c>
      <c r="U38" s="73">
        <v>0</v>
      </c>
      <c r="V38" s="73">
        <v>0</v>
      </c>
      <c r="W38" s="73">
        <v>0</v>
      </c>
      <c r="X38" s="73">
        <v>0</v>
      </c>
      <c r="Y38" s="73">
        <v>0</v>
      </c>
      <c r="Z38" s="73">
        <v>2113</v>
      </c>
      <c r="AA38" s="73">
        <v>937</v>
      </c>
      <c r="AB38" s="73">
        <v>0</v>
      </c>
      <c r="AC38" s="73">
        <v>0</v>
      </c>
      <c r="AD38" s="73">
        <v>0</v>
      </c>
      <c r="AE38" s="73">
        <v>0</v>
      </c>
      <c r="AF38" s="74">
        <f>tblData[[#This Row],[Gross Sales]]+tblData[[#This Row],[Trade Discounts]]+tblData[[#This Row],[Returns]]</f>
        <v>0</v>
      </c>
      <c r="AG38" s="74">
        <f>tblData[[#This Row],[Material Cost]]+tblData[[#This Row],[Conversion Cost]]+tblData[[#This Row],[Inbound Freight]]</f>
        <v>0</v>
      </c>
      <c r="AH38" s="74">
        <f>tblData[[#This Row],[Net Revenue]]+tblData[[#This Row],[COGS]]</f>
        <v>0</v>
      </c>
      <c r="AI38" s="74">
        <f>tblData[[#This Row],[Advertising]]+tblData[[#This Row],[Promotions]]</f>
        <v>0</v>
      </c>
      <c r="AJ38" s="74">
        <f>tblData[[#This Row],[Outbound Logistics]]+tblData[[#This Row],[Direct Selling]]</f>
        <v>0</v>
      </c>
      <c r="AK38" s="74">
        <f>tblData[[#This Row],[Gross Profit]]+tblData[[#This Row],[AP Spend]]+tblData[[#This Row],[Cost to Serve]]</f>
        <v>0</v>
      </c>
    </row>
    <row r="39" spans="2:37" x14ac:dyDescent="0.25">
      <c r="B39" s="71" t="s">
        <v>36</v>
      </c>
      <c r="C39" s="71">
        <v>2024</v>
      </c>
      <c r="D39" s="71">
        <v>12</v>
      </c>
      <c r="E39" s="71" t="s">
        <v>48</v>
      </c>
      <c r="F39" s="71" t="s">
        <v>39</v>
      </c>
      <c r="G39" s="72">
        <v>0</v>
      </c>
      <c r="H39" s="73">
        <v>0</v>
      </c>
      <c r="I39" s="73">
        <v>0</v>
      </c>
      <c r="J39" s="73">
        <v>0</v>
      </c>
      <c r="K39" s="73">
        <v>0</v>
      </c>
      <c r="L39" s="73">
        <v>0</v>
      </c>
      <c r="M39" s="73">
        <v>0</v>
      </c>
      <c r="N39" s="73">
        <v>0</v>
      </c>
      <c r="O39" s="73">
        <v>0</v>
      </c>
      <c r="P39" s="73">
        <v>0</v>
      </c>
      <c r="Q39" s="73">
        <v>0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0</v>
      </c>
      <c r="X39" s="73">
        <v>0</v>
      </c>
      <c r="Y39" s="73">
        <v>0</v>
      </c>
      <c r="Z39" s="73">
        <v>1814</v>
      </c>
      <c r="AA39" s="73">
        <v>813</v>
      </c>
      <c r="AB39" s="73">
        <v>0</v>
      </c>
      <c r="AC39" s="73">
        <v>0</v>
      </c>
      <c r="AD39" s="73">
        <v>0</v>
      </c>
      <c r="AE39" s="73">
        <v>0</v>
      </c>
      <c r="AF39" s="74">
        <f>tblData[[#This Row],[Gross Sales]]+tblData[[#This Row],[Trade Discounts]]+tblData[[#This Row],[Returns]]</f>
        <v>0</v>
      </c>
      <c r="AG39" s="74">
        <f>tblData[[#This Row],[Material Cost]]+tblData[[#This Row],[Conversion Cost]]+tblData[[#This Row],[Inbound Freight]]</f>
        <v>0</v>
      </c>
      <c r="AH39" s="74">
        <f>tblData[[#This Row],[Net Revenue]]+tblData[[#This Row],[COGS]]</f>
        <v>0</v>
      </c>
      <c r="AI39" s="74">
        <f>tblData[[#This Row],[Advertising]]+tblData[[#This Row],[Promotions]]</f>
        <v>0</v>
      </c>
      <c r="AJ39" s="74">
        <f>tblData[[#This Row],[Outbound Logistics]]+tblData[[#This Row],[Direct Selling]]</f>
        <v>0</v>
      </c>
      <c r="AK39" s="74">
        <f>tblData[[#This Row],[Gross Profit]]+tblData[[#This Row],[AP Spend]]+tblData[[#This Row],[Cost to Serve]]</f>
        <v>0</v>
      </c>
    </row>
    <row r="40" spans="2:37" x14ac:dyDescent="0.25">
      <c r="B40" s="71" t="s">
        <v>36</v>
      </c>
      <c r="C40" s="71">
        <v>2024</v>
      </c>
      <c r="D40" s="71">
        <v>12</v>
      </c>
      <c r="E40" s="71" t="s">
        <v>48</v>
      </c>
      <c r="F40" s="71" t="s">
        <v>40</v>
      </c>
      <c r="G40" s="72">
        <v>0</v>
      </c>
      <c r="H40" s="73">
        <v>0</v>
      </c>
      <c r="I40" s="73">
        <v>0</v>
      </c>
      <c r="J40" s="73">
        <v>0</v>
      </c>
      <c r="K40" s="73">
        <v>0</v>
      </c>
      <c r="L40" s="73">
        <v>0</v>
      </c>
      <c r="M40" s="73">
        <v>0</v>
      </c>
      <c r="N40" s="73">
        <v>0</v>
      </c>
      <c r="O40" s="73">
        <v>0</v>
      </c>
      <c r="P40" s="73">
        <v>0</v>
      </c>
      <c r="Q40" s="73">
        <v>0</v>
      </c>
      <c r="R40" s="73">
        <v>0</v>
      </c>
      <c r="S40" s="73">
        <v>0</v>
      </c>
      <c r="T40" s="73">
        <v>0</v>
      </c>
      <c r="U40" s="73">
        <v>0</v>
      </c>
      <c r="V40" s="73">
        <v>0</v>
      </c>
      <c r="W40" s="73">
        <v>0</v>
      </c>
      <c r="X40" s="73">
        <v>0</v>
      </c>
      <c r="Y40" s="73">
        <v>0</v>
      </c>
      <c r="Z40" s="73">
        <v>1369</v>
      </c>
      <c r="AA40" s="73">
        <v>639</v>
      </c>
      <c r="AB40" s="73">
        <v>0</v>
      </c>
      <c r="AC40" s="73">
        <v>0</v>
      </c>
      <c r="AD40" s="73">
        <v>0</v>
      </c>
      <c r="AE40" s="73">
        <v>0</v>
      </c>
      <c r="AF40" s="74">
        <f>tblData[[#This Row],[Gross Sales]]+tblData[[#This Row],[Trade Discounts]]+tblData[[#This Row],[Returns]]</f>
        <v>0</v>
      </c>
      <c r="AG40" s="74">
        <f>tblData[[#This Row],[Material Cost]]+tblData[[#This Row],[Conversion Cost]]+tblData[[#This Row],[Inbound Freight]]</f>
        <v>0</v>
      </c>
      <c r="AH40" s="74">
        <f>tblData[[#This Row],[Net Revenue]]+tblData[[#This Row],[COGS]]</f>
        <v>0</v>
      </c>
      <c r="AI40" s="74">
        <f>tblData[[#This Row],[Advertising]]+tblData[[#This Row],[Promotions]]</f>
        <v>0</v>
      </c>
      <c r="AJ40" s="74">
        <f>tblData[[#This Row],[Outbound Logistics]]+tblData[[#This Row],[Direct Selling]]</f>
        <v>0</v>
      </c>
      <c r="AK40" s="74">
        <f>tblData[[#This Row],[Gross Profit]]+tblData[[#This Row],[AP Spend]]+tblData[[#This Row],[Cost to Serve]]</f>
        <v>0</v>
      </c>
    </row>
    <row r="41" spans="2:37" x14ac:dyDescent="0.25">
      <c r="B41" s="71" t="s">
        <v>36</v>
      </c>
      <c r="C41" s="71">
        <v>2024</v>
      </c>
      <c r="D41" s="71">
        <v>12</v>
      </c>
      <c r="E41" s="71" t="s">
        <v>48</v>
      </c>
      <c r="F41" s="71" t="s">
        <v>41</v>
      </c>
      <c r="G41" s="72">
        <v>0</v>
      </c>
      <c r="H41" s="73">
        <v>0</v>
      </c>
      <c r="I41" s="73">
        <v>0</v>
      </c>
      <c r="J41" s="73">
        <v>0</v>
      </c>
      <c r="K41" s="73">
        <v>0</v>
      </c>
      <c r="L41" s="73">
        <v>0</v>
      </c>
      <c r="M41" s="73">
        <v>0</v>
      </c>
      <c r="N41" s="73">
        <v>0</v>
      </c>
      <c r="O41" s="73">
        <v>0</v>
      </c>
      <c r="P41" s="73">
        <v>0</v>
      </c>
      <c r="Q41" s="73">
        <v>0</v>
      </c>
      <c r="R41" s="73">
        <v>0</v>
      </c>
      <c r="S41" s="73">
        <v>0</v>
      </c>
      <c r="T41" s="73">
        <v>0</v>
      </c>
      <c r="U41" s="73">
        <v>0</v>
      </c>
      <c r="V41" s="73">
        <v>0</v>
      </c>
      <c r="W41" s="73">
        <v>0</v>
      </c>
      <c r="X41" s="73">
        <v>0</v>
      </c>
      <c r="Y41" s="73">
        <v>0</v>
      </c>
      <c r="Z41" s="73">
        <v>1070</v>
      </c>
      <c r="AA41" s="73">
        <v>494</v>
      </c>
      <c r="AB41" s="73">
        <v>0</v>
      </c>
      <c r="AC41" s="73">
        <v>0</v>
      </c>
      <c r="AD41" s="73">
        <v>0</v>
      </c>
      <c r="AE41" s="73">
        <v>0</v>
      </c>
      <c r="AF41" s="74">
        <f>tblData[[#This Row],[Gross Sales]]+tblData[[#This Row],[Trade Discounts]]+tblData[[#This Row],[Returns]]</f>
        <v>0</v>
      </c>
      <c r="AG41" s="74">
        <f>tblData[[#This Row],[Material Cost]]+tblData[[#This Row],[Conversion Cost]]+tblData[[#This Row],[Inbound Freight]]</f>
        <v>0</v>
      </c>
      <c r="AH41" s="74">
        <f>tblData[[#This Row],[Net Revenue]]+tblData[[#This Row],[COGS]]</f>
        <v>0</v>
      </c>
      <c r="AI41" s="74">
        <f>tblData[[#This Row],[Advertising]]+tblData[[#This Row],[Promotions]]</f>
        <v>0</v>
      </c>
      <c r="AJ41" s="74">
        <f>tblData[[#This Row],[Outbound Logistics]]+tblData[[#This Row],[Direct Selling]]</f>
        <v>0</v>
      </c>
      <c r="AK41" s="74">
        <f>tblData[[#This Row],[Gross Profit]]+tblData[[#This Row],[AP Spend]]+tblData[[#This Row],[Cost to Serve]]</f>
        <v>0</v>
      </c>
    </row>
    <row r="42" spans="2:37" x14ac:dyDescent="0.25">
      <c r="B42" s="71" t="s">
        <v>36</v>
      </c>
      <c r="C42" s="71">
        <v>2024</v>
      </c>
      <c r="D42" s="71">
        <v>12</v>
      </c>
      <c r="E42" s="71" t="s">
        <v>48</v>
      </c>
      <c r="F42" s="71" t="s">
        <v>42</v>
      </c>
      <c r="G42" s="72">
        <v>0</v>
      </c>
      <c r="H42" s="73">
        <v>0</v>
      </c>
      <c r="I42" s="73">
        <v>0</v>
      </c>
      <c r="J42" s="73">
        <v>0</v>
      </c>
      <c r="K42" s="73">
        <v>0</v>
      </c>
      <c r="L42" s="73">
        <v>0</v>
      </c>
      <c r="M42" s="73">
        <v>0</v>
      </c>
      <c r="N42" s="73">
        <v>0</v>
      </c>
      <c r="O42" s="73">
        <v>0</v>
      </c>
      <c r="P42" s="73">
        <v>0</v>
      </c>
      <c r="Q42" s="73">
        <v>0</v>
      </c>
      <c r="R42" s="73">
        <v>0</v>
      </c>
      <c r="S42" s="73">
        <v>0</v>
      </c>
      <c r="T42" s="73">
        <v>0</v>
      </c>
      <c r="U42" s="73">
        <v>0</v>
      </c>
      <c r="V42" s="73">
        <v>0</v>
      </c>
      <c r="W42" s="73">
        <v>0</v>
      </c>
      <c r="X42" s="73">
        <v>0</v>
      </c>
      <c r="Y42" s="73">
        <v>0</v>
      </c>
      <c r="Z42" s="73">
        <v>777</v>
      </c>
      <c r="AA42" s="73">
        <v>585</v>
      </c>
      <c r="AB42" s="73">
        <v>0</v>
      </c>
      <c r="AC42" s="73">
        <v>0</v>
      </c>
      <c r="AD42" s="73">
        <v>0</v>
      </c>
      <c r="AE42" s="73">
        <v>0</v>
      </c>
      <c r="AF42" s="74">
        <f>tblData[[#This Row],[Gross Sales]]+tblData[[#This Row],[Trade Discounts]]+tblData[[#This Row],[Returns]]</f>
        <v>0</v>
      </c>
      <c r="AG42" s="74">
        <f>tblData[[#This Row],[Material Cost]]+tblData[[#This Row],[Conversion Cost]]+tblData[[#This Row],[Inbound Freight]]</f>
        <v>0</v>
      </c>
      <c r="AH42" s="74">
        <f>tblData[[#This Row],[Net Revenue]]+tblData[[#This Row],[COGS]]</f>
        <v>0</v>
      </c>
      <c r="AI42" s="74">
        <f>tblData[[#This Row],[Advertising]]+tblData[[#This Row],[Promotions]]</f>
        <v>0</v>
      </c>
      <c r="AJ42" s="74">
        <f>tblData[[#This Row],[Outbound Logistics]]+tblData[[#This Row],[Direct Selling]]</f>
        <v>0</v>
      </c>
      <c r="AK42" s="74">
        <f>tblData[[#This Row],[Gross Profit]]+tblData[[#This Row],[AP Spend]]+tblData[[#This Row],[Cost to Serve]]</f>
        <v>0</v>
      </c>
    </row>
    <row r="43" spans="2:37" x14ac:dyDescent="0.25">
      <c r="B43" s="71" t="s">
        <v>36</v>
      </c>
      <c r="C43" s="71">
        <v>2024</v>
      </c>
      <c r="D43" s="71">
        <v>12</v>
      </c>
      <c r="E43" s="71" t="s">
        <v>48</v>
      </c>
      <c r="F43" s="71" t="s">
        <v>43</v>
      </c>
      <c r="G43" s="72">
        <v>0</v>
      </c>
      <c r="H43" s="73">
        <v>0</v>
      </c>
      <c r="I43" s="73">
        <v>0</v>
      </c>
      <c r="J43" s="73">
        <v>0</v>
      </c>
      <c r="K43" s="73">
        <v>0</v>
      </c>
      <c r="L43" s="73">
        <v>0</v>
      </c>
      <c r="M43" s="73">
        <v>0</v>
      </c>
      <c r="N43" s="73">
        <v>0</v>
      </c>
      <c r="O43" s="73">
        <v>0</v>
      </c>
      <c r="P43" s="73">
        <v>0</v>
      </c>
      <c r="Q43" s="73">
        <v>0</v>
      </c>
      <c r="R43" s="73">
        <v>0</v>
      </c>
      <c r="S43" s="73">
        <v>0</v>
      </c>
      <c r="T43" s="73">
        <v>0</v>
      </c>
      <c r="U43" s="73">
        <v>0</v>
      </c>
      <c r="V43" s="73">
        <v>0</v>
      </c>
      <c r="W43" s="73">
        <v>0</v>
      </c>
      <c r="X43" s="73">
        <v>0</v>
      </c>
      <c r="Y43" s="73">
        <v>0</v>
      </c>
      <c r="Z43" s="73">
        <v>447</v>
      </c>
      <c r="AA43" s="73">
        <v>317</v>
      </c>
      <c r="AB43" s="73">
        <v>0</v>
      </c>
      <c r="AC43" s="73">
        <v>0</v>
      </c>
      <c r="AD43" s="73">
        <v>0</v>
      </c>
      <c r="AE43" s="73">
        <v>0</v>
      </c>
      <c r="AF43" s="74">
        <f>tblData[[#This Row],[Gross Sales]]+tblData[[#This Row],[Trade Discounts]]+tblData[[#This Row],[Returns]]</f>
        <v>0</v>
      </c>
      <c r="AG43" s="74">
        <f>tblData[[#This Row],[Material Cost]]+tblData[[#This Row],[Conversion Cost]]+tblData[[#This Row],[Inbound Freight]]</f>
        <v>0</v>
      </c>
      <c r="AH43" s="74">
        <f>tblData[[#This Row],[Net Revenue]]+tblData[[#This Row],[COGS]]</f>
        <v>0</v>
      </c>
      <c r="AI43" s="74">
        <f>tblData[[#This Row],[Advertising]]+tblData[[#This Row],[Promotions]]</f>
        <v>0</v>
      </c>
      <c r="AJ43" s="74">
        <f>tblData[[#This Row],[Outbound Logistics]]+tblData[[#This Row],[Direct Selling]]</f>
        <v>0</v>
      </c>
      <c r="AK43" s="74">
        <f>tblData[[#This Row],[Gross Profit]]+tblData[[#This Row],[AP Spend]]+tblData[[#This Row],[Cost to Serve]]</f>
        <v>0</v>
      </c>
    </row>
    <row r="44" spans="2:37" x14ac:dyDescent="0.25">
      <c r="B44" s="71" t="s">
        <v>36</v>
      </c>
      <c r="C44" s="71">
        <v>2024</v>
      </c>
      <c r="D44" s="71">
        <v>12</v>
      </c>
      <c r="E44" s="71" t="s">
        <v>49</v>
      </c>
      <c r="F44" s="71" t="s">
        <v>49</v>
      </c>
      <c r="G44" s="72">
        <v>0</v>
      </c>
      <c r="H44" s="73">
        <v>0</v>
      </c>
      <c r="I44" s="73">
        <v>0</v>
      </c>
      <c r="J44" s="73">
        <v>0</v>
      </c>
      <c r="K44" s="73">
        <v>0</v>
      </c>
      <c r="L44" s="73">
        <v>0</v>
      </c>
      <c r="M44" s="73">
        <v>0</v>
      </c>
      <c r="N44" s="73">
        <v>0</v>
      </c>
      <c r="O44" s="73">
        <v>0</v>
      </c>
      <c r="P44" s="73">
        <v>0</v>
      </c>
      <c r="Q44" s="73">
        <v>0</v>
      </c>
      <c r="R44" s="73">
        <v>0</v>
      </c>
      <c r="S44" s="73">
        <v>0</v>
      </c>
      <c r="T44" s="73">
        <v>0</v>
      </c>
      <c r="U44" s="73">
        <v>0</v>
      </c>
      <c r="V44" s="73">
        <v>0</v>
      </c>
      <c r="W44" s="73">
        <v>0</v>
      </c>
      <c r="X44" s="73">
        <v>0</v>
      </c>
      <c r="Y44" s="73">
        <v>0</v>
      </c>
      <c r="Z44" s="73">
        <v>0</v>
      </c>
      <c r="AA44" s="73">
        <v>0</v>
      </c>
      <c r="AB44" s="73">
        <v>24951</v>
      </c>
      <c r="AC44" s="73">
        <v>46000</v>
      </c>
      <c r="AD44" s="73">
        <v>200000</v>
      </c>
      <c r="AE44" s="73">
        <v>1140</v>
      </c>
      <c r="AF44" s="74">
        <f>tblData[[#This Row],[Gross Sales]]+tblData[[#This Row],[Trade Discounts]]+tblData[[#This Row],[Returns]]</f>
        <v>0</v>
      </c>
      <c r="AG44" s="74">
        <f>tblData[[#This Row],[Material Cost]]+tblData[[#This Row],[Conversion Cost]]+tblData[[#This Row],[Inbound Freight]]</f>
        <v>0</v>
      </c>
      <c r="AH44" s="74">
        <f>tblData[[#This Row],[Net Revenue]]+tblData[[#This Row],[COGS]]</f>
        <v>0</v>
      </c>
      <c r="AI44" s="74">
        <f>tblData[[#This Row],[Advertising]]+tblData[[#This Row],[Promotions]]</f>
        <v>0</v>
      </c>
      <c r="AJ44" s="74">
        <f>tblData[[#This Row],[Outbound Logistics]]+tblData[[#This Row],[Direct Selling]]</f>
        <v>0</v>
      </c>
      <c r="AK44" s="74">
        <f>tblData[[#This Row],[Gross Profit]]+tblData[[#This Row],[AP Spend]]+tblData[[#This Row],[Cost to Serve]]</f>
        <v>0</v>
      </c>
    </row>
    <row r="45" spans="2:37" x14ac:dyDescent="0.25">
      <c r="B45" s="71" t="s">
        <v>36</v>
      </c>
      <c r="C45" s="71">
        <v>2025</v>
      </c>
      <c r="D45" s="71">
        <v>1</v>
      </c>
      <c r="E45" s="71" t="s">
        <v>37</v>
      </c>
      <c r="F45" s="71" t="s">
        <v>38</v>
      </c>
      <c r="G45" s="72">
        <v>239.3</v>
      </c>
      <c r="H45" s="73">
        <v>3283</v>
      </c>
      <c r="I45" s="73">
        <v>-611</v>
      </c>
      <c r="J45" s="73">
        <v>-49</v>
      </c>
      <c r="K45" s="73">
        <v>-699</v>
      </c>
      <c r="L45" s="73">
        <v>-177</v>
      </c>
      <c r="M45" s="73">
        <v>-94</v>
      </c>
      <c r="N45" s="73">
        <v>-204</v>
      </c>
      <c r="O45" s="73">
        <v>-110</v>
      </c>
      <c r="P45" s="73">
        <v>-131</v>
      </c>
      <c r="Q45" s="73">
        <v>-99</v>
      </c>
      <c r="R45" s="73">
        <v>0</v>
      </c>
      <c r="S45" s="73">
        <v>0</v>
      </c>
      <c r="T45" s="73">
        <v>0</v>
      </c>
      <c r="U45" s="73">
        <v>0</v>
      </c>
      <c r="V45" s="73">
        <v>0</v>
      </c>
      <c r="W45" s="73">
        <v>0</v>
      </c>
      <c r="X45" s="73">
        <v>0</v>
      </c>
      <c r="Y45" s="73">
        <v>0</v>
      </c>
      <c r="Z45" s="73">
        <v>4746</v>
      </c>
      <c r="AA45" s="73">
        <v>3030</v>
      </c>
      <c r="AB45" s="73">
        <v>0</v>
      </c>
      <c r="AC45" s="73">
        <v>0</v>
      </c>
      <c r="AD45" s="73">
        <v>0</v>
      </c>
      <c r="AE45" s="73">
        <v>0</v>
      </c>
      <c r="AF45" s="74">
        <f>tblData[[#This Row],[Gross Sales]]+tblData[[#This Row],[Trade Discounts]]+tblData[[#This Row],[Returns]]</f>
        <v>2623</v>
      </c>
      <c r="AG45" s="74">
        <f>tblData[[#This Row],[Material Cost]]+tblData[[#This Row],[Conversion Cost]]+tblData[[#This Row],[Inbound Freight]]</f>
        <v>-970</v>
      </c>
      <c r="AH45" s="74">
        <f>tblData[[#This Row],[Net Revenue]]+tblData[[#This Row],[COGS]]</f>
        <v>1653</v>
      </c>
      <c r="AI45" s="74">
        <f>tblData[[#This Row],[Advertising]]+tblData[[#This Row],[Promotions]]</f>
        <v>-314</v>
      </c>
      <c r="AJ45" s="74">
        <f>tblData[[#This Row],[Outbound Logistics]]+tblData[[#This Row],[Direct Selling]]</f>
        <v>-230</v>
      </c>
      <c r="AK45" s="74">
        <f>tblData[[#This Row],[Gross Profit]]+tblData[[#This Row],[AP Spend]]+tblData[[#This Row],[Cost to Serve]]</f>
        <v>1109</v>
      </c>
    </row>
    <row r="46" spans="2:37" x14ac:dyDescent="0.25">
      <c r="B46" s="71" t="s">
        <v>36</v>
      </c>
      <c r="C46" s="71">
        <v>2025</v>
      </c>
      <c r="D46" s="71">
        <v>1</v>
      </c>
      <c r="E46" s="71" t="s">
        <v>37</v>
      </c>
      <c r="F46" s="71" t="s">
        <v>39</v>
      </c>
      <c r="G46" s="72">
        <v>317.39999999999998</v>
      </c>
      <c r="H46" s="73">
        <v>2800</v>
      </c>
      <c r="I46" s="73">
        <v>-521</v>
      </c>
      <c r="J46" s="73">
        <v>-42</v>
      </c>
      <c r="K46" s="73">
        <v>-715</v>
      </c>
      <c r="L46" s="73">
        <v>-181</v>
      </c>
      <c r="M46" s="73">
        <v>-96</v>
      </c>
      <c r="N46" s="73">
        <v>-117</v>
      </c>
      <c r="O46" s="73">
        <v>-63</v>
      </c>
      <c r="P46" s="73">
        <v>-112</v>
      </c>
      <c r="Q46" s="73">
        <v>-84</v>
      </c>
      <c r="R46" s="73">
        <v>0</v>
      </c>
      <c r="S46" s="73">
        <v>0</v>
      </c>
      <c r="T46" s="73">
        <v>0</v>
      </c>
      <c r="U46" s="73">
        <v>0</v>
      </c>
      <c r="V46" s="73">
        <v>0</v>
      </c>
      <c r="W46" s="73">
        <v>0</v>
      </c>
      <c r="X46" s="73">
        <v>0</v>
      </c>
      <c r="Y46" s="73">
        <v>0</v>
      </c>
      <c r="Z46" s="73">
        <v>4047</v>
      </c>
      <c r="AA46" s="73">
        <v>2610</v>
      </c>
      <c r="AB46" s="73">
        <v>0</v>
      </c>
      <c r="AC46" s="73">
        <v>0</v>
      </c>
      <c r="AD46" s="73">
        <v>0</v>
      </c>
      <c r="AE46" s="73">
        <v>0</v>
      </c>
      <c r="AF46" s="74">
        <f>tblData[[#This Row],[Gross Sales]]+tblData[[#This Row],[Trade Discounts]]+tblData[[#This Row],[Returns]]</f>
        <v>2237</v>
      </c>
      <c r="AG46" s="74">
        <f>tblData[[#This Row],[Material Cost]]+tblData[[#This Row],[Conversion Cost]]+tblData[[#This Row],[Inbound Freight]]</f>
        <v>-992</v>
      </c>
      <c r="AH46" s="74">
        <f>tblData[[#This Row],[Net Revenue]]+tblData[[#This Row],[COGS]]</f>
        <v>1245</v>
      </c>
      <c r="AI46" s="74">
        <f>tblData[[#This Row],[Advertising]]+tblData[[#This Row],[Promotions]]</f>
        <v>-180</v>
      </c>
      <c r="AJ46" s="74">
        <f>tblData[[#This Row],[Outbound Logistics]]+tblData[[#This Row],[Direct Selling]]</f>
        <v>-196</v>
      </c>
      <c r="AK46" s="74">
        <f>tblData[[#This Row],[Gross Profit]]+tblData[[#This Row],[AP Spend]]+tblData[[#This Row],[Cost to Serve]]</f>
        <v>869</v>
      </c>
    </row>
    <row r="47" spans="2:37" x14ac:dyDescent="0.25">
      <c r="B47" s="71" t="s">
        <v>36</v>
      </c>
      <c r="C47" s="71">
        <v>2025</v>
      </c>
      <c r="D47" s="71">
        <v>1</v>
      </c>
      <c r="E47" s="71" t="s">
        <v>37</v>
      </c>
      <c r="F47" s="71" t="s">
        <v>40</v>
      </c>
      <c r="G47" s="72">
        <v>299.8</v>
      </c>
      <c r="H47" s="73">
        <v>2056</v>
      </c>
      <c r="I47" s="73">
        <v>-382</v>
      </c>
      <c r="J47" s="73">
        <v>-31</v>
      </c>
      <c r="K47" s="73">
        <v>-583</v>
      </c>
      <c r="L47" s="73">
        <v>-148</v>
      </c>
      <c r="M47" s="73">
        <v>-78</v>
      </c>
      <c r="N47" s="73">
        <v>-58</v>
      </c>
      <c r="O47" s="73">
        <v>-31</v>
      </c>
      <c r="P47" s="73">
        <v>-82</v>
      </c>
      <c r="Q47" s="73">
        <v>-62</v>
      </c>
      <c r="R47" s="73">
        <v>0</v>
      </c>
      <c r="S47" s="73">
        <v>0</v>
      </c>
      <c r="T47" s="73">
        <v>0</v>
      </c>
      <c r="U47" s="73">
        <v>0</v>
      </c>
      <c r="V47" s="73">
        <v>0</v>
      </c>
      <c r="W47" s="73">
        <v>0</v>
      </c>
      <c r="X47" s="73">
        <v>0</v>
      </c>
      <c r="Y47" s="73">
        <v>0</v>
      </c>
      <c r="Z47" s="73">
        <v>2973</v>
      </c>
      <c r="AA47" s="73">
        <v>1997</v>
      </c>
      <c r="AB47" s="73">
        <v>0</v>
      </c>
      <c r="AC47" s="73">
        <v>0</v>
      </c>
      <c r="AD47" s="73">
        <v>0</v>
      </c>
      <c r="AE47" s="73">
        <v>0</v>
      </c>
      <c r="AF47" s="74">
        <f>tblData[[#This Row],[Gross Sales]]+tblData[[#This Row],[Trade Discounts]]+tblData[[#This Row],[Returns]]</f>
        <v>1643</v>
      </c>
      <c r="AG47" s="74">
        <f>tblData[[#This Row],[Material Cost]]+tblData[[#This Row],[Conversion Cost]]+tblData[[#This Row],[Inbound Freight]]</f>
        <v>-809</v>
      </c>
      <c r="AH47" s="74">
        <f>tblData[[#This Row],[Net Revenue]]+tblData[[#This Row],[COGS]]</f>
        <v>834</v>
      </c>
      <c r="AI47" s="74">
        <f>tblData[[#This Row],[Advertising]]+tblData[[#This Row],[Promotions]]</f>
        <v>-89</v>
      </c>
      <c r="AJ47" s="74">
        <f>tblData[[#This Row],[Outbound Logistics]]+tblData[[#This Row],[Direct Selling]]</f>
        <v>-144</v>
      </c>
      <c r="AK47" s="74">
        <f>tblData[[#This Row],[Gross Profit]]+tblData[[#This Row],[AP Spend]]+tblData[[#This Row],[Cost to Serve]]</f>
        <v>601</v>
      </c>
    </row>
    <row r="48" spans="2:37" x14ac:dyDescent="0.25">
      <c r="B48" s="71" t="s">
        <v>36</v>
      </c>
      <c r="C48" s="71">
        <v>2025</v>
      </c>
      <c r="D48" s="71">
        <v>1</v>
      </c>
      <c r="E48" s="71" t="s">
        <v>37</v>
      </c>
      <c r="F48" s="71" t="s">
        <v>41</v>
      </c>
      <c r="G48" s="72">
        <v>150.19999999999999</v>
      </c>
      <c r="H48" s="73">
        <v>1619</v>
      </c>
      <c r="I48" s="73">
        <v>-301</v>
      </c>
      <c r="J48" s="73">
        <v>-24</v>
      </c>
      <c r="K48" s="73">
        <v>-379</v>
      </c>
      <c r="L48" s="73">
        <v>-96</v>
      </c>
      <c r="M48" s="73">
        <v>-51</v>
      </c>
      <c r="N48" s="73">
        <v>-125</v>
      </c>
      <c r="O48" s="73">
        <v>-67</v>
      </c>
      <c r="P48" s="73">
        <v>-65</v>
      </c>
      <c r="Q48" s="73">
        <v>-49</v>
      </c>
      <c r="R48" s="73">
        <v>0</v>
      </c>
      <c r="S48" s="73">
        <v>0</v>
      </c>
      <c r="T48" s="73">
        <v>0</v>
      </c>
      <c r="U48" s="73">
        <v>0</v>
      </c>
      <c r="V48" s="73">
        <v>0</v>
      </c>
      <c r="W48" s="73">
        <v>0</v>
      </c>
      <c r="X48" s="73">
        <v>0</v>
      </c>
      <c r="Y48" s="73">
        <v>0</v>
      </c>
      <c r="Z48" s="73">
        <v>2341</v>
      </c>
      <c r="AA48" s="73">
        <v>1557</v>
      </c>
      <c r="AB48" s="73">
        <v>0</v>
      </c>
      <c r="AC48" s="73">
        <v>0</v>
      </c>
      <c r="AD48" s="73">
        <v>0</v>
      </c>
      <c r="AE48" s="73">
        <v>0</v>
      </c>
      <c r="AF48" s="74">
        <f>tblData[[#This Row],[Gross Sales]]+tblData[[#This Row],[Trade Discounts]]+tblData[[#This Row],[Returns]]</f>
        <v>1294</v>
      </c>
      <c r="AG48" s="74">
        <f>tblData[[#This Row],[Material Cost]]+tblData[[#This Row],[Conversion Cost]]+tblData[[#This Row],[Inbound Freight]]</f>
        <v>-526</v>
      </c>
      <c r="AH48" s="74">
        <f>tblData[[#This Row],[Net Revenue]]+tblData[[#This Row],[COGS]]</f>
        <v>768</v>
      </c>
      <c r="AI48" s="74">
        <f>tblData[[#This Row],[Advertising]]+tblData[[#This Row],[Promotions]]</f>
        <v>-192</v>
      </c>
      <c r="AJ48" s="74">
        <f>tblData[[#This Row],[Outbound Logistics]]+tblData[[#This Row],[Direct Selling]]</f>
        <v>-114</v>
      </c>
      <c r="AK48" s="74">
        <f>tblData[[#This Row],[Gross Profit]]+tblData[[#This Row],[AP Spend]]+tblData[[#This Row],[Cost to Serve]]</f>
        <v>462</v>
      </c>
    </row>
    <row r="49" spans="2:37" x14ac:dyDescent="0.25">
      <c r="B49" s="71" t="s">
        <v>36</v>
      </c>
      <c r="C49" s="71">
        <v>2025</v>
      </c>
      <c r="D49" s="71">
        <v>1</v>
      </c>
      <c r="E49" s="71" t="s">
        <v>37</v>
      </c>
      <c r="F49" s="71" t="s">
        <v>42</v>
      </c>
      <c r="G49" s="72">
        <v>198.4</v>
      </c>
      <c r="H49" s="73">
        <v>1167</v>
      </c>
      <c r="I49" s="73">
        <v>-217</v>
      </c>
      <c r="J49" s="73">
        <v>-18</v>
      </c>
      <c r="K49" s="73">
        <v>-364</v>
      </c>
      <c r="L49" s="73">
        <v>-92</v>
      </c>
      <c r="M49" s="73">
        <v>-49</v>
      </c>
      <c r="N49" s="73">
        <v>-24</v>
      </c>
      <c r="O49" s="73">
        <v>-13</v>
      </c>
      <c r="P49" s="73">
        <v>-47</v>
      </c>
      <c r="Q49" s="73">
        <v>-35</v>
      </c>
      <c r="R49" s="73">
        <v>0</v>
      </c>
      <c r="S49" s="73">
        <v>0</v>
      </c>
      <c r="T49" s="73">
        <v>0</v>
      </c>
      <c r="U49" s="73">
        <v>0</v>
      </c>
      <c r="V49" s="73">
        <v>0</v>
      </c>
      <c r="W49" s="73">
        <v>0</v>
      </c>
      <c r="X49" s="73">
        <v>0</v>
      </c>
      <c r="Y49" s="73">
        <v>0</v>
      </c>
      <c r="Z49" s="73">
        <v>1687</v>
      </c>
      <c r="AA49" s="73">
        <v>1828</v>
      </c>
      <c r="AB49" s="73">
        <v>0</v>
      </c>
      <c r="AC49" s="73">
        <v>0</v>
      </c>
      <c r="AD49" s="73">
        <v>0</v>
      </c>
      <c r="AE49" s="73">
        <v>0</v>
      </c>
      <c r="AF49" s="74">
        <f>tblData[[#This Row],[Gross Sales]]+tblData[[#This Row],[Trade Discounts]]+tblData[[#This Row],[Returns]]</f>
        <v>932</v>
      </c>
      <c r="AG49" s="74">
        <f>tblData[[#This Row],[Material Cost]]+tblData[[#This Row],[Conversion Cost]]+tblData[[#This Row],[Inbound Freight]]</f>
        <v>-505</v>
      </c>
      <c r="AH49" s="74">
        <f>tblData[[#This Row],[Net Revenue]]+tblData[[#This Row],[COGS]]</f>
        <v>427</v>
      </c>
      <c r="AI49" s="74">
        <f>tblData[[#This Row],[Advertising]]+tblData[[#This Row],[Promotions]]</f>
        <v>-37</v>
      </c>
      <c r="AJ49" s="74">
        <f>tblData[[#This Row],[Outbound Logistics]]+tblData[[#This Row],[Direct Selling]]</f>
        <v>-82</v>
      </c>
      <c r="AK49" s="74">
        <f>tblData[[#This Row],[Gross Profit]]+tblData[[#This Row],[AP Spend]]+tblData[[#This Row],[Cost to Serve]]</f>
        <v>308</v>
      </c>
    </row>
    <row r="50" spans="2:37" x14ac:dyDescent="0.25">
      <c r="B50" s="71" t="s">
        <v>36</v>
      </c>
      <c r="C50" s="71">
        <v>2025</v>
      </c>
      <c r="D50" s="71">
        <v>1</v>
      </c>
      <c r="E50" s="71" t="s">
        <v>37</v>
      </c>
      <c r="F50" s="71" t="s">
        <v>43</v>
      </c>
      <c r="G50" s="72">
        <v>39.299999999999997</v>
      </c>
      <c r="H50" s="73">
        <v>693</v>
      </c>
      <c r="I50" s="73">
        <v>-129</v>
      </c>
      <c r="J50" s="73">
        <v>-10</v>
      </c>
      <c r="K50" s="73">
        <v>-187</v>
      </c>
      <c r="L50" s="73">
        <v>-47</v>
      </c>
      <c r="M50" s="73">
        <v>-25</v>
      </c>
      <c r="N50" s="73">
        <v>-68</v>
      </c>
      <c r="O50" s="73">
        <v>-37</v>
      </c>
      <c r="P50" s="73">
        <v>-28</v>
      </c>
      <c r="Q50" s="73">
        <v>-21</v>
      </c>
      <c r="R50" s="73">
        <v>0</v>
      </c>
      <c r="S50" s="73">
        <v>0</v>
      </c>
      <c r="T50" s="73">
        <v>0</v>
      </c>
      <c r="U50" s="73">
        <v>0</v>
      </c>
      <c r="V50" s="73">
        <v>0</v>
      </c>
      <c r="W50" s="73">
        <v>0</v>
      </c>
      <c r="X50" s="73">
        <v>0</v>
      </c>
      <c r="Y50" s="73">
        <v>0</v>
      </c>
      <c r="Z50" s="73">
        <v>1002</v>
      </c>
      <c r="AA50" s="73">
        <v>1023</v>
      </c>
      <c r="AB50" s="73">
        <v>0</v>
      </c>
      <c r="AC50" s="73">
        <v>0</v>
      </c>
      <c r="AD50" s="73">
        <v>0</v>
      </c>
      <c r="AE50" s="73">
        <v>0</v>
      </c>
      <c r="AF50" s="74">
        <f>tblData[[#This Row],[Gross Sales]]+tblData[[#This Row],[Trade Discounts]]+tblData[[#This Row],[Returns]]</f>
        <v>554</v>
      </c>
      <c r="AG50" s="74">
        <f>tblData[[#This Row],[Material Cost]]+tblData[[#This Row],[Conversion Cost]]+tblData[[#This Row],[Inbound Freight]]</f>
        <v>-259</v>
      </c>
      <c r="AH50" s="74">
        <f>tblData[[#This Row],[Net Revenue]]+tblData[[#This Row],[COGS]]</f>
        <v>295</v>
      </c>
      <c r="AI50" s="74">
        <f>tblData[[#This Row],[Advertising]]+tblData[[#This Row],[Promotions]]</f>
        <v>-105</v>
      </c>
      <c r="AJ50" s="74">
        <f>tblData[[#This Row],[Outbound Logistics]]+tblData[[#This Row],[Direct Selling]]</f>
        <v>-49</v>
      </c>
      <c r="AK50" s="74">
        <f>tblData[[#This Row],[Gross Profit]]+tblData[[#This Row],[AP Spend]]+tblData[[#This Row],[Cost to Serve]]</f>
        <v>141</v>
      </c>
    </row>
    <row r="51" spans="2:37" x14ac:dyDescent="0.25">
      <c r="B51" s="71" t="s">
        <v>36</v>
      </c>
      <c r="C51" s="71">
        <v>2025</v>
      </c>
      <c r="D51" s="71">
        <v>1</v>
      </c>
      <c r="E51" s="71" t="s">
        <v>44</v>
      </c>
      <c r="F51" s="71" t="s">
        <v>38</v>
      </c>
      <c r="G51" s="72">
        <v>189</v>
      </c>
      <c r="H51" s="73">
        <v>2594</v>
      </c>
      <c r="I51" s="73">
        <v>-405</v>
      </c>
      <c r="J51" s="73">
        <v>-31</v>
      </c>
      <c r="K51" s="73">
        <v>-552</v>
      </c>
      <c r="L51" s="73">
        <v>-140</v>
      </c>
      <c r="M51" s="73">
        <v>-74</v>
      </c>
      <c r="N51" s="73">
        <v>-163</v>
      </c>
      <c r="O51" s="73">
        <v>-88</v>
      </c>
      <c r="P51" s="73">
        <v>-104</v>
      </c>
      <c r="Q51" s="73">
        <v>-78</v>
      </c>
      <c r="R51" s="73">
        <v>0</v>
      </c>
      <c r="S51" s="73">
        <v>0</v>
      </c>
      <c r="T51" s="73">
        <v>0</v>
      </c>
      <c r="U51" s="73">
        <v>0</v>
      </c>
      <c r="V51" s="73">
        <v>0</v>
      </c>
      <c r="W51" s="73">
        <v>0</v>
      </c>
      <c r="X51" s="73">
        <v>0</v>
      </c>
      <c r="Y51" s="73">
        <v>0</v>
      </c>
      <c r="Z51" s="73">
        <v>3549</v>
      </c>
      <c r="AA51" s="73">
        <v>2393</v>
      </c>
      <c r="AB51" s="73">
        <v>0</v>
      </c>
      <c r="AC51" s="73">
        <v>0</v>
      </c>
      <c r="AD51" s="73">
        <v>0</v>
      </c>
      <c r="AE51" s="73">
        <v>0</v>
      </c>
      <c r="AF51" s="74">
        <f>tblData[[#This Row],[Gross Sales]]+tblData[[#This Row],[Trade Discounts]]+tblData[[#This Row],[Returns]]</f>
        <v>2158</v>
      </c>
      <c r="AG51" s="74">
        <f>tblData[[#This Row],[Material Cost]]+tblData[[#This Row],[Conversion Cost]]+tblData[[#This Row],[Inbound Freight]]</f>
        <v>-766</v>
      </c>
      <c r="AH51" s="74">
        <f>tblData[[#This Row],[Net Revenue]]+tblData[[#This Row],[COGS]]</f>
        <v>1392</v>
      </c>
      <c r="AI51" s="74">
        <f>tblData[[#This Row],[Advertising]]+tblData[[#This Row],[Promotions]]</f>
        <v>-251</v>
      </c>
      <c r="AJ51" s="74">
        <f>tblData[[#This Row],[Outbound Logistics]]+tblData[[#This Row],[Direct Selling]]</f>
        <v>-182</v>
      </c>
      <c r="AK51" s="74">
        <f>tblData[[#This Row],[Gross Profit]]+tblData[[#This Row],[AP Spend]]+tblData[[#This Row],[Cost to Serve]]</f>
        <v>959</v>
      </c>
    </row>
    <row r="52" spans="2:37" x14ac:dyDescent="0.25">
      <c r="B52" s="71" t="s">
        <v>36</v>
      </c>
      <c r="C52" s="71">
        <v>2025</v>
      </c>
      <c r="D52" s="71">
        <v>1</v>
      </c>
      <c r="E52" s="71" t="s">
        <v>44</v>
      </c>
      <c r="F52" s="71" t="s">
        <v>39</v>
      </c>
      <c r="G52" s="72">
        <v>255.9</v>
      </c>
      <c r="H52" s="73">
        <v>2257</v>
      </c>
      <c r="I52" s="73">
        <v>-352</v>
      </c>
      <c r="J52" s="73">
        <v>-27</v>
      </c>
      <c r="K52" s="73">
        <v>-576</v>
      </c>
      <c r="L52" s="73">
        <v>-146</v>
      </c>
      <c r="M52" s="73">
        <v>-77</v>
      </c>
      <c r="N52" s="73">
        <v>-93</v>
      </c>
      <c r="O52" s="73">
        <v>-50</v>
      </c>
      <c r="P52" s="73">
        <v>-90</v>
      </c>
      <c r="Q52" s="73">
        <v>-68</v>
      </c>
      <c r="R52" s="73">
        <v>0</v>
      </c>
      <c r="S52" s="73">
        <v>0</v>
      </c>
      <c r="T52" s="73">
        <v>0</v>
      </c>
      <c r="U52" s="73">
        <v>0</v>
      </c>
      <c r="V52" s="73">
        <v>0</v>
      </c>
      <c r="W52" s="73">
        <v>0</v>
      </c>
      <c r="X52" s="73">
        <v>0</v>
      </c>
      <c r="Y52" s="73">
        <v>0</v>
      </c>
      <c r="Z52" s="73">
        <v>3089</v>
      </c>
      <c r="AA52" s="73">
        <v>2105</v>
      </c>
      <c r="AB52" s="73">
        <v>0</v>
      </c>
      <c r="AC52" s="73">
        <v>0</v>
      </c>
      <c r="AD52" s="73">
        <v>0</v>
      </c>
      <c r="AE52" s="73">
        <v>0</v>
      </c>
      <c r="AF52" s="74">
        <f>tblData[[#This Row],[Gross Sales]]+tblData[[#This Row],[Trade Discounts]]+tblData[[#This Row],[Returns]]</f>
        <v>1878</v>
      </c>
      <c r="AG52" s="74">
        <f>tblData[[#This Row],[Material Cost]]+tblData[[#This Row],[Conversion Cost]]+tblData[[#This Row],[Inbound Freight]]</f>
        <v>-799</v>
      </c>
      <c r="AH52" s="74">
        <f>tblData[[#This Row],[Net Revenue]]+tblData[[#This Row],[COGS]]</f>
        <v>1079</v>
      </c>
      <c r="AI52" s="74">
        <f>tblData[[#This Row],[Advertising]]+tblData[[#This Row],[Promotions]]</f>
        <v>-143</v>
      </c>
      <c r="AJ52" s="74">
        <f>tblData[[#This Row],[Outbound Logistics]]+tblData[[#This Row],[Direct Selling]]</f>
        <v>-158</v>
      </c>
      <c r="AK52" s="74">
        <f>tblData[[#This Row],[Gross Profit]]+tblData[[#This Row],[AP Spend]]+tblData[[#This Row],[Cost to Serve]]</f>
        <v>778</v>
      </c>
    </row>
    <row r="53" spans="2:37" x14ac:dyDescent="0.25">
      <c r="B53" s="71" t="s">
        <v>36</v>
      </c>
      <c r="C53" s="71">
        <v>2025</v>
      </c>
      <c r="D53" s="71">
        <v>1</v>
      </c>
      <c r="E53" s="71" t="s">
        <v>44</v>
      </c>
      <c r="F53" s="71" t="s">
        <v>40</v>
      </c>
      <c r="G53" s="72">
        <v>239.3</v>
      </c>
      <c r="H53" s="73">
        <v>1642</v>
      </c>
      <c r="I53" s="73">
        <v>-256</v>
      </c>
      <c r="J53" s="73">
        <v>-20</v>
      </c>
      <c r="K53" s="73">
        <v>-466</v>
      </c>
      <c r="L53" s="73">
        <v>-118</v>
      </c>
      <c r="M53" s="73">
        <v>-62</v>
      </c>
      <c r="N53" s="73">
        <v>-47</v>
      </c>
      <c r="O53" s="73">
        <v>-25</v>
      </c>
      <c r="P53" s="73">
        <v>-66</v>
      </c>
      <c r="Q53" s="73">
        <v>-49</v>
      </c>
      <c r="R53" s="73">
        <v>0</v>
      </c>
      <c r="S53" s="73">
        <v>0</v>
      </c>
      <c r="T53" s="73">
        <v>0</v>
      </c>
      <c r="U53" s="73">
        <v>0</v>
      </c>
      <c r="V53" s="73">
        <v>0</v>
      </c>
      <c r="W53" s="73">
        <v>0</v>
      </c>
      <c r="X53" s="73">
        <v>0</v>
      </c>
      <c r="Y53" s="73">
        <v>0</v>
      </c>
      <c r="Z53" s="73">
        <v>2247</v>
      </c>
      <c r="AA53" s="73">
        <v>1595</v>
      </c>
      <c r="AB53" s="73">
        <v>0</v>
      </c>
      <c r="AC53" s="73">
        <v>0</v>
      </c>
      <c r="AD53" s="73">
        <v>0</v>
      </c>
      <c r="AE53" s="73">
        <v>0</v>
      </c>
      <c r="AF53" s="74">
        <f>tblData[[#This Row],[Gross Sales]]+tblData[[#This Row],[Trade Discounts]]+tblData[[#This Row],[Returns]]</f>
        <v>1366</v>
      </c>
      <c r="AG53" s="74">
        <f>tblData[[#This Row],[Material Cost]]+tblData[[#This Row],[Conversion Cost]]+tblData[[#This Row],[Inbound Freight]]</f>
        <v>-646</v>
      </c>
      <c r="AH53" s="74">
        <f>tblData[[#This Row],[Net Revenue]]+tblData[[#This Row],[COGS]]</f>
        <v>720</v>
      </c>
      <c r="AI53" s="74">
        <f>tblData[[#This Row],[Advertising]]+tblData[[#This Row],[Promotions]]</f>
        <v>-72</v>
      </c>
      <c r="AJ53" s="74">
        <f>tblData[[#This Row],[Outbound Logistics]]+tblData[[#This Row],[Direct Selling]]</f>
        <v>-115</v>
      </c>
      <c r="AK53" s="74">
        <f>tblData[[#This Row],[Gross Profit]]+tblData[[#This Row],[AP Spend]]+tblData[[#This Row],[Cost to Serve]]</f>
        <v>533</v>
      </c>
    </row>
    <row r="54" spans="2:37" x14ac:dyDescent="0.25">
      <c r="B54" s="71" t="s">
        <v>36</v>
      </c>
      <c r="C54" s="71">
        <v>2025</v>
      </c>
      <c r="D54" s="71">
        <v>1</v>
      </c>
      <c r="E54" s="71" t="s">
        <v>44</v>
      </c>
      <c r="F54" s="71" t="s">
        <v>41</v>
      </c>
      <c r="G54" s="72">
        <v>126.2</v>
      </c>
      <c r="H54" s="73">
        <v>1361</v>
      </c>
      <c r="I54" s="73">
        <v>-212</v>
      </c>
      <c r="J54" s="73">
        <v>-16</v>
      </c>
      <c r="K54" s="73">
        <v>-318</v>
      </c>
      <c r="L54" s="73">
        <v>-81</v>
      </c>
      <c r="M54" s="73">
        <v>-43</v>
      </c>
      <c r="N54" s="73">
        <v>-100</v>
      </c>
      <c r="O54" s="73">
        <v>-54</v>
      </c>
      <c r="P54" s="73">
        <v>-54</v>
      </c>
      <c r="Q54" s="73">
        <v>-41</v>
      </c>
      <c r="R54" s="73">
        <v>0</v>
      </c>
      <c r="S54" s="73">
        <v>0</v>
      </c>
      <c r="T54" s="73">
        <v>0</v>
      </c>
      <c r="U54" s="73">
        <v>0</v>
      </c>
      <c r="V54" s="73">
        <v>0</v>
      </c>
      <c r="W54" s="73">
        <v>0</v>
      </c>
      <c r="X54" s="73">
        <v>0</v>
      </c>
      <c r="Y54" s="73">
        <v>0</v>
      </c>
      <c r="Z54" s="73">
        <v>1862</v>
      </c>
      <c r="AA54" s="73">
        <v>1308</v>
      </c>
      <c r="AB54" s="73">
        <v>0</v>
      </c>
      <c r="AC54" s="73">
        <v>0</v>
      </c>
      <c r="AD54" s="73">
        <v>0</v>
      </c>
      <c r="AE54" s="73">
        <v>0</v>
      </c>
      <c r="AF54" s="74">
        <f>tblData[[#This Row],[Gross Sales]]+tblData[[#This Row],[Trade Discounts]]+tblData[[#This Row],[Returns]]</f>
        <v>1133</v>
      </c>
      <c r="AG54" s="74">
        <f>tblData[[#This Row],[Material Cost]]+tblData[[#This Row],[Conversion Cost]]+tblData[[#This Row],[Inbound Freight]]</f>
        <v>-442</v>
      </c>
      <c r="AH54" s="74">
        <f>tblData[[#This Row],[Net Revenue]]+tblData[[#This Row],[COGS]]</f>
        <v>691</v>
      </c>
      <c r="AI54" s="74">
        <f>tblData[[#This Row],[Advertising]]+tblData[[#This Row],[Promotions]]</f>
        <v>-154</v>
      </c>
      <c r="AJ54" s="74">
        <f>tblData[[#This Row],[Outbound Logistics]]+tblData[[#This Row],[Direct Selling]]</f>
        <v>-95</v>
      </c>
      <c r="AK54" s="74">
        <f>tblData[[#This Row],[Gross Profit]]+tblData[[#This Row],[AP Spend]]+tblData[[#This Row],[Cost to Serve]]</f>
        <v>442</v>
      </c>
    </row>
    <row r="55" spans="2:37" x14ac:dyDescent="0.25">
      <c r="B55" s="71" t="s">
        <v>36</v>
      </c>
      <c r="C55" s="71">
        <v>2025</v>
      </c>
      <c r="D55" s="71">
        <v>1</v>
      </c>
      <c r="E55" s="71" t="s">
        <v>44</v>
      </c>
      <c r="F55" s="71" t="s">
        <v>42</v>
      </c>
      <c r="G55" s="72">
        <v>160.80000000000001</v>
      </c>
      <c r="H55" s="73">
        <v>946</v>
      </c>
      <c r="I55" s="73">
        <v>-148</v>
      </c>
      <c r="J55" s="73">
        <v>-11</v>
      </c>
      <c r="K55" s="73">
        <v>-295</v>
      </c>
      <c r="L55" s="73">
        <v>-75</v>
      </c>
      <c r="M55" s="73">
        <v>-40</v>
      </c>
      <c r="N55" s="73">
        <v>-19</v>
      </c>
      <c r="O55" s="73">
        <v>-10</v>
      </c>
      <c r="P55" s="73">
        <v>-38</v>
      </c>
      <c r="Q55" s="73">
        <v>-28</v>
      </c>
      <c r="R55" s="73">
        <v>0</v>
      </c>
      <c r="S55" s="73">
        <v>0</v>
      </c>
      <c r="T55" s="73">
        <v>0</v>
      </c>
      <c r="U55" s="73">
        <v>0</v>
      </c>
      <c r="V55" s="73">
        <v>0</v>
      </c>
      <c r="W55" s="73">
        <v>0</v>
      </c>
      <c r="X55" s="73">
        <v>0</v>
      </c>
      <c r="Y55" s="73">
        <v>0</v>
      </c>
      <c r="Z55" s="73">
        <v>1294</v>
      </c>
      <c r="AA55" s="73">
        <v>1482</v>
      </c>
      <c r="AB55" s="73">
        <v>0</v>
      </c>
      <c r="AC55" s="73">
        <v>0</v>
      </c>
      <c r="AD55" s="73">
        <v>0</v>
      </c>
      <c r="AE55" s="73">
        <v>0</v>
      </c>
      <c r="AF55" s="74">
        <f>tblData[[#This Row],[Gross Sales]]+tblData[[#This Row],[Trade Discounts]]+tblData[[#This Row],[Returns]]</f>
        <v>787</v>
      </c>
      <c r="AG55" s="74">
        <f>tblData[[#This Row],[Material Cost]]+tblData[[#This Row],[Conversion Cost]]+tblData[[#This Row],[Inbound Freight]]</f>
        <v>-410</v>
      </c>
      <c r="AH55" s="74">
        <f>tblData[[#This Row],[Net Revenue]]+tblData[[#This Row],[COGS]]</f>
        <v>377</v>
      </c>
      <c r="AI55" s="74">
        <f>tblData[[#This Row],[Advertising]]+tblData[[#This Row],[Promotions]]</f>
        <v>-29</v>
      </c>
      <c r="AJ55" s="74">
        <f>tblData[[#This Row],[Outbound Logistics]]+tblData[[#This Row],[Direct Selling]]</f>
        <v>-66</v>
      </c>
      <c r="AK55" s="74">
        <f>tblData[[#This Row],[Gross Profit]]+tblData[[#This Row],[AP Spend]]+tblData[[#This Row],[Cost to Serve]]</f>
        <v>282</v>
      </c>
    </row>
    <row r="56" spans="2:37" x14ac:dyDescent="0.25">
      <c r="B56" s="71" t="s">
        <v>36</v>
      </c>
      <c r="C56" s="71">
        <v>2025</v>
      </c>
      <c r="D56" s="71">
        <v>1</v>
      </c>
      <c r="E56" s="71" t="s">
        <v>44</v>
      </c>
      <c r="F56" s="71" t="s">
        <v>43</v>
      </c>
      <c r="G56" s="72">
        <v>32.1</v>
      </c>
      <c r="H56" s="73">
        <v>566</v>
      </c>
      <c r="I56" s="73">
        <v>-88</v>
      </c>
      <c r="J56" s="73">
        <v>-7</v>
      </c>
      <c r="K56" s="73">
        <v>-152</v>
      </c>
      <c r="L56" s="73">
        <v>-39</v>
      </c>
      <c r="M56" s="73">
        <v>-20</v>
      </c>
      <c r="N56" s="73">
        <v>-54</v>
      </c>
      <c r="O56" s="73">
        <v>-29</v>
      </c>
      <c r="P56" s="73">
        <v>-23</v>
      </c>
      <c r="Q56" s="73">
        <v>-17</v>
      </c>
      <c r="R56" s="73">
        <v>0</v>
      </c>
      <c r="S56" s="73">
        <v>0</v>
      </c>
      <c r="T56" s="73">
        <v>0</v>
      </c>
      <c r="U56" s="73">
        <v>0</v>
      </c>
      <c r="V56" s="73">
        <v>0</v>
      </c>
      <c r="W56" s="73">
        <v>0</v>
      </c>
      <c r="X56" s="73">
        <v>0</v>
      </c>
      <c r="Y56" s="73">
        <v>0</v>
      </c>
      <c r="Z56" s="73">
        <v>774</v>
      </c>
      <c r="AA56" s="73">
        <v>835</v>
      </c>
      <c r="AB56" s="73">
        <v>0</v>
      </c>
      <c r="AC56" s="73">
        <v>0</v>
      </c>
      <c r="AD56" s="73">
        <v>0</v>
      </c>
      <c r="AE56" s="73">
        <v>0</v>
      </c>
      <c r="AF56" s="74">
        <f>tblData[[#This Row],[Gross Sales]]+tblData[[#This Row],[Trade Discounts]]+tblData[[#This Row],[Returns]]</f>
        <v>471</v>
      </c>
      <c r="AG56" s="74">
        <f>tblData[[#This Row],[Material Cost]]+tblData[[#This Row],[Conversion Cost]]+tblData[[#This Row],[Inbound Freight]]</f>
        <v>-211</v>
      </c>
      <c r="AH56" s="74">
        <f>tblData[[#This Row],[Net Revenue]]+tblData[[#This Row],[COGS]]</f>
        <v>260</v>
      </c>
      <c r="AI56" s="74">
        <f>tblData[[#This Row],[Advertising]]+tblData[[#This Row],[Promotions]]</f>
        <v>-83</v>
      </c>
      <c r="AJ56" s="74">
        <f>tblData[[#This Row],[Outbound Logistics]]+tblData[[#This Row],[Direct Selling]]</f>
        <v>-40</v>
      </c>
      <c r="AK56" s="74">
        <f>tblData[[#This Row],[Gross Profit]]+tblData[[#This Row],[AP Spend]]+tblData[[#This Row],[Cost to Serve]]</f>
        <v>137</v>
      </c>
    </row>
    <row r="57" spans="2:37" x14ac:dyDescent="0.25">
      <c r="B57" s="71" t="s">
        <v>36</v>
      </c>
      <c r="C57" s="71">
        <v>2025</v>
      </c>
      <c r="D57" s="71">
        <v>1</v>
      </c>
      <c r="E57" s="71" t="s">
        <v>45</v>
      </c>
      <c r="F57" s="71" t="s">
        <v>38</v>
      </c>
      <c r="G57" s="72">
        <v>109.3</v>
      </c>
      <c r="H57" s="73">
        <v>1500</v>
      </c>
      <c r="I57" s="73">
        <v>-324</v>
      </c>
      <c r="J57" s="73">
        <v>-15</v>
      </c>
      <c r="K57" s="73">
        <v>-319</v>
      </c>
      <c r="L57" s="73">
        <v>-81</v>
      </c>
      <c r="M57" s="73">
        <v>-43</v>
      </c>
      <c r="N57" s="73">
        <v>-95</v>
      </c>
      <c r="O57" s="73">
        <v>-51</v>
      </c>
      <c r="P57" s="73">
        <v>-53</v>
      </c>
      <c r="Q57" s="73">
        <v>-30</v>
      </c>
      <c r="R57" s="73">
        <v>0</v>
      </c>
      <c r="S57" s="73">
        <v>0</v>
      </c>
      <c r="T57" s="73">
        <v>0</v>
      </c>
      <c r="U57" s="73">
        <v>0</v>
      </c>
      <c r="V57" s="73">
        <v>0</v>
      </c>
      <c r="W57" s="73">
        <v>0</v>
      </c>
      <c r="X57" s="73">
        <v>0</v>
      </c>
      <c r="Y57" s="73">
        <v>0</v>
      </c>
      <c r="Z57" s="73">
        <v>1719</v>
      </c>
      <c r="AA57" s="73">
        <v>1384</v>
      </c>
      <c r="AB57" s="73">
        <v>0</v>
      </c>
      <c r="AC57" s="73">
        <v>0</v>
      </c>
      <c r="AD57" s="73">
        <v>0</v>
      </c>
      <c r="AE57" s="73">
        <v>0</v>
      </c>
      <c r="AF57" s="74">
        <f>tblData[[#This Row],[Gross Sales]]+tblData[[#This Row],[Trade Discounts]]+tblData[[#This Row],[Returns]]</f>
        <v>1161</v>
      </c>
      <c r="AG57" s="74">
        <f>tblData[[#This Row],[Material Cost]]+tblData[[#This Row],[Conversion Cost]]+tblData[[#This Row],[Inbound Freight]]</f>
        <v>-443</v>
      </c>
      <c r="AH57" s="74">
        <f>tblData[[#This Row],[Net Revenue]]+tblData[[#This Row],[COGS]]</f>
        <v>718</v>
      </c>
      <c r="AI57" s="74">
        <f>tblData[[#This Row],[Advertising]]+tblData[[#This Row],[Promotions]]</f>
        <v>-146</v>
      </c>
      <c r="AJ57" s="74">
        <f>tblData[[#This Row],[Outbound Logistics]]+tblData[[#This Row],[Direct Selling]]</f>
        <v>-83</v>
      </c>
      <c r="AK57" s="74">
        <f>tblData[[#This Row],[Gross Profit]]+tblData[[#This Row],[AP Spend]]+tblData[[#This Row],[Cost to Serve]]</f>
        <v>489</v>
      </c>
    </row>
    <row r="58" spans="2:37" x14ac:dyDescent="0.25">
      <c r="B58" s="71" t="s">
        <v>36</v>
      </c>
      <c r="C58" s="71">
        <v>2025</v>
      </c>
      <c r="D58" s="71">
        <v>1</v>
      </c>
      <c r="E58" s="71" t="s">
        <v>45</v>
      </c>
      <c r="F58" s="71" t="s">
        <v>39</v>
      </c>
      <c r="G58" s="72">
        <v>146.4</v>
      </c>
      <c r="H58" s="73">
        <v>1291</v>
      </c>
      <c r="I58" s="73">
        <v>-279</v>
      </c>
      <c r="J58" s="73">
        <v>-13</v>
      </c>
      <c r="K58" s="73">
        <v>-330</v>
      </c>
      <c r="L58" s="73">
        <v>-84</v>
      </c>
      <c r="M58" s="73">
        <v>-44</v>
      </c>
      <c r="N58" s="73">
        <v>-54</v>
      </c>
      <c r="O58" s="73">
        <v>-29</v>
      </c>
      <c r="P58" s="73">
        <v>-45</v>
      </c>
      <c r="Q58" s="73">
        <v>-26</v>
      </c>
      <c r="R58" s="73">
        <v>0</v>
      </c>
      <c r="S58" s="73">
        <v>0</v>
      </c>
      <c r="T58" s="73">
        <v>0</v>
      </c>
      <c r="U58" s="73">
        <v>0</v>
      </c>
      <c r="V58" s="73">
        <v>0</v>
      </c>
      <c r="W58" s="73">
        <v>0</v>
      </c>
      <c r="X58" s="73">
        <v>0</v>
      </c>
      <c r="Y58" s="73">
        <v>0</v>
      </c>
      <c r="Z58" s="73">
        <v>1480</v>
      </c>
      <c r="AA58" s="73">
        <v>1204</v>
      </c>
      <c r="AB58" s="73">
        <v>0</v>
      </c>
      <c r="AC58" s="73">
        <v>0</v>
      </c>
      <c r="AD58" s="73">
        <v>0</v>
      </c>
      <c r="AE58" s="73">
        <v>0</v>
      </c>
      <c r="AF58" s="74">
        <f>tblData[[#This Row],[Gross Sales]]+tblData[[#This Row],[Trade Discounts]]+tblData[[#This Row],[Returns]]</f>
        <v>999</v>
      </c>
      <c r="AG58" s="74">
        <f>tblData[[#This Row],[Material Cost]]+tblData[[#This Row],[Conversion Cost]]+tblData[[#This Row],[Inbound Freight]]</f>
        <v>-458</v>
      </c>
      <c r="AH58" s="74">
        <f>tblData[[#This Row],[Net Revenue]]+tblData[[#This Row],[COGS]]</f>
        <v>541</v>
      </c>
      <c r="AI58" s="74">
        <f>tblData[[#This Row],[Advertising]]+tblData[[#This Row],[Promotions]]</f>
        <v>-83</v>
      </c>
      <c r="AJ58" s="74">
        <f>tblData[[#This Row],[Outbound Logistics]]+tblData[[#This Row],[Direct Selling]]</f>
        <v>-71</v>
      </c>
      <c r="AK58" s="74">
        <f>tblData[[#This Row],[Gross Profit]]+tblData[[#This Row],[AP Spend]]+tblData[[#This Row],[Cost to Serve]]</f>
        <v>387</v>
      </c>
    </row>
    <row r="59" spans="2:37" x14ac:dyDescent="0.25">
      <c r="B59" s="71" t="s">
        <v>36</v>
      </c>
      <c r="C59" s="71">
        <v>2025</v>
      </c>
      <c r="D59" s="71">
        <v>1</v>
      </c>
      <c r="E59" s="71" t="s">
        <v>45</v>
      </c>
      <c r="F59" s="71" t="s">
        <v>40</v>
      </c>
      <c r="G59" s="72">
        <v>146.80000000000001</v>
      </c>
      <c r="H59" s="73">
        <v>1007</v>
      </c>
      <c r="I59" s="73">
        <v>-218</v>
      </c>
      <c r="J59" s="73">
        <v>-10</v>
      </c>
      <c r="K59" s="73">
        <v>-286</v>
      </c>
      <c r="L59" s="73">
        <v>-73</v>
      </c>
      <c r="M59" s="73">
        <v>-38</v>
      </c>
      <c r="N59" s="73">
        <v>-27</v>
      </c>
      <c r="O59" s="73">
        <v>-15</v>
      </c>
      <c r="P59" s="73">
        <v>-35</v>
      </c>
      <c r="Q59" s="73">
        <v>-20</v>
      </c>
      <c r="R59" s="73">
        <v>0</v>
      </c>
      <c r="S59" s="73">
        <v>0</v>
      </c>
      <c r="T59" s="73">
        <v>0</v>
      </c>
      <c r="U59" s="73">
        <v>0</v>
      </c>
      <c r="V59" s="73">
        <v>0</v>
      </c>
      <c r="W59" s="73">
        <v>0</v>
      </c>
      <c r="X59" s="73">
        <v>0</v>
      </c>
      <c r="Y59" s="73">
        <v>0</v>
      </c>
      <c r="Z59" s="73">
        <v>1154</v>
      </c>
      <c r="AA59" s="73">
        <v>978</v>
      </c>
      <c r="AB59" s="73">
        <v>0</v>
      </c>
      <c r="AC59" s="73">
        <v>0</v>
      </c>
      <c r="AD59" s="73">
        <v>0</v>
      </c>
      <c r="AE59" s="73">
        <v>0</v>
      </c>
      <c r="AF59" s="74">
        <f>tblData[[#This Row],[Gross Sales]]+tblData[[#This Row],[Trade Discounts]]+tblData[[#This Row],[Returns]]</f>
        <v>779</v>
      </c>
      <c r="AG59" s="74">
        <f>tblData[[#This Row],[Material Cost]]+tblData[[#This Row],[Conversion Cost]]+tblData[[#This Row],[Inbound Freight]]</f>
        <v>-397</v>
      </c>
      <c r="AH59" s="74">
        <f>tblData[[#This Row],[Net Revenue]]+tblData[[#This Row],[COGS]]</f>
        <v>382</v>
      </c>
      <c r="AI59" s="74">
        <f>tblData[[#This Row],[Advertising]]+tblData[[#This Row],[Promotions]]</f>
        <v>-42</v>
      </c>
      <c r="AJ59" s="74">
        <f>tblData[[#This Row],[Outbound Logistics]]+tblData[[#This Row],[Direct Selling]]</f>
        <v>-55</v>
      </c>
      <c r="AK59" s="74">
        <f>tblData[[#This Row],[Gross Profit]]+tblData[[#This Row],[AP Spend]]+tblData[[#This Row],[Cost to Serve]]</f>
        <v>285</v>
      </c>
    </row>
    <row r="60" spans="2:37" x14ac:dyDescent="0.25">
      <c r="B60" s="71" t="s">
        <v>36</v>
      </c>
      <c r="C60" s="71">
        <v>2025</v>
      </c>
      <c r="D60" s="71">
        <v>1</v>
      </c>
      <c r="E60" s="71" t="s">
        <v>45</v>
      </c>
      <c r="F60" s="71" t="s">
        <v>41</v>
      </c>
      <c r="G60" s="72">
        <v>71.3</v>
      </c>
      <c r="H60" s="73">
        <v>768</v>
      </c>
      <c r="I60" s="73">
        <v>-166</v>
      </c>
      <c r="J60" s="73">
        <v>-8</v>
      </c>
      <c r="K60" s="73">
        <v>-180</v>
      </c>
      <c r="L60" s="73">
        <v>-46</v>
      </c>
      <c r="M60" s="73">
        <v>-24</v>
      </c>
      <c r="N60" s="73">
        <v>-58</v>
      </c>
      <c r="O60" s="73">
        <v>-31</v>
      </c>
      <c r="P60" s="73">
        <v>-27</v>
      </c>
      <c r="Q60" s="73">
        <v>-15</v>
      </c>
      <c r="R60" s="73">
        <v>0</v>
      </c>
      <c r="S60" s="73">
        <v>0</v>
      </c>
      <c r="T60" s="73">
        <v>0</v>
      </c>
      <c r="U60" s="73">
        <v>0</v>
      </c>
      <c r="V60" s="73">
        <v>0</v>
      </c>
      <c r="W60" s="73">
        <v>0</v>
      </c>
      <c r="X60" s="73">
        <v>0</v>
      </c>
      <c r="Y60" s="73">
        <v>0</v>
      </c>
      <c r="Z60" s="73">
        <v>880</v>
      </c>
      <c r="AA60" s="73">
        <v>739</v>
      </c>
      <c r="AB60" s="73">
        <v>0</v>
      </c>
      <c r="AC60" s="73">
        <v>0</v>
      </c>
      <c r="AD60" s="73">
        <v>0</v>
      </c>
      <c r="AE60" s="73">
        <v>0</v>
      </c>
      <c r="AF60" s="74">
        <f>tblData[[#This Row],[Gross Sales]]+tblData[[#This Row],[Trade Discounts]]+tblData[[#This Row],[Returns]]</f>
        <v>594</v>
      </c>
      <c r="AG60" s="74">
        <f>tblData[[#This Row],[Material Cost]]+tblData[[#This Row],[Conversion Cost]]+tblData[[#This Row],[Inbound Freight]]</f>
        <v>-250</v>
      </c>
      <c r="AH60" s="74">
        <f>tblData[[#This Row],[Net Revenue]]+tblData[[#This Row],[COGS]]</f>
        <v>344</v>
      </c>
      <c r="AI60" s="74">
        <f>tblData[[#This Row],[Advertising]]+tblData[[#This Row],[Promotions]]</f>
        <v>-89</v>
      </c>
      <c r="AJ60" s="74">
        <f>tblData[[#This Row],[Outbound Logistics]]+tblData[[#This Row],[Direct Selling]]</f>
        <v>-42</v>
      </c>
      <c r="AK60" s="74">
        <f>tblData[[#This Row],[Gross Profit]]+tblData[[#This Row],[AP Spend]]+tblData[[#This Row],[Cost to Serve]]</f>
        <v>213</v>
      </c>
    </row>
    <row r="61" spans="2:37" x14ac:dyDescent="0.25">
      <c r="B61" s="71" t="s">
        <v>36</v>
      </c>
      <c r="C61" s="71">
        <v>2025</v>
      </c>
      <c r="D61" s="71">
        <v>1</v>
      </c>
      <c r="E61" s="71" t="s">
        <v>45</v>
      </c>
      <c r="F61" s="71" t="s">
        <v>42</v>
      </c>
      <c r="G61" s="72">
        <v>91.9</v>
      </c>
      <c r="H61" s="73">
        <v>541</v>
      </c>
      <c r="I61" s="73">
        <v>-117</v>
      </c>
      <c r="J61" s="73">
        <v>-5</v>
      </c>
      <c r="K61" s="73">
        <v>-169</v>
      </c>
      <c r="L61" s="73">
        <v>-43</v>
      </c>
      <c r="M61" s="73">
        <v>-23</v>
      </c>
      <c r="N61" s="73">
        <v>-11</v>
      </c>
      <c r="O61" s="73">
        <v>-6</v>
      </c>
      <c r="P61" s="73">
        <v>-19</v>
      </c>
      <c r="Q61" s="73">
        <v>-11</v>
      </c>
      <c r="R61" s="73">
        <v>0</v>
      </c>
      <c r="S61" s="73">
        <v>0</v>
      </c>
      <c r="T61" s="73">
        <v>0</v>
      </c>
      <c r="U61" s="73">
        <v>0</v>
      </c>
      <c r="V61" s="73">
        <v>0</v>
      </c>
      <c r="W61" s="73">
        <v>0</v>
      </c>
      <c r="X61" s="73">
        <v>0</v>
      </c>
      <c r="Y61" s="73">
        <v>0</v>
      </c>
      <c r="Z61" s="73">
        <v>619</v>
      </c>
      <c r="AA61" s="73">
        <v>847</v>
      </c>
      <c r="AB61" s="73">
        <v>0</v>
      </c>
      <c r="AC61" s="73">
        <v>0</v>
      </c>
      <c r="AD61" s="73">
        <v>0</v>
      </c>
      <c r="AE61" s="73">
        <v>0</v>
      </c>
      <c r="AF61" s="74">
        <f>tblData[[#This Row],[Gross Sales]]+tblData[[#This Row],[Trade Discounts]]+tblData[[#This Row],[Returns]]</f>
        <v>419</v>
      </c>
      <c r="AG61" s="74">
        <f>tblData[[#This Row],[Material Cost]]+tblData[[#This Row],[Conversion Cost]]+tblData[[#This Row],[Inbound Freight]]</f>
        <v>-235</v>
      </c>
      <c r="AH61" s="74">
        <f>tblData[[#This Row],[Net Revenue]]+tblData[[#This Row],[COGS]]</f>
        <v>184</v>
      </c>
      <c r="AI61" s="74">
        <f>tblData[[#This Row],[Advertising]]+tblData[[#This Row],[Promotions]]</f>
        <v>-17</v>
      </c>
      <c r="AJ61" s="74">
        <f>tblData[[#This Row],[Outbound Logistics]]+tblData[[#This Row],[Direct Selling]]</f>
        <v>-30</v>
      </c>
      <c r="AK61" s="74">
        <f>tblData[[#This Row],[Gross Profit]]+tblData[[#This Row],[AP Spend]]+tblData[[#This Row],[Cost to Serve]]</f>
        <v>137</v>
      </c>
    </row>
    <row r="62" spans="2:37" x14ac:dyDescent="0.25">
      <c r="B62" s="71" t="s">
        <v>36</v>
      </c>
      <c r="C62" s="71">
        <v>2025</v>
      </c>
      <c r="D62" s="71">
        <v>1</v>
      </c>
      <c r="E62" s="71" t="s">
        <v>45</v>
      </c>
      <c r="F62" s="71" t="s">
        <v>43</v>
      </c>
      <c r="G62" s="72">
        <v>18.600000000000001</v>
      </c>
      <c r="H62" s="73">
        <v>328</v>
      </c>
      <c r="I62" s="73">
        <v>-71</v>
      </c>
      <c r="J62" s="73">
        <v>-3</v>
      </c>
      <c r="K62" s="73">
        <v>-88</v>
      </c>
      <c r="L62" s="73">
        <v>-22</v>
      </c>
      <c r="M62" s="73">
        <v>-12</v>
      </c>
      <c r="N62" s="73">
        <v>-32</v>
      </c>
      <c r="O62" s="73">
        <v>-17</v>
      </c>
      <c r="P62" s="73">
        <v>-11</v>
      </c>
      <c r="Q62" s="73">
        <v>-7</v>
      </c>
      <c r="R62" s="73">
        <v>0</v>
      </c>
      <c r="S62" s="73">
        <v>0</v>
      </c>
      <c r="T62" s="73">
        <v>0</v>
      </c>
      <c r="U62" s="73">
        <v>0</v>
      </c>
      <c r="V62" s="73">
        <v>0</v>
      </c>
      <c r="W62" s="73">
        <v>0</v>
      </c>
      <c r="X62" s="73">
        <v>0</v>
      </c>
      <c r="Y62" s="73">
        <v>0</v>
      </c>
      <c r="Z62" s="73">
        <v>376</v>
      </c>
      <c r="AA62" s="73">
        <v>485</v>
      </c>
      <c r="AB62" s="73">
        <v>0</v>
      </c>
      <c r="AC62" s="73">
        <v>0</v>
      </c>
      <c r="AD62" s="73">
        <v>0</v>
      </c>
      <c r="AE62" s="73">
        <v>0</v>
      </c>
      <c r="AF62" s="74">
        <f>tblData[[#This Row],[Gross Sales]]+tblData[[#This Row],[Trade Discounts]]+tblData[[#This Row],[Returns]]</f>
        <v>254</v>
      </c>
      <c r="AG62" s="74">
        <f>tblData[[#This Row],[Material Cost]]+tblData[[#This Row],[Conversion Cost]]+tblData[[#This Row],[Inbound Freight]]</f>
        <v>-122</v>
      </c>
      <c r="AH62" s="74">
        <f>tblData[[#This Row],[Net Revenue]]+tblData[[#This Row],[COGS]]</f>
        <v>132</v>
      </c>
      <c r="AI62" s="74">
        <f>tblData[[#This Row],[Advertising]]+tblData[[#This Row],[Promotions]]</f>
        <v>-49</v>
      </c>
      <c r="AJ62" s="74">
        <f>tblData[[#This Row],[Outbound Logistics]]+tblData[[#This Row],[Direct Selling]]</f>
        <v>-18</v>
      </c>
      <c r="AK62" s="74">
        <f>tblData[[#This Row],[Gross Profit]]+tblData[[#This Row],[AP Spend]]+tblData[[#This Row],[Cost to Serve]]</f>
        <v>65</v>
      </c>
    </row>
    <row r="63" spans="2:37" x14ac:dyDescent="0.25">
      <c r="B63" s="71" t="s">
        <v>36</v>
      </c>
      <c r="C63" s="71">
        <v>2025</v>
      </c>
      <c r="D63" s="71">
        <v>1</v>
      </c>
      <c r="E63" s="71" t="s">
        <v>46</v>
      </c>
      <c r="F63" s="71" t="s">
        <v>38</v>
      </c>
      <c r="G63" s="72">
        <v>114.6</v>
      </c>
      <c r="H63" s="73">
        <v>1573</v>
      </c>
      <c r="I63" s="73">
        <v>-167</v>
      </c>
      <c r="J63" s="73">
        <v>-63</v>
      </c>
      <c r="K63" s="73">
        <v>-335</v>
      </c>
      <c r="L63" s="73">
        <v>-85</v>
      </c>
      <c r="M63" s="73">
        <v>-45</v>
      </c>
      <c r="N63" s="73">
        <v>-109</v>
      </c>
      <c r="O63" s="73">
        <v>-59</v>
      </c>
      <c r="P63" s="73">
        <v>-118</v>
      </c>
      <c r="Q63" s="73">
        <v>-31</v>
      </c>
      <c r="R63" s="73">
        <v>0</v>
      </c>
      <c r="S63" s="73">
        <v>0</v>
      </c>
      <c r="T63" s="73">
        <v>0</v>
      </c>
      <c r="U63" s="73">
        <v>0</v>
      </c>
      <c r="V63" s="73">
        <v>0</v>
      </c>
      <c r="W63" s="73">
        <v>0</v>
      </c>
      <c r="X63" s="73">
        <v>0</v>
      </c>
      <c r="Y63" s="73">
        <v>0</v>
      </c>
      <c r="Z63" s="73">
        <v>1104</v>
      </c>
      <c r="AA63" s="73">
        <v>1451</v>
      </c>
      <c r="AB63" s="73">
        <v>0</v>
      </c>
      <c r="AC63" s="73">
        <v>0</v>
      </c>
      <c r="AD63" s="73">
        <v>0</v>
      </c>
      <c r="AE63" s="73">
        <v>0</v>
      </c>
      <c r="AF63" s="74">
        <f>tblData[[#This Row],[Gross Sales]]+tblData[[#This Row],[Trade Discounts]]+tblData[[#This Row],[Returns]]</f>
        <v>1343</v>
      </c>
      <c r="AG63" s="74">
        <f>tblData[[#This Row],[Material Cost]]+tblData[[#This Row],[Conversion Cost]]+tblData[[#This Row],[Inbound Freight]]</f>
        <v>-465</v>
      </c>
      <c r="AH63" s="74">
        <f>tblData[[#This Row],[Net Revenue]]+tblData[[#This Row],[COGS]]</f>
        <v>878</v>
      </c>
      <c r="AI63" s="74">
        <f>tblData[[#This Row],[Advertising]]+tblData[[#This Row],[Promotions]]</f>
        <v>-168</v>
      </c>
      <c r="AJ63" s="74">
        <f>tblData[[#This Row],[Outbound Logistics]]+tblData[[#This Row],[Direct Selling]]</f>
        <v>-149</v>
      </c>
      <c r="AK63" s="74">
        <f>tblData[[#This Row],[Gross Profit]]+tblData[[#This Row],[AP Spend]]+tblData[[#This Row],[Cost to Serve]]</f>
        <v>561</v>
      </c>
    </row>
    <row r="64" spans="2:37" x14ac:dyDescent="0.25">
      <c r="B64" s="71" t="s">
        <v>36</v>
      </c>
      <c r="C64" s="71">
        <v>2025</v>
      </c>
      <c r="D64" s="71">
        <v>1</v>
      </c>
      <c r="E64" s="71" t="s">
        <v>46</v>
      </c>
      <c r="F64" s="71" t="s">
        <v>39</v>
      </c>
      <c r="G64" s="72">
        <v>154.30000000000001</v>
      </c>
      <c r="H64" s="73">
        <v>1361</v>
      </c>
      <c r="I64" s="73">
        <v>-144</v>
      </c>
      <c r="J64" s="73">
        <v>-54</v>
      </c>
      <c r="K64" s="73">
        <v>-347</v>
      </c>
      <c r="L64" s="73">
        <v>-88</v>
      </c>
      <c r="M64" s="73">
        <v>-47</v>
      </c>
      <c r="N64" s="73">
        <v>-62</v>
      </c>
      <c r="O64" s="73">
        <v>-34</v>
      </c>
      <c r="P64" s="73">
        <v>-102</v>
      </c>
      <c r="Q64" s="73">
        <v>-27</v>
      </c>
      <c r="R64" s="73">
        <v>0</v>
      </c>
      <c r="S64" s="73">
        <v>0</v>
      </c>
      <c r="T64" s="73">
        <v>0</v>
      </c>
      <c r="U64" s="73">
        <v>0</v>
      </c>
      <c r="V64" s="73">
        <v>0</v>
      </c>
      <c r="W64" s="73">
        <v>0</v>
      </c>
      <c r="X64" s="73">
        <v>0</v>
      </c>
      <c r="Y64" s="73">
        <v>0</v>
      </c>
      <c r="Z64" s="73">
        <v>956</v>
      </c>
      <c r="AA64" s="73">
        <v>1269</v>
      </c>
      <c r="AB64" s="73">
        <v>0</v>
      </c>
      <c r="AC64" s="73">
        <v>0</v>
      </c>
      <c r="AD64" s="73">
        <v>0</v>
      </c>
      <c r="AE64" s="73">
        <v>0</v>
      </c>
      <c r="AF64" s="74">
        <f>tblData[[#This Row],[Gross Sales]]+tblData[[#This Row],[Trade Discounts]]+tblData[[#This Row],[Returns]]</f>
        <v>1163</v>
      </c>
      <c r="AG64" s="74">
        <f>tblData[[#This Row],[Material Cost]]+tblData[[#This Row],[Conversion Cost]]+tblData[[#This Row],[Inbound Freight]]</f>
        <v>-482</v>
      </c>
      <c r="AH64" s="74">
        <f>tblData[[#This Row],[Net Revenue]]+tblData[[#This Row],[COGS]]</f>
        <v>681</v>
      </c>
      <c r="AI64" s="74">
        <f>tblData[[#This Row],[Advertising]]+tblData[[#This Row],[Promotions]]</f>
        <v>-96</v>
      </c>
      <c r="AJ64" s="74">
        <f>tblData[[#This Row],[Outbound Logistics]]+tblData[[#This Row],[Direct Selling]]</f>
        <v>-129</v>
      </c>
      <c r="AK64" s="74">
        <f>tblData[[#This Row],[Gross Profit]]+tblData[[#This Row],[AP Spend]]+tblData[[#This Row],[Cost to Serve]]</f>
        <v>456</v>
      </c>
    </row>
    <row r="65" spans="2:37" x14ac:dyDescent="0.25">
      <c r="B65" s="71" t="s">
        <v>36</v>
      </c>
      <c r="C65" s="71">
        <v>2025</v>
      </c>
      <c r="D65" s="71">
        <v>1</v>
      </c>
      <c r="E65" s="71" t="s">
        <v>46</v>
      </c>
      <c r="F65" s="71" t="s">
        <v>40</v>
      </c>
      <c r="G65" s="72">
        <v>147.9</v>
      </c>
      <c r="H65" s="73">
        <v>1015</v>
      </c>
      <c r="I65" s="73">
        <v>-108</v>
      </c>
      <c r="J65" s="73">
        <v>-41</v>
      </c>
      <c r="K65" s="73">
        <v>-288</v>
      </c>
      <c r="L65" s="73">
        <v>-73</v>
      </c>
      <c r="M65" s="73">
        <v>-39</v>
      </c>
      <c r="N65" s="73">
        <v>-31</v>
      </c>
      <c r="O65" s="73">
        <v>-17</v>
      </c>
      <c r="P65" s="73">
        <v>-76</v>
      </c>
      <c r="Q65" s="73">
        <v>-20</v>
      </c>
      <c r="R65" s="73">
        <v>0</v>
      </c>
      <c r="S65" s="73">
        <v>0</v>
      </c>
      <c r="T65" s="73">
        <v>0</v>
      </c>
      <c r="U65" s="73">
        <v>0</v>
      </c>
      <c r="V65" s="73">
        <v>0</v>
      </c>
      <c r="W65" s="73">
        <v>0</v>
      </c>
      <c r="X65" s="73">
        <v>0</v>
      </c>
      <c r="Y65" s="73">
        <v>0</v>
      </c>
      <c r="Z65" s="73">
        <v>713</v>
      </c>
      <c r="AA65" s="73">
        <v>986</v>
      </c>
      <c r="AB65" s="73">
        <v>0</v>
      </c>
      <c r="AC65" s="73">
        <v>0</v>
      </c>
      <c r="AD65" s="73">
        <v>0</v>
      </c>
      <c r="AE65" s="73">
        <v>0</v>
      </c>
      <c r="AF65" s="74">
        <f>tblData[[#This Row],[Gross Sales]]+tblData[[#This Row],[Trade Discounts]]+tblData[[#This Row],[Returns]]</f>
        <v>866</v>
      </c>
      <c r="AG65" s="74">
        <f>tblData[[#This Row],[Material Cost]]+tblData[[#This Row],[Conversion Cost]]+tblData[[#This Row],[Inbound Freight]]</f>
        <v>-400</v>
      </c>
      <c r="AH65" s="74">
        <f>tblData[[#This Row],[Net Revenue]]+tblData[[#This Row],[COGS]]</f>
        <v>466</v>
      </c>
      <c r="AI65" s="74">
        <f>tblData[[#This Row],[Advertising]]+tblData[[#This Row],[Promotions]]</f>
        <v>-48</v>
      </c>
      <c r="AJ65" s="74">
        <f>tblData[[#This Row],[Outbound Logistics]]+tblData[[#This Row],[Direct Selling]]</f>
        <v>-96</v>
      </c>
      <c r="AK65" s="74">
        <f>tblData[[#This Row],[Gross Profit]]+tblData[[#This Row],[AP Spend]]+tblData[[#This Row],[Cost to Serve]]</f>
        <v>322</v>
      </c>
    </row>
    <row r="66" spans="2:37" x14ac:dyDescent="0.25">
      <c r="B66" s="71" t="s">
        <v>36</v>
      </c>
      <c r="C66" s="71">
        <v>2025</v>
      </c>
      <c r="D66" s="71">
        <v>1</v>
      </c>
      <c r="E66" s="71" t="s">
        <v>46</v>
      </c>
      <c r="F66" s="71" t="s">
        <v>41</v>
      </c>
      <c r="G66" s="72">
        <v>72.599999999999994</v>
      </c>
      <c r="H66" s="73">
        <v>783</v>
      </c>
      <c r="I66" s="73">
        <v>-83</v>
      </c>
      <c r="J66" s="73">
        <v>-31</v>
      </c>
      <c r="K66" s="73">
        <v>-183</v>
      </c>
      <c r="L66" s="73">
        <v>-46</v>
      </c>
      <c r="M66" s="73">
        <v>-25</v>
      </c>
      <c r="N66" s="73">
        <v>-67</v>
      </c>
      <c r="O66" s="73">
        <v>-36</v>
      </c>
      <c r="P66" s="73">
        <v>-59</v>
      </c>
      <c r="Q66" s="73">
        <v>-16</v>
      </c>
      <c r="R66" s="73">
        <v>0</v>
      </c>
      <c r="S66" s="73">
        <v>0</v>
      </c>
      <c r="T66" s="73">
        <v>0</v>
      </c>
      <c r="U66" s="73">
        <v>0</v>
      </c>
      <c r="V66" s="73">
        <v>0</v>
      </c>
      <c r="W66" s="73">
        <v>0</v>
      </c>
      <c r="X66" s="73">
        <v>0</v>
      </c>
      <c r="Y66" s="73">
        <v>0</v>
      </c>
      <c r="Z66" s="73">
        <v>550</v>
      </c>
      <c r="AA66" s="73">
        <v>753</v>
      </c>
      <c r="AB66" s="73">
        <v>0</v>
      </c>
      <c r="AC66" s="73">
        <v>0</v>
      </c>
      <c r="AD66" s="73">
        <v>0</v>
      </c>
      <c r="AE66" s="73">
        <v>0</v>
      </c>
      <c r="AF66" s="74">
        <f>tblData[[#This Row],[Gross Sales]]+tblData[[#This Row],[Trade Discounts]]+tblData[[#This Row],[Returns]]</f>
        <v>669</v>
      </c>
      <c r="AG66" s="74">
        <f>tblData[[#This Row],[Material Cost]]+tblData[[#This Row],[Conversion Cost]]+tblData[[#This Row],[Inbound Freight]]</f>
        <v>-254</v>
      </c>
      <c r="AH66" s="74">
        <f>tblData[[#This Row],[Net Revenue]]+tblData[[#This Row],[COGS]]</f>
        <v>415</v>
      </c>
      <c r="AI66" s="74">
        <f>tblData[[#This Row],[Advertising]]+tblData[[#This Row],[Promotions]]</f>
        <v>-103</v>
      </c>
      <c r="AJ66" s="74">
        <f>tblData[[#This Row],[Outbound Logistics]]+tblData[[#This Row],[Direct Selling]]</f>
        <v>-75</v>
      </c>
      <c r="AK66" s="74">
        <f>tblData[[#This Row],[Gross Profit]]+tblData[[#This Row],[AP Spend]]+tblData[[#This Row],[Cost to Serve]]</f>
        <v>237</v>
      </c>
    </row>
    <row r="67" spans="2:37" x14ac:dyDescent="0.25">
      <c r="B67" s="71" t="s">
        <v>36</v>
      </c>
      <c r="C67" s="71">
        <v>2025</v>
      </c>
      <c r="D67" s="71">
        <v>1</v>
      </c>
      <c r="E67" s="71" t="s">
        <v>46</v>
      </c>
      <c r="F67" s="71" t="s">
        <v>42</v>
      </c>
      <c r="G67" s="72">
        <v>100.6</v>
      </c>
      <c r="H67" s="73">
        <v>592</v>
      </c>
      <c r="I67" s="73">
        <v>-63</v>
      </c>
      <c r="J67" s="73">
        <v>-24</v>
      </c>
      <c r="K67" s="73">
        <v>-185</v>
      </c>
      <c r="L67" s="73">
        <v>-47</v>
      </c>
      <c r="M67" s="73">
        <v>-25</v>
      </c>
      <c r="N67" s="73">
        <v>-13</v>
      </c>
      <c r="O67" s="73">
        <v>-7</v>
      </c>
      <c r="P67" s="73">
        <v>-44</v>
      </c>
      <c r="Q67" s="73">
        <v>-12</v>
      </c>
      <c r="R67" s="73">
        <v>0</v>
      </c>
      <c r="S67" s="73">
        <v>0</v>
      </c>
      <c r="T67" s="73">
        <v>0</v>
      </c>
      <c r="U67" s="73">
        <v>0</v>
      </c>
      <c r="V67" s="73">
        <v>0</v>
      </c>
      <c r="W67" s="73">
        <v>0</v>
      </c>
      <c r="X67" s="73">
        <v>0</v>
      </c>
      <c r="Y67" s="73">
        <v>0</v>
      </c>
      <c r="Z67" s="73">
        <v>416</v>
      </c>
      <c r="AA67" s="73">
        <v>927</v>
      </c>
      <c r="AB67" s="73">
        <v>0</v>
      </c>
      <c r="AC67" s="73">
        <v>0</v>
      </c>
      <c r="AD67" s="73">
        <v>0</v>
      </c>
      <c r="AE67" s="73">
        <v>0</v>
      </c>
      <c r="AF67" s="74">
        <f>tblData[[#This Row],[Gross Sales]]+tblData[[#This Row],[Trade Discounts]]+tblData[[#This Row],[Returns]]</f>
        <v>505</v>
      </c>
      <c r="AG67" s="74">
        <f>tblData[[#This Row],[Material Cost]]+tblData[[#This Row],[Conversion Cost]]+tblData[[#This Row],[Inbound Freight]]</f>
        <v>-257</v>
      </c>
      <c r="AH67" s="74">
        <f>tblData[[#This Row],[Net Revenue]]+tblData[[#This Row],[COGS]]</f>
        <v>248</v>
      </c>
      <c r="AI67" s="74">
        <f>tblData[[#This Row],[Advertising]]+tblData[[#This Row],[Promotions]]</f>
        <v>-20</v>
      </c>
      <c r="AJ67" s="74">
        <f>tblData[[#This Row],[Outbound Logistics]]+tblData[[#This Row],[Direct Selling]]</f>
        <v>-56</v>
      </c>
      <c r="AK67" s="74">
        <f>tblData[[#This Row],[Gross Profit]]+tblData[[#This Row],[AP Spend]]+tblData[[#This Row],[Cost to Serve]]</f>
        <v>172</v>
      </c>
    </row>
    <row r="68" spans="2:37" x14ac:dyDescent="0.25">
      <c r="B68" s="71" t="s">
        <v>36</v>
      </c>
      <c r="C68" s="71">
        <v>2025</v>
      </c>
      <c r="D68" s="71">
        <v>1</v>
      </c>
      <c r="E68" s="71" t="s">
        <v>46</v>
      </c>
      <c r="F68" s="71" t="s">
        <v>43</v>
      </c>
      <c r="G68" s="72">
        <v>19</v>
      </c>
      <c r="H68" s="73">
        <v>335</v>
      </c>
      <c r="I68" s="73">
        <v>-36</v>
      </c>
      <c r="J68" s="73">
        <v>-13</v>
      </c>
      <c r="K68" s="73">
        <v>-90</v>
      </c>
      <c r="L68" s="73">
        <v>-23</v>
      </c>
      <c r="M68" s="73">
        <v>-12</v>
      </c>
      <c r="N68" s="73">
        <v>-36</v>
      </c>
      <c r="O68" s="73">
        <v>-20</v>
      </c>
      <c r="P68" s="73">
        <v>-25</v>
      </c>
      <c r="Q68" s="73">
        <v>-7</v>
      </c>
      <c r="R68" s="73">
        <v>0</v>
      </c>
      <c r="S68" s="73">
        <v>0</v>
      </c>
      <c r="T68" s="73">
        <v>0</v>
      </c>
      <c r="U68" s="73">
        <v>0</v>
      </c>
      <c r="V68" s="73">
        <v>0</v>
      </c>
      <c r="W68" s="73">
        <v>0</v>
      </c>
      <c r="X68" s="73">
        <v>0</v>
      </c>
      <c r="Y68" s="73">
        <v>0</v>
      </c>
      <c r="Z68" s="73">
        <v>235</v>
      </c>
      <c r="AA68" s="73">
        <v>494</v>
      </c>
      <c r="AB68" s="73">
        <v>0</v>
      </c>
      <c r="AC68" s="73">
        <v>0</v>
      </c>
      <c r="AD68" s="73">
        <v>0</v>
      </c>
      <c r="AE68" s="73">
        <v>0</v>
      </c>
      <c r="AF68" s="74">
        <f>tblData[[#This Row],[Gross Sales]]+tblData[[#This Row],[Trade Discounts]]+tblData[[#This Row],[Returns]]</f>
        <v>286</v>
      </c>
      <c r="AG68" s="74">
        <f>tblData[[#This Row],[Material Cost]]+tblData[[#This Row],[Conversion Cost]]+tblData[[#This Row],[Inbound Freight]]</f>
        <v>-125</v>
      </c>
      <c r="AH68" s="74">
        <f>tblData[[#This Row],[Net Revenue]]+tblData[[#This Row],[COGS]]</f>
        <v>161</v>
      </c>
      <c r="AI68" s="74">
        <f>tblData[[#This Row],[Advertising]]+tblData[[#This Row],[Promotions]]</f>
        <v>-56</v>
      </c>
      <c r="AJ68" s="74">
        <f>tblData[[#This Row],[Outbound Logistics]]+tblData[[#This Row],[Direct Selling]]</f>
        <v>-32</v>
      </c>
      <c r="AK68" s="74">
        <f>tblData[[#This Row],[Gross Profit]]+tblData[[#This Row],[AP Spend]]+tblData[[#This Row],[Cost to Serve]]</f>
        <v>73</v>
      </c>
    </row>
    <row r="69" spans="2:37" x14ac:dyDescent="0.25">
      <c r="B69" s="71" t="s">
        <v>36</v>
      </c>
      <c r="C69" s="71">
        <v>2025</v>
      </c>
      <c r="D69" s="71">
        <v>1</v>
      </c>
      <c r="E69" s="71" t="s">
        <v>47</v>
      </c>
      <c r="F69" s="71" t="s">
        <v>38</v>
      </c>
      <c r="G69" s="72">
        <v>46.9</v>
      </c>
      <c r="H69" s="73">
        <v>644</v>
      </c>
      <c r="I69" s="73">
        <v>-17</v>
      </c>
      <c r="J69" s="73">
        <v>-32</v>
      </c>
      <c r="K69" s="73">
        <v>-137</v>
      </c>
      <c r="L69" s="73">
        <v>-35</v>
      </c>
      <c r="M69" s="73">
        <v>-18</v>
      </c>
      <c r="N69" s="73">
        <v>-41</v>
      </c>
      <c r="O69" s="73">
        <v>-22</v>
      </c>
      <c r="P69" s="73">
        <v>-77</v>
      </c>
      <c r="Q69" s="73">
        <v>-26</v>
      </c>
      <c r="R69" s="73">
        <v>0</v>
      </c>
      <c r="S69" s="73">
        <v>0</v>
      </c>
      <c r="T69" s="73">
        <v>0</v>
      </c>
      <c r="U69" s="73">
        <v>0</v>
      </c>
      <c r="V69" s="73">
        <v>0</v>
      </c>
      <c r="W69" s="73">
        <v>0</v>
      </c>
      <c r="X69" s="73">
        <v>0</v>
      </c>
      <c r="Y69" s="73">
        <v>0</v>
      </c>
      <c r="Z69" s="73">
        <v>59</v>
      </c>
      <c r="AA69" s="73">
        <v>594</v>
      </c>
      <c r="AB69" s="73">
        <v>0</v>
      </c>
      <c r="AC69" s="73">
        <v>0</v>
      </c>
      <c r="AD69" s="73">
        <v>0</v>
      </c>
      <c r="AE69" s="73">
        <v>0</v>
      </c>
      <c r="AF69" s="74">
        <f>tblData[[#This Row],[Gross Sales]]+tblData[[#This Row],[Trade Discounts]]+tblData[[#This Row],[Returns]]</f>
        <v>595</v>
      </c>
      <c r="AG69" s="74">
        <f>tblData[[#This Row],[Material Cost]]+tblData[[#This Row],[Conversion Cost]]+tblData[[#This Row],[Inbound Freight]]</f>
        <v>-190</v>
      </c>
      <c r="AH69" s="74">
        <f>tblData[[#This Row],[Net Revenue]]+tblData[[#This Row],[COGS]]</f>
        <v>405</v>
      </c>
      <c r="AI69" s="74">
        <f>tblData[[#This Row],[Advertising]]+tblData[[#This Row],[Promotions]]</f>
        <v>-63</v>
      </c>
      <c r="AJ69" s="74">
        <f>tblData[[#This Row],[Outbound Logistics]]+tblData[[#This Row],[Direct Selling]]</f>
        <v>-103</v>
      </c>
      <c r="AK69" s="74">
        <f>tblData[[#This Row],[Gross Profit]]+tblData[[#This Row],[AP Spend]]+tblData[[#This Row],[Cost to Serve]]</f>
        <v>239</v>
      </c>
    </row>
    <row r="70" spans="2:37" x14ac:dyDescent="0.25">
      <c r="B70" s="71" t="s">
        <v>36</v>
      </c>
      <c r="C70" s="71">
        <v>2025</v>
      </c>
      <c r="D70" s="71">
        <v>1</v>
      </c>
      <c r="E70" s="71" t="s">
        <v>47</v>
      </c>
      <c r="F70" s="71" t="s">
        <v>39</v>
      </c>
      <c r="G70" s="72">
        <v>62.4</v>
      </c>
      <c r="H70" s="73">
        <v>550</v>
      </c>
      <c r="I70" s="73">
        <v>-14</v>
      </c>
      <c r="J70" s="73">
        <v>-28</v>
      </c>
      <c r="K70" s="73">
        <v>-140</v>
      </c>
      <c r="L70" s="73">
        <v>-36</v>
      </c>
      <c r="M70" s="73">
        <v>-19</v>
      </c>
      <c r="N70" s="73">
        <v>-23</v>
      </c>
      <c r="O70" s="73">
        <v>-13</v>
      </c>
      <c r="P70" s="73">
        <v>-66</v>
      </c>
      <c r="Q70" s="73">
        <v>-22</v>
      </c>
      <c r="R70" s="73">
        <v>0</v>
      </c>
      <c r="S70" s="73">
        <v>0</v>
      </c>
      <c r="T70" s="73">
        <v>0</v>
      </c>
      <c r="U70" s="73">
        <v>0</v>
      </c>
      <c r="V70" s="73">
        <v>0</v>
      </c>
      <c r="W70" s="73">
        <v>0</v>
      </c>
      <c r="X70" s="73">
        <v>0</v>
      </c>
      <c r="Y70" s="73">
        <v>0</v>
      </c>
      <c r="Z70" s="73">
        <v>50</v>
      </c>
      <c r="AA70" s="73">
        <v>513</v>
      </c>
      <c r="AB70" s="73">
        <v>0</v>
      </c>
      <c r="AC70" s="73">
        <v>0</v>
      </c>
      <c r="AD70" s="73">
        <v>0</v>
      </c>
      <c r="AE70" s="73">
        <v>0</v>
      </c>
      <c r="AF70" s="74">
        <f>tblData[[#This Row],[Gross Sales]]+tblData[[#This Row],[Trade Discounts]]+tblData[[#This Row],[Returns]]</f>
        <v>508</v>
      </c>
      <c r="AG70" s="74">
        <f>tblData[[#This Row],[Material Cost]]+tblData[[#This Row],[Conversion Cost]]+tblData[[#This Row],[Inbound Freight]]</f>
        <v>-195</v>
      </c>
      <c r="AH70" s="74">
        <f>tblData[[#This Row],[Net Revenue]]+tblData[[#This Row],[COGS]]</f>
        <v>313</v>
      </c>
      <c r="AI70" s="74">
        <f>tblData[[#This Row],[Advertising]]+tblData[[#This Row],[Promotions]]</f>
        <v>-36</v>
      </c>
      <c r="AJ70" s="74">
        <f>tblData[[#This Row],[Outbound Logistics]]+tblData[[#This Row],[Direct Selling]]</f>
        <v>-88</v>
      </c>
      <c r="AK70" s="74">
        <f>tblData[[#This Row],[Gross Profit]]+tblData[[#This Row],[AP Spend]]+tblData[[#This Row],[Cost to Serve]]</f>
        <v>189</v>
      </c>
    </row>
    <row r="71" spans="2:37" x14ac:dyDescent="0.25">
      <c r="B71" s="71" t="s">
        <v>36</v>
      </c>
      <c r="C71" s="71">
        <v>2025</v>
      </c>
      <c r="D71" s="71">
        <v>1</v>
      </c>
      <c r="E71" s="71" t="s">
        <v>47</v>
      </c>
      <c r="F71" s="71" t="s">
        <v>40</v>
      </c>
      <c r="G71" s="72">
        <v>59.5</v>
      </c>
      <c r="H71" s="73">
        <v>408</v>
      </c>
      <c r="I71" s="73">
        <v>-11</v>
      </c>
      <c r="J71" s="73">
        <v>-20</v>
      </c>
      <c r="K71" s="73">
        <v>-116</v>
      </c>
      <c r="L71" s="73">
        <v>-29</v>
      </c>
      <c r="M71" s="73">
        <v>-16</v>
      </c>
      <c r="N71" s="73">
        <v>-12</v>
      </c>
      <c r="O71" s="73">
        <v>-6</v>
      </c>
      <c r="P71" s="73">
        <v>-49</v>
      </c>
      <c r="Q71" s="73">
        <v>-16</v>
      </c>
      <c r="R71" s="73">
        <v>0</v>
      </c>
      <c r="S71" s="73">
        <v>0</v>
      </c>
      <c r="T71" s="73">
        <v>0</v>
      </c>
      <c r="U71" s="73">
        <v>0</v>
      </c>
      <c r="V71" s="73">
        <v>0</v>
      </c>
      <c r="W71" s="73">
        <v>0</v>
      </c>
      <c r="X71" s="73">
        <v>0</v>
      </c>
      <c r="Y71" s="73">
        <v>0</v>
      </c>
      <c r="Z71" s="73">
        <v>37</v>
      </c>
      <c r="AA71" s="73">
        <v>397</v>
      </c>
      <c r="AB71" s="73">
        <v>0</v>
      </c>
      <c r="AC71" s="73">
        <v>0</v>
      </c>
      <c r="AD71" s="73">
        <v>0</v>
      </c>
      <c r="AE71" s="73">
        <v>0</v>
      </c>
      <c r="AF71" s="74">
        <f>tblData[[#This Row],[Gross Sales]]+tblData[[#This Row],[Trade Discounts]]+tblData[[#This Row],[Returns]]</f>
        <v>377</v>
      </c>
      <c r="AG71" s="74">
        <f>tblData[[#This Row],[Material Cost]]+tblData[[#This Row],[Conversion Cost]]+tblData[[#This Row],[Inbound Freight]]</f>
        <v>-161</v>
      </c>
      <c r="AH71" s="74">
        <f>tblData[[#This Row],[Net Revenue]]+tblData[[#This Row],[COGS]]</f>
        <v>216</v>
      </c>
      <c r="AI71" s="74">
        <f>tblData[[#This Row],[Advertising]]+tblData[[#This Row],[Promotions]]</f>
        <v>-18</v>
      </c>
      <c r="AJ71" s="74">
        <f>tblData[[#This Row],[Outbound Logistics]]+tblData[[#This Row],[Direct Selling]]</f>
        <v>-65</v>
      </c>
      <c r="AK71" s="74">
        <f>tblData[[#This Row],[Gross Profit]]+tblData[[#This Row],[AP Spend]]+tblData[[#This Row],[Cost to Serve]]</f>
        <v>133</v>
      </c>
    </row>
    <row r="72" spans="2:37" x14ac:dyDescent="0.25">
      <c r="B72" s="71" t="s">
        <v>36</v>
      </c>
      <c r="C72" s="71">
        <v>2025</v>
      </c>
      <c r="D72" s="71">
        <v>1</v>
      </c>
      <c r="E72" s="71" t="s">
        <v>47</v>
      </c>
      <c r="F72" s="71" t="s">
        <v>41</v>
      </c>
      <c r="G72" s="72">
        <v>29.9</v>
      </c>
      <c r="H72" s="73">
        <v>323</v>
      </c>
      <c r="I72" s="73">
        <v>-8</v>
      </c>
      <c r="J72" s="73">
        <v>-16</v>
      </c>
      <c r="K72" s="73">
        <v>-75</v>
      </c>
      <c r="L72" s="73">
        <v>-19</v>
      </c>
      <c r="M72" s="73">
        <v>-10</v>
      </c>
      <c r="N72" s="73">
        <v>-25</v>
      </c>
      <c r="O72" s="73">
        <v>-13</v>
      </c>
      <c r="P72" s="73">
        <v>-39</v>
      </c>
      <c r="Q72" s="73">
        <v>-13</v>
      </c>
      <c r="R72" s="73">
        <v>0</v>
      </c>
      <c r="S72" s="73">
        <v>0</v>
      </c>
      <c r="T72" s="73">
        <v>0</v>
      </c>
      <c r="U72" s="73">
        <v>0</v>
      </c>
      <c r="V72" s="73">
        <v>0</v>
      </c>
      <c r="W72" s="73">
        <v>0</v>
      </c>
      <c r="X72" s="73">
        <v>0</v>
      </c>
      <c r="Y72" s="73">
        <v>0</v>
      </c>
      <c r="Z72" s="73">
        <v>29</v>
      </c>
      <c r="AA72" s="73">
        <v>310</v>
      </c>
      <c r="AB72" s="73">
        <v>0</v>
      </c>
      <c r="AC72" s="73">
        <v>0</v>
      </c>
      <c r="AD72" s="73">
        <v>0</v>
      </c>
      <c r="AE72" s="73">
        <v>0</v>
      </c>
      <c r="AF72" s="74">
        <f>tblData[[#This Row],[Gross Sales]]+tblData[[#This Row],[Trade Discounts]]+tblData[[#This Row],[Returns]]</f>
        <v>299</v>
      </c>
      <c r="AG72" s="74">
        <f>tblData[[#This Row],[Material Cost]]+tblData[[#This Row],[Conversion Cost]]+tblData[[#This Row],[Inbound Freight]]</f>
        <v>-104</v>
      </c>
      <c r="AH72" s="74">
        <f>tblData[[#This Row],[Net Revenue]]+tblData[[#This Row],[COGS]]</f>
        <v>195</v>
      </c>
      <c r="AI72" s="74">
        <f>tblData[[#This Row],[Advertising]]+tblData[[#This Row],[Promotions]]</f>
        <v>-38</v>
      </c>
      <c r="AJ72" s="74">
        <f>tblData[[#This Row],[Outbound Logistics]]+tblData[[#This Row],[Direct Selling]]</f>
        <v>-52</v>
      </c>
      <c r="AK72" s="74">
        <f>tblData[[#This Row],[Gross Profit]]+tblData[[#This Row],[AP Spend]]+tblData[[#This Row],[Cost to Serve]]</f>
        <v>105</v>
      </c>
    </row>
    <row r="73" spans="2:37" x14ac:dyDescent="0.25">
      <c r="B73" s="71" t="s">
        <v>36</v>
      </c>
      <c r="C73" s="71">
        <v>2025</v>
      </c>
      <c r="D73" s="71">
        <v>1</v>
      </c>
      <c r="E73" s="71" t="s">
        <v>47</v>
      </c>
      <c r="F73" s="71" t="s">
        <v>42</v>
      </c>
      <c r="G73" s="72">
        <v>39.299999999999997</v>
      </c>
      <c r="H73" s="73">
        <v>231</v>
      </c>
      <c r="I73" s="73">
        <v>-6</v>
      </c>
      <c r="J73" s="73">
        <v>-12</v>
      </c>
      <c r="K73" s="73">
        <v>-72</v>
      </c>
      <c r="L73" s="73">
        <v>-18</v>
      </c>
      <c r="M73" s="73">
        <v>-10</v>
      </c>
      <c r="N73" s="73">
        <v>-5</v>
      </c>
      <c r="O73" s="73">
        <v>-3</v>
      </c>
      <c r="P73" s="73">
        <v>-28</v>
      </c>
      <c r="Q73" s="73">
        <v>-9</v>
      </c>
      <c r="R73" s="73">
        <v>0</v>
      </c>
      <c r="S73" s="73">
        <v>0</v>
      </c>
      <c r="T73" s="73">
        <v>0</v>
      </c>
      <c r="U73" s="73">
        <v>0</v>
      </c>
      <c r="V73" s="73">
        <v>0</v>
      </c>
      <c r="W73" s="73">
        <v>0</v>
      </c>
      <c r="X73" s="73">
        <v>0</v>
      </c>
      <c r="Y73" s="73">
        <v>0</v>
      </c>
      <c r="Z73" s="73">
        <v>21</v>
      </c>
      <c r="AA73" s="73">
        <v>362</v>
      </c>
      <c r="AB73" s="73">
        <v>0</v>
      </c>
      <c r="AC73" s="73">
        <v>0</v>
      </c>
      <c r="AD73" s="73">
        <v>0</v>
      </c>
      <c r="AE73" s="73">
        <v>0</v>
      </c>
      <c r="AF73" s="74">
        <f>tblData[[#This Row],[Gross Sales]]+tblData[[#This Row],[Trade Discounts]]+tblData[[#This Row],[Returns]]</f>
        <v>213</v>
      </c>
      <c r="AG73" s="74">
        <f>tblData[[#This Row],[Material Cost]]+tblData[[#This Row],[Conversion Cost]]+tblData[[#This Row],[Inbound Freight]]</f>
        <v>-100</v>
      </c>
      <c r="AH73" s="74">
        <f>tblData[[#This Row],[Net Revenue]]+tblData[[#This Row],[COGS]]</f>
        <v>113</v>
      </c>
      <c r="AI73" s="74">
        <f>tblData[[#This Row],[Advertising]]+tblData[[#This Row],[Promotions]]</f>
        <v>-8</v>
      </c>
      <c r="AJ73" s="74">
        <f>tblData[[#This Row],[Outbound Logistics]]+tblData[[#This Row],[Direct Selling]]</f>
        <v>-37</v>
      </c>
      <c r="AK73" s="74">
        <f>tblData[[#This Row],[Gross Profit]]+tblData[[#This Row],[AP Spend]]+tblData[[#This Row],[Cost to Serve]]</f>
        <v>68</v>
      </c>
    </row>
    <row r="74" spans="2:37" x14ac:dyDescent="0.25">
      <c r="B74" s="71" t="s">
        <v>36</v>
      </c>
      <c r="C74" s="71">
        <v>2025</v>
      </c>
      <c r="D74" s="71">
        <v>1</v>
      </c>
      <c r="E74" s="71" t="s">
        <v>47</v>
      </c>
      <c r="F74" s="71" t="s">
        <v>43</v>
      </c>
      <c r="G74" s="72">
        <v>8</v>
      </c>
      <c r="H74" s="73">
        <v>142</v>
      </c>
      <c r="I74" s="73">
        <v>-4</v>
      </c>
      <c r="J74" s="73">
        <v>-7</v>
      </c>
      <c r="K74" s="73">
        <v>-38</v>
      </c>
      <c r="L74" s="73">
        <v>-10</v>
      </c>
      <c r="M74" s="73">
        <v>-5</v>
      </c>
      <c r="N74" s="73">
        <v>-14</v>
      </c>
      <c r="O74" s="73">
        <v>-7</v>
      </c>
      <c r="P74" s="73">
        <v>-17</v>
      </c>
      <c r="Q74" s="73">
        <v>-6</v>
      </c>
      <c r="R74" s="73">
        <v>0</v>
      </c>
      <c r="S74" s="73">
        <v>0</v>
      </c>
      <c r="T74" s="73">
        <v>0</v>
      </c>
      <c r="U74" s="73">
        <v>0</v>
      </c>
      <c r="V74" s="73">
        <v>0</v>
      </c>
      <c r="W74" s="73">
        <v>0</v>
      </c>
      <c r="X74" s="73">
        <v>0</v>
      </c>
      <c r="Y74" s="73">
        <v>0</v>
      </c>
      <c r="Z74" s="73">
        <v>13</v>
      </c>
      <c r="AA74" s="73">
        <v>210</v>
      </c>
      <c r="AB74" s="73">
        <v>0</v>
      </c>
      <c r="AC74" s="73">
        <v>0</v>
      </c>
      <c r="AD74" s="73">
        <v>0</v>
      </c>
      <c r="AE74" s="73">
        <v>0</v>
      </c>
      <c r="AF74" s="74">
        <f>tblData[[#This Row],[Gross Sales]]+tblData[[#This Row],[Trade Discounts]]+tblData[[#This Row],[Returns]]</f>
        <v>131</v>
      </c>
      <c r="AG74" s="74">
        <f>tblData[[#This Row],[Material Cost]]+tblData[[#This Row],[Conversion Cost]]+tblData[[#This Row],[Inbound Freight]]</f>
        <v>-53</v>
      </c>
      <c r="AH74" s="74">
        <f>tblData[[#This Row],[Net Revenue]]+tblData[[#This Row],[COGS]]</f>
        <v>78</v>
      </c>
      <c r="AI74" s="74">
        <f>tblData[[#This Row],[Advertising]]+tblData[[#This Row],[Promotions]]</f>
        <v>-21</v>
      </c>
      <c r="AJ74" s="74">
        <f>tblData[[#This Row],[Outbound Logistics]]+tblData[[#This Row],[Direct Selling]]</f>
        <v>-23</v>
      </c>
      <c r="AK74" s="74">
        <f>tblData[[#This Row],[Gross Profit]]+tblData[[#This Row],[AP Spend]]+tblData[[#This Row],[Cost to Serve]]</f>
        <v>34</v>
      </c>
    </row>
    <row r="75" spans="2:37" x14ac:dyDescent="0.25">
      <c r="B75" s="71" t="s">
        <v>36</v>
      </c>
      <c r="C75" s="71">
        <v>2025</v>
      </c>
      <c r="D75" s="71">
        <v>1</v>
      </c>
      <c r="E75" s="71" t="s">
        <v>48</v>
      </c>
      <c r="F75" s="71" t="s">
        <v>38</v>
      </c>
      <c r="G75" s="72">
        <v>78</v>
      </c>
      <c r="H75" s="73">
        <v>1070</v>
      </c>
      <c r="I75" s="73">
        <v>-92</v>
      </c>
      <c r="J75" s="73">
        <v>-11</v>
      </c>
      <c r="K75" s="73">
        <v>-228</v>
      </c>
      <c r="L75" s="73">
        <v>-58</v>
      </c>
      <c r="M75" s="73">
        <v>-31</v>
      </c>
      <c r="N75" s="73">
        <v>-68</v>
      </c>
      <c r="O75" s="73">
        <v>-37</v>
      </c>
      <c r="P75" s="73">
        <v>-32</v>
      </c>
      <c r="Q75" s="73">
        <v>-16</v>
      </c>
      <c r="R75" s="73">
        <v>0</v>
      </c>
      <c r="S75" s="73">
        <v>0</v>
      </c>
      <c r="T75" s="73">
        <v>0</v>
      </c>
      <c r="U75" s="73">
        <v>0</v>
      </c>
      <c r="V75" s="73">
        <v>0</v>
      </c>
      <c r="W75" s="73">
        <v>0</v>
      </c>
      <c r="X75" s="73">
        <v>0</v>
      </c>
      <c r="Y75" s="73">
        <v>0</v>
      </c>
      <c r="Z75" s="73">
        <v>2228</v>
      </c>
      <c r="AA75" s="73">
        <v>987</v>
      </c>
      <c r="AB75" s="73">
        <v>0</v>
      </c>
      <c r="AC75" s="73">
        <v>0</v>
      </c>
      <c r="AD75" s="73">
        <v>0</v>
      </c>
      <c r="AE75" s="73">
        <v>0</v>
      </c>
      <c r="AF75" s="74">
        <f>tblData[[#This Row],[Gross Sales]]+tblData[[#This Row],[Trade Discounts]]+tblData[[#This Row],[Returns]]</f>
        <v>967</v>
      </c>
      <c r="AG75" s="74">
        <f>tblData[[#This Row],[Material Cost]]+tblData[[#This Row],[Conversion Cost]]+tblData[[#This Row],[Inbound Freight]]</f>
        <v>-317</v>
      </c>
      <c r="AH75" s="74">
        <f>tblData[[#This Row],[Net Revenue]]+tblData[[#This Row],[COGS]]</f>
        <v>650</v>
      </c>
      <c r="AI75" s="74">
        <f>tblData[[#This Row],[Advertising]]+tblData[[#This Row],[Promotions]]</f>
        <v>-105</v>
      </c>
      <c r="AJ75" s="74">
        <f>tblData[[#This Row],[Outbound Logistics]]+tblData[[#This Row],[Direct Selling]]</f>
        <v>-48</v>
      </c>
      <c r="AK75" s="74">
        <f>tblData[[#This Row],[Gross Profit]]+tblData[[#This Row],[AP Spend]]+tblData[[#This Row],[Cost to Serve]]</f>
        <v>497</v>
      </c>
    </row>
    <row r="76" spans="2:37" x14ac:dyDescent="0.25">
      <c r="B76" s="71" t="s">
        <v>36</v>
      </c>
      <c r="C76" s="71">
        <v>2025</v>
      </c>
      <c r="D76" s="71">
        <v>1</v>
      </c>
      <c r="E76" s="71" t="s">
        <v>48</v>
      </c>
      <c r="F76" s="71" t="s">
        <v>39</v>
      </c>
      <c r="G76" s="72">
        <v>104.2</v>
      </c>
      <c r="H76" s="73">
        <v>919</v>
      </c>
      <c r="I76" s="73">
        <v>-79</v>
      </c>
      <c r="J76" s="73">
        <v>-9</v>
      </c>
      <c r="K76" s="73">
        <v>-235</v>
      </c>
      <c r="L76" s="73">
        <v>-60</v>
      </c>
      <c r="M76" s="73">
        <v>-31</v>
      </c>
      <c r="N76" s="73">
        <v>-39</v>
      </c>
      <c r="O76" s="73">
        <v>-21</v>
      </c>
      <c r="P76" s="73">
        <v>-28</v>
      </c>
      <c r="Q76" s="73">
        <v>-14</v>
      </c>
      <c r="R76" s="73">
        <v>0</v>
      </c>
      <c r="S76" s="73">
        <v>0</v>
      </c>
      <c r="T76" s="73">
        <v>0</v>
      </c>
      <c r="U76" s="73">
        <v>0</v>
      </c>
      <c r="V76" s="73">
        <v>0</v>
      </c>
      <c r="W76" s="73">
        <v>0</v>
      </c>
      <c r="X76" s="73">
        <v>0</v>
      </c>
      <c r="Y76" s="73">
        <v>0</v>
      </c>
      <c r="Z76" s="73">
        <v>1913</v>
      </c>
      <c r="AA76" s="73">
        <v>857</v>
      </c>
      <c r="AB76" s="73">
        <v>0</v>
      </c>
      <c r="AC76" s="73">
        <v>0</v>
      </c>
      <c r="AD76" s="73">
        <v>0</v>
      </c>
      <c r="AE76" s="73">
        <v>0</v>
      </c>
      <c r="AF76" s="74">
        <f>tblData[[#This Row],[Gross Sales]]+tblData[[#This Row],[Trade Discounts]]+tblData[[#This Row],[Returns]]</f>
        <v>831</v>
      </c>
      <c r="AG76" s="74">
        <f>tblData[[#This Row],[Material Cost]]+tblData[[#This Row],[Conversion Cost]]+tblData[[#This Row],[Inbound Freight]]</f>
        <v>-326</v>
      </c>
      <c r="AH76" s="74">
        <f>tblData[[#This Row],[Net Revenue]]+tblData[[#This Row],[COGS]]</f>
        <v>505</v>
      </c>
      <c r="AI76" s="74">
        <f>tblData[[#This Row],[Advertising]]+tblData[[#This Row],[Promotions]]</f>
        <v>-60</v>
      </c>
      <c r="AJ76" s="74">
        <f>tblData[[#This Row],[Outbound Logistics]]+tblData[[#This Row],[Direct Selling]]</f>
        <v>-42</v>
      </c>
      <c r="AK76" s="74">
        <f>tblData[[#This Row],[Gross Profit]]+tblData[[#This Row],[AP Spend]]+tblData[[#This Row],[Cost to Serve]]</f>
        <v>403</v>
      </c>
    </row>
    <row r="77" spans="2:37" x14ac:dyDescent="0.25">
      <c r="B77" s="71" t="s">
        <v>36</v>
      </c>
      <c r="C77" s="71">
        <v>2025</v>
      </c>
      <c r="D77" s="71">
        <v>1</v>
      </c>
      <c r="E77" s="71" t="s">
        <v>48</v>
      </c>
      <c r="F77" s="71" t="s">
        <v>40</v>
      </c>
      <c r="G77" s="72">
        <v>101.1</v>
      </c>
      <c r="H77" s="73">
        <v>693</v>
      </c>
      <c r="I77" s="73">
        <v>-60</v>
      </c>
      <c r="J77" s="73">
        <v>-7</v>
      </c>
      <c r="K77" s="73">
        <v>-197</v>
      </c>
      <c r="L77" s="73">
        <v>-50</v>
      </c>
      <c r="M77" s="73">
        <v>-26</v>
      </c>
      <c r="N77" s="73">
        <v>-19</v>
      </c>
      <c r="O77" s="73">
        <v>-10</v>
      </c>
      <c r="P77" s="73">
        <v>-21</v>
      </c>
      <c r="Q77" s="73">
        <v>-10</v>
      </c>
      <c r="R77" s="73">
        <v>0</v>
      </c>
      <c r="S77" s="73">
        <v>0</v>
      </c>
      <c r="T77" s="73">
        <v>0</v>
      </c>
      <c r="U77" s="73">
        <v>0</v>
      </c>
      <c r="V77" s="73">
        <v>0</v>
      </c>
      <c r="W77" s="73">
        <v>0</v>
      </c>
      <c r="X77" s="73">
        <v>0</v>
      </c>
      <c r="Y77" s="73">
        <v>0</v>
      </c>
      <c r="Z77" s="73">
        <v>1443</v>
      </c>
      <c r="AA77" s="73">
        <v>673</v>
      </c>
      <c r="AB77" s="73">
        <v>0</v>
      </c>
      <c r="AC77" s="73">
        <v>0</v>
      </c>
      <c r="AD77" s="73">
        <v>0</v>
      </c>
      <c r="AE77" s="73">
        <v>0</v>
      </c>
      <c r="AF77" s="74">
        <f>tblData[[#This Row],[Gross Sales]]+tblData[[#This Row],[Trade Discounts]]+tblData[[#This Row],[Returns]]</f>
        <v>626</v>
      </c>
      <c r="AG77" s="74">
        <f>tblData[[#This Row],[Material Cost]]+tblData[[#This Row],[Conversion Cost]]+tblData[[#This Row],[Inbound Freight]]</f>
        <v>-273</v>
      </c>
      <c r="AH77" s="74">
        <f>tblData[[#This Row],[Net Revenue]]+tblData[[#This Row],[COGS]]</f>
        <v>353</v>
      </c>
      <c r="AI77" s="74">
        <f>tblData[[#This Row],[Advertising]]+tblData[[#This Row],[Promotions]]</f>
        <v>-29</v>
      </c>
      <c r="AJ77" s="74">
        <f>tblData[[#This Row],[Outbound Logistics]]+tblData[[#This Row],[Direct Selling]]</f>
        <v>-31</v>
      </c>
      <c r="AK77" s="74">
        <f>tblData[[#This Row],[Gross Profit]]+tblData[[#This Row],[AP Spend]]+tblData[[#This Row],[Cost to Serve]]</f>
        <v>293</v>
      </c>
    </row>
    <row r="78" spans="2:37" x14ac:dyDescent="0.25">
      <c r="B78" s="71" t="s">
        <v>36</v>
      </c>
      <c r="C78" s="71">
        <v>2025</v>
      </c>
      <c r="D78" s="71">
        <v>1</v>
      </c>
      <c r="E78" s="71" t="s">
        <v>48</v>
      </c>
      <c r="F78" s="71" t="s">
        <v>41</v>
      </c>
      <c r="G78" s="72">
        <v>50.3</v>
      </c>
      <c r="H78" s="73">
        <v>542</v>
      </c>
      <c r="I78" s="73">
        <v>-47</v>
      </c>
      <c r="J78" s="73">
        <v>-5</v>
      </c>
      <c r="K78" s="73">
        <v>-127</v>
      </c>
      <c r="L78" s="73">
        <v>-32</v>
      </c>
      <c r="M78" s="73">
        <v>-17</v>
      </c>
      <c r="N78" s="73">
        <v>-42</v>
      </c>
      <c r="O78" s="73">
        <v>-22</v>
      </c>
      <c r="P78" s="73">
        <v>-16</v>
      </c>
      <c r="Q78" s="73">
        <v>-8</v>
      </c>
      <c r="R78" s="73">
        <v>0</v>
      </c>
      <c r="S78" s="73">
        <v>0</v>
      </c>
      <c r="T78" s="73">
        <v>0</v>
      </c>
      <c r="U78" s="73">
        <v>0</v>
      </c>
      <c r="V78" s="73">
        <v>0</v>
      </c>
      <c r="W78" s="73">
        <v>0</v>
      </c>
      <c r="X78" s="73">
        <v>0</v>
      </c>
      <c r="Y78" s="73">
        <v>0</v>
      </c>
      <c r="Z78" s="73">
        <v>1128</v>
      </c>
      <c r="AA78" s="73">
        <v>521</v>
      </c>
      <c r="AB78" s="73">
        <v>0</v>
      </c>
      <c r="AC78" s="73">
        <v>0</v>
      </c>
      <c r="AD78" s="73">
        <v>0</v>
      </c>
      <c r="AE78" s="73">
        <v>0</v>
      </c>
      <c r="AF78" s="74">
        <f>tblData[[#This Row],[Gross Sales]]+tblData[[#This Row],[Trade Discounts]]+tblData[[#This Row],[Returns]]</f>
        <v>490</v>
      </c>
      <c r="AG78" s="74">
        <f>tblData[[#This Row],[Material Cost]]+tblData[[#This Row],[Conversion Cost]]+tblData[[#This Row],[Inbound Freight]]</f>
        <v>-176</v>
      </c>
      <c r="AH78" s="74">
        <f>tblData[[#This Row],[Net Revenue]]+tblData[[#This Row],[COGS]]</f>
        <v>314</v>
      </c>
      <c r="AI78" s="74">
        <f>tblData[[#This Row],[Advertising]]+tblData[[#This Row],[Promotions]]</f>
        <v>-64</v>
      </c>
      <c r="AJ78" s="74">
        <f>tblData[[#This Row],[Outbound Logistics]]+tblData[[#This Row],[Direct Selling]]</f>
        <v>-24</v>
      </c>
      <c r="AK78" s="74">
        <f>tblData[[#This Row],[Gross Profit]]+tblData[[#This Row],[AP Spend]]+tblData[[#This Row],[Cost to Serve]]</f>
        <v>226</v>
      </c>
    </row>
    <row r="79" spans="2:37" x14ac:dyDescent="0.25">
      <c r="B79" s="71" t="s">
        <v>36</v>
      </c>
      <c r="C79" s="71">
        <v>2025</v>
      </c>
      <c r="D79" s="71">
        <v>1</v>
      </c>
      <c r="E79" s="71" t="s">
        <v>48</v>
      </c>
      <c r="F79" s="71" t="s">
        <v>42</v>
      </c>
      <c r="G79" s="72">
        <v>66.900000000000006</v>
      </c>
      <c r="H79" s="73">
        <v>394</v>
      </c>
      <c r="I79" s="73">
        <v>-34</v>
      </c>
      <c r="J79" s="73">
        <v>-4</v>
      </c>
      <c r="K79" s="73">
        <v>-123</v>
      </c>
      <c r="L79" s="73">
        <v>-31</v>
      </c>
      <c r="M79" s="73">
        <v>-16</v>
      </c>
      <c r="N79" s="73">
        <v>-8</v>
      </c>
      <c r="O79" s="73">
        <v>-4</v>
      </c>
      <c r="P79" s="73">
        <v>-12</v>
      </c>
      <c r="Q79" s="73">
        <v>-6</v>
      </c>
      <c r="R79" s="73">
        <v>0</v>
      </c>
      <c r="S79" s="73">
        <v>0</v>
      </c>
      <c r="T79" s="73">
        <v>0</v>
      </c>
      <c r="U79" s="73">
        <v>0</v>
      </c>
      <c r="V79" s="73">
        <v>0</v>
      </c>
      <c r="W79" s="73">
        <v>0</v>
      </c>
      <c r="X79" s="73">
        <v>0</v>
      </c>
      <c r="Y79" s="73">
        <v>0</v>
      </c>
      <c r="Z79" s="73">
        <v>819</v>
      </c>
      <c r="AA79" s="73">
        <v>617</v>
      </c>
      <c r="AB79" s="73">
        <v>0</v>
      </c>
      <c r="AC79" s="73">
        <v>0</v>
      </c>
      <c r="AD79" s="73">
        <v>0</v>
      </c>
      <c r="AE79" s="73">
        <v>0</v>
      </c>
      <c r="AF79" s="74">
        <f>tblData[[#This Row],[Gross Sales]]+tblData[[#This Row],[Trade Discounts]]+tblData[[#This Row],[Returns]]</f>
        <v>356</v>
      </c>
      <c r="AG79" s="74">
        <f>tblData[[#This Row],[Material Cost]]+tblData[[#This Row],[Conversion Cost]]+tblData[[#This Row],[Inbound Freight]]</f>
        <v>-170</v>
      </c>
      <c r="AH79" s="74">
        <f>tblData[[#This Row],[Net Revenue]]+tblData[[#This Row],[COGS]]</f>
        <v>186</v>
      </c>
      <c r="AI79" s="74">
        <f>tblData[[#This Row],[Advertising]]+tblData[[#This Row],[Promotions]]</f>
        <v>-12</v>
      </c>
      <c r="AJ79" s="74">
        <f>tblData[[#This Row],[Outbound Logistics]]+tblData[[#This Row],[Direct Selling]]</f>
        <v>-18</v>
      </c>
      <c r="AK79" s="74">
        <f>tblData[[#This Row],[Gross Profit]]+tblData[[#This Row],[AP Spend]]+tblData[[#This Row],[Cost to Serve]]</f>
        <v>156</v>
      </c>
    </row>
    <row r="80" spans="2:37" x14ac:dyDescent="0.25">
      <c r="B80" s="71" t="s">
        <v>36</v>
      </c>
      <c r="C80" s="71">
        <v>2025</v>
      </c>
      <c r="D80" s="71">
        <v>1</v>
      </c>
      <c r="E80" s="71" t="s">
        <v>48</v>
      </c>
      <c r="F80" s="71" t="s">
        <v>43</v>
      </c>
      <c r="G80" s="72">
        <v>12.8</v>
      </c>
      <c r="H80" s="73">
        <v>227</v>
      </c>
      <c r="I80" s="73">
        <v>-19</v>
      </c>
      <c r="J80" s="73">
        <v>-2</v>
      </c>
      <c r="K80" s="73">
        <v>-61</v>
      </c>
      <c r="L80" s="73">
        <v>-15</v>
      </c>
      <c r="M80" s="73">
        <v>-8</v>
      </c>
      <c r="N80" s="73">
        <v>-23</v>
      </c>
      <c r="O80" s="73">
        <v>-12</v>
      </c>
      <c r="P80" s="73">
        <v>-7</v>
      </c>
      <c r="Q80" s="73">
        <v>-3</v>
      </c>
      <c r="R80" s="73">
        <v>0</v>
      </c>
      <c r="S80" s="73">
        <v>0</v>
      </c>
      <c r="T80" s="73">
        <v>0</v>
      </c>
      <c r="U80" s="73">
        <v>0</v>
      </c>
      <c r="V80" s="73">
        <v>0</v>
      </c>
      <c r="W80" s="73">
        <v>0</v>
      </c>
      <c r="X80" s="73">
        <v>0</v>
      </c>
      <c r="Y80" s="73">
        <v>0</v>
      </c>
      <c r="Z80" s="73">
        <v>472</v>
      </c>
      <c r="AA80" s="73">
        <v>334</v>
      </c>
      <c r="AB80" s="73">
        <v>0</v>
      </c>
      <c r="AC80" s="73">
        <v>0</v>
      </c>
      <c r="AD80" s="73">
        <v>0</v>
      </c>
      <c r="AE80" s="73">
        <v>0</v>
      </c>
      <c r="AF80" s="74">
        <f>tblData[[#This Row],[Gross Sales]]+tblData[[#This Row],[Trade Discounts]]+tblData[[#This Row],[Returns]]</f>
        <v>206</v>
      </c>
      <c r="AG80" s="74">
        <f>tblData[[#This Row],[Material Cost]]+tblData[[#This Row],[Conversion Cost]]+tblData[[#This Row],[Inbound Freight]]</f>
        <v>-84</v>
      </c>
      <c r="AH80" s="74">
        <f>tblData[[#This Row],[Net Revenue]]+tblData[[#This Row],[COGS]]</f>
        <v>122</v>
      </c>
      <c r="AI80" s="74">
        <f>tblData[[#This Row],[Advertising]]+tblData[[#This Row],[Promotions]]</f>
        <v>-35</v>
      </c>
      <c r="AJ80" s="74">
        <f>tblData[[#This Row],[Outbound Logistics]]+tblData[[#This Row],[Direct Selling]]</f>
        <v>-10</v>
      </c>
      <c r="AK80" s="74">
        <f>tblData[[#This Row],[Gross Profit]]+tblData[[#This Row],[AP Spend]]+tblData[[#This Row],[Cost to Serve]]</f>
        <v>77</v>
      </c>
    </row>
    <row r="81" spans="2:37" x14ac:dyDescent="0.25">
      <c r="B81" s="71" t="s">
        <v>36</v>
      </c>
      <c r="C81" s="71">
        <v>2025</v>
      </c>
      <c r="D81" s="71">
        <v>1</v>
      </c>
      <c r="E81" s="71" t="s">
        <v>49</v>
      </c>
      <c r="F81" s="71" t="s">
        <v>49</v>
      </c>
      <c r="G81" s="72">
        <v>0</v>
      </c>
      <c r="H81" s="73">
        <v>0</v>
      </c>
      <c r="I81" s="73">
        <v>0</v>
      </c>
      <c r="J81" s="73">
        <v>0</v>
      </c>
      <c r="K81" s="73">
        <v>0</v>
      </c>
      <c r="L81" s="73">
        <v>0</v>
      </c>
      <c r="M81" s="73">
        <v>0</v>
      </c>
      <c r="N81" s="73">
        <v>0</v>
      </c>
      <c r="O81" s="73">
        <v>0</v>
      </c>
      <c r="P81" s="73">
        <v>0</v>
      </c>
      <c r="Q81" s="73">
        <v>0</v>
      </c>
      <c r="R81" s="73">
        <v>-3963</v>
      </c>
      <c r="S81" s="73">
        <v>-974</v>
      </c>
      <c r="T81" s="73">
        <v>-1261</v>
      </c>
      <c r="U81" s="73">
        <v>-1079</v>
      </c>
      <c r="V81" s="73">
        <v>-1413</v>
      </c>
      <c r="W81" s="73">
        <v>-750</v>
      </c>
      <c r="X81" s="73">
        <v>-749</v>
      </c>
      <c r="Y81" s="73">
        <v>-983</v>
      </c>
      <c r="Z81" s="73">
        <v>0</v>
      </c>
      <c r="AA81" s="73">
        <v>0</v>
      </c>
      <c r="AB81" s="73">
        <v>25510</v>
      </c>
      <c r="AC81" s="73">
        <v>44728</v>
      </c>
      <c r="AD81" s="73">
        <v>200000</v>
      </c>
      <c r="AE81" s="73">
        <v>1147</v>
      </c>
      <c r="AF81" s="74">
        <f>tblData[[#This Row],[Gross Sales]]+tblData[[#This Row],[Trade Discounts]]+tblData[[#This Row],[Returns]]</f>
        <v>0</v>
      </c>
      <c r="AG81" s="74">
        <f>tblData[[#This Row],[Material Cost]]+tblData[[#This Row],[Conversion Cost]]+tblData[[#This Row],[Inbound Freight]]</f>
        <v>0</v>
      </c>
      <c r="AH81" s="74">
        <f>tblData[[#This Row],[Net Revenue]]+tblData[[#This Row],[COGS]]</f>
        <v>0</v>
      </c>
      <c r="AI81" s="74">
        <f>tblData[[#This Row],[Advertising]]+tblData[[#This Row],[Promotions]]</f>
        <v>0</v>
      </c>
      <c r="AJ81" s="74">
        <f>tblData[[#This Row],[Outbound Logistics]]+tblData[[#This Row],[Direct Selling]]</f>
        <v>0</v>
      </c>
      <c r="AK81" s="74">
        <f>tblData[[#This Row],[Gross Profit]]+tblData[[#This Row],[AP Spend]]+tblData[[#This Row],[Cost to Serve]]</f>
        <v>0</v>
      </c>
    </row>
    <row r="82" spans="2:37" x14ac:dyDescent="0.25">
      <c r="B82" s="71" t="s">
        <v>36</v>
      </c>
      <c r="C82" s="71">
        <v>2025</v>
      </c>
      <c r="D82" s="71">
        <v>2</v>
      </c>
      <c r="E82" s="71" t="s">
        <v>37</v>
      </c>
      <c r="F82" s="71" t="s">
        <v>38</v>
      </c>
      <c r="G82" s="72">
        <v>239</v>
      </c>
      <c r="H82" s="73">
        <v>3279</v>
      </c>
      <c r="I82" s="73">
        <v>-610</v>
      </c>
      <c r="J82" s="73">
        <v>-49</v>
      </c>
      <c r="K82" s="73">
        <v>-698</v>
      </c>
      <c r="L82" s="73">
        <v>-177</v>
      </c>
      <c r="M82" s="73">
        <v>-93</v>
      </c>
      <c r="N82" s="73">
        <v>-211</v>
      </c>
      <c r="O82" s="73">
        <v>-113</v>
      </c>
      <c r="P82" s="73">
        <v>-131</v>
      </c>
      <c r="Q82" s="73">
        <v>-98</v>
      </c>
      <c r="R82" s="73">
        <v>0</v>
      </c>
      <c r="S82" s="73">
        <v>0</v>
      </c>
      <c r="T82" s="73">
        <v>0</v>
      </c>
      <c r="U82" s="73">
        <v>0</v>
      </c>
      <c r="V82" s="73">
        <v>0</v>
      </c>
      <c r="W82" s="73">
        <v>0</v>
      </c>
      <c r="X82" s="73">
        <v>0</v>
      </c>
      <c r="Y82" s="73">
        <v>0</v>
      </c>
      <c r="Z82" s="73">
        <v>4743</v>
      </c>
      <c r="AA82" s="73">
        <v>3027</v>
      </c>
      <c r="AB82" s="73">
        <v>0</v>
      </c>
      <c r="AC82" s="73">
        <v>0</v>
      </c>
      <c r="AD82" s="73">
        <v>0</v>
      </c>
      <c r="AE82" s="73">
        <v>0</v>
      </c>
      <c r="AF82" s="74">
        <f>tblData[[#This Row],[Gross Sales]]+tblData[[#This Row],[Trade Discounts]]+tblData[[#This Row],[Returns]]</f>
        <v>2620</v>
      </c>
      <c r="AG82" s="74">
        <f>tblData[[#This Row],[Material Cost]]+tblData[[#This Row],[Conversion Cost]]+tblData[[#This Row],[Inbound Freight]]</f>
        <v>-968</v>
      </c>
      <c r="AH82" s="74">
        <f>tblData[[#This Row],[Net Revenue]]+tblData[[#This Row],[COGS]]</f>
        <v>1652</v>
      </c>
      <c r="AI82" s="74">
        <f>tblData[[#This Row],[Advertising]]+tblData[[#This Row],[Promotions]]</f>
        <v>-324</v>
      </c>
      <c r="AJ82" s="74">
        <f>tblData[[#This Row],[Outbound Logistics]]+tblData[[#This Row],[Direct Selling]]</f>
        <v>-229</v>
      </c>
      <c r="AK82" s="74">
        <f>tblData[[#This Row],[Gross Profit]]+tblData[[#This Row],[AP Spend]]+tblData[[#This Row],[Cost to Serve]]</f>
        <v>1099</v>
      </c>
    </row>
    <row r="83" spans="2:37" x14ac:dyDescent="0.25">
      <c r="B83" s="71" t="s">
        <v>36</v>
      </c>
      <c r="C83" s="71">
        <v>2025</v>
      </c>
      <c r="D83" s="71">
        <v>2</v>
      </c>
      <c r="E83" s="71" t="s">
        <v>37</v>
      </c>
      <c r="F83" s="71" t="s">
        <v>39</v>
      </c>
      <c r="G83" s="72">
        <v>323.5</v>
      </c>
      <c r="H83" s="73">
        <v>2853</v>
      </c>
      <c r="I83" s="73">
        <v>-531</v>
      </c>
      <c r="J83" s="73">
        <v>-43</v>
      </c>
      <c r="K83" s="73">
        <v>-728</v>
      </c>
      <c r="L83" s="73">
        <v>-185</v>
      </c>
      <c r="M83" s="73">
        <v>-98</v>
      </c>
      <c r="N83" s="73">
        <v>-120</v>
      </c>
      <c r="O83" s="73">
        <v>-65</v>
      </c>
      <c r="P83" s="73">
        <v>-114</v>
      </c>
      <c r="Q83" s="73">
        <v>-86</v>
      </c>
      <c r="R83" s="73">
        <v>0</v>
      </c>
      <c r="S83" s="73">
        <v>0</v>
      </c>
      <c r="T83" s="73">
        <v>0</v>
      </c>
      <c r="U83" s="73">
        <v>0</v>
      </c>
      <c r="V83" s="73">
        <v>0</v>
      </c>
      <c r="W83" s="73">
        <v>0</v>
      </c>
      <c r="X83" s="73">
        <v>0</v>
      </c>
      <c r="Y83" s="73">
        <v>0</v>
      </c>
      <c r="Z83" s="73">
        <v>4086</v>
      </c>
      <c r="AA83" s="73">
        <v>2635</v>
      </c>
      <c r="AB83" s="73">
        <v>0</v>
      </c>
      <c r="AC83" s="73">
        <v>0</v>
      </c>
      <c r="AD83" s="73">
        <v>0</v>
      </c>
      <c r="AE83" s="73">
        <v>0</v>
      </c>
      <c r="AF83" s="74">
        <f>tblData[[#This Row],[Gross Sales]]+tblData[[#This Row],[Trade Discounts]]+tblData[[#This Row],[Returns]]</f>
        <v>2279</v>
      </c>
      <c r="AG83" s="74">
        <f>tblData[[#This Row],[Material Cost]]+tblData[[#This Row],[Conversion Cost]]+tblData[[#This Row],[Inbound Freight]]</f>
        <v>-1011</v>
      </c>
      <c r="AH83" s="74">
        <f>tblData[[#This Row],[Net Revenue]]+tblData[[#This Row],[COGS]]</f>
        <v>1268</v>
      </c>
      <c r="AI83" s="74">
        <f>tblData[[#This Row],[Advertising]]+tblData[[#This Row],[Promotions]]</f>
        <v>-185</v>
      </c>
      <c r="AJ83" s="74">
        <f>tblData[[#This Row],[Outbound Logistics]]+tblData[[#This Row],[Direct Selling]]</f>
        <v>-200</v>
      </c>
      <c r="AK83" s="74">
        <f>tblData[[#This Row],[Gross Profit]]+tblData[[#This Row],[AP Spend]]+tblData[[#This Row],[Cost to Serve]]</f>
        <v>883</v>
      </c>
    </row>
    <row r="84" spans="2:37" x14ac:dyDescent="0.25">
      <c r="B84" s="71" t="s">
        <v>36</v>
      </c>
      <c r="C84" s="71">
        <v>2025</v>
      </c>
      <c r="D84" s="71">
        <v>2</v>
      </c>
      <c r="E84" s="71" t="s">
        <v>37</v>
      </c>
      <c r="F84" s="71" t="s">
        <v>40</v>
      </c>
      <c r="G84" s="72">
        <v>308.2</v>
      </c>
      <c r="H84" s="73">
        <v>2114</v>
      </c>
      <c r="I84" s="73">
        <v>-393</v>
      </c>
      <c r="J84" s="73">
        <v>-32</v>
      </c>
      <c r="K84" s="73">
        <v>-600</v>
      </c>
      <c r="L84" s="73">
        <v>-152</v>
      </c>
      <c r="M84" s="73">
        <v>-80</v>
      </c>
      <c r="N84" s="73">
        <v>-60</v>
      </c>
      <c r="O84" s="73">
        <v>-32</v>
      </c>
      <c r="P84" s="73">
        <v>-85</v>
      </c>
      <c r="Q84" s="73">
        <v>-63</v>
      </c>
      <c r="R84" s="73">
        <v>0</v>
      </c>
      <c r="S84" s="73">
        <v>0</v>
      </c>
      <c r="T84" s="73">
        <v>0</v>
      </c>
      <c r="U84" s="73">
        <v>0</v>
      </c>
      <c r="V84" s="73">
        <v>0</v>
      </c>
      <c r="W84" s="73">
        <v>0</v>
      </c>
      <c r="X84" s="73">
        <v>0</v>
      </c>
      <c r="Y84" s="73">
        <v>0</v>
      </c>
      <c r="Z84" s="73">
        <v>3014</v>
      </c>
      <c r="AA84" s="73">
        <v>2025</v>
      </c>
      <c r="AB84" s="73">
        <v>0</v>
      </c>
      <c r="AC84" s="73">
        <v>0</v>
      </c>
      <c r="AD84" s="73">
        <v>0</v>
      </c>
      <c r="AE84" s="73">
        <v>0</v>
      </c>
      <c r="AF84" s="74">
        <f>tblData[[#This Row],[Gross Sales]]+tblData[[#This Row],[Trade Discounts]]+tblData[[#This Row],[Returns]]</f>
        <v>1689</v>
      </c>
      <c r="AG84" s="74">
        <f>tblData[[#This Row],[Material Cost]]+tblData[[#This Row],[Conversion Cost]]+tblData[[#This Row],[Inbound Freight]]</f>
        <v>-832</v>
      </c>
      <c r="AH84" s="74">
        <f>tblData[[#This Row],[Net Revenue]]+tblData[[#This Row],[COGS]]</f>
        <v>857</v>
      </c>
      <c r="AI84" s="74">
        <f>tblData[[#This Row],[Advertising]]+tblData[[#This Row],[Promotions]]</f>
        <v>-92</v>
      </c>
      <c r="AJ84" s="74">
        <f>tblData[[#This Row],[Outbound Logistics]]+tblData[[#This Row],[Direct Selling]]</f>
        <v>-148</v>
      </c>
      <c r="AK84" s="74">
        <f>tblData[[#This Row],[Gross Profit]]+tblData[[#This Row],[AP Spend]]+tblData[[#This Row],[Cost to Serve]]</f>
        <v>617</v>
      </c>
    </row>
    <row r="85" spans="2:37" x14ac:dyDescent="0.25">
      <c r="B85" s="71" t="s">
        <v>36</v>
      </c>
      <c r="C85" s="71">
        <v>2025</v>
      </c>
      <c r="D85" s="71">
        <v>2</v>
      </c>
      <c r="E85" s="71" t="s">
        <v>37</v>
      </c>
      <c r="F85" s="71" t="s">
        <v>41</v>
      </c>
      <c r="G85" s="72">
        <v>157.69999999999999</v>
      </c>
      <c r="H85" s="73">
        <v>1700</v>
      </c>
      <c r="I85" s="73">
        <v>-316</v>
      </c>
      <c r="J85" s="73">
        <v>-26</v>
      </c>
      <c r="K85" s="73">
        <v>-398</v>
      </c>
      <c r="L85" s="73">
        <v>-101</v>
      </c>
      <c r="M85" s="73">
        <v>-53</v>
      </c>
      <c r="N85" s="73">
        <v>-129</v>
      </c>
      <c r="O85" s="73">
        <v>-69</v>
      </c>
      <c r="P85" s="73">
        <v>-68</v>
      </c>
      <c r="Q85" s="73">
        <v>-51</v>
      </c>
      <c r="R85" s="73">
        <v>0</v>
      </c>
      <c r="S85" s="73">
        <v>0</v>
      </c>
      <c r="T85" s="73">
        <v>0</v>
      </c>
      <c r="U85" s="73">
        <v>0</v>
      </c>
      <c r="V85" s="73">
        <v>0</v>
      </c>
      <c r="W85" s="73">
        <v>0</v>
      </c>
      <c r="X85" s="73">
        <v>0</v>
      </c>
      <c r="Y85" s="73">
        <v>0</v>
      </c>
      <c r="Z85" s="73">
        <v>2399</v>
      </c>
      <c r="AA85" s="73">
        <v>1596</v>
      </c>
      <c r="AB85" s="73">
        <v>0</v>
      </c>
      <c r="AC85" s="73">
        <v>0</v>
      </c>
      <c r="AD85" s="73">
        <v>0</v>
      </c>
      <c r="AE85" s="73">
        <v>0</v>
      </c>
      <c r="AF85" s="74">
        <f>tblData[[#This Row],[Gross Sales]]+tblData[[#This Row],[Trade Discounts]]+tblData[[#This Row],[Returns]]</f>
        <v>1358</v>
      </c>
      <c r="AG85" s="74">
        <f>tblData[[#This Row],[Material Cost]]+tblData[[#This Row],[Conversion Cost]]+tblData[[#This Row],[Inbound Freight]]</f>
        <v>-552</v>
      </c>
      <c r="AH85" s="74">
        <f>tblData[[#This Row],[Net Revenue]]+tblData[[#This Row],[COGS]]</f>
        <v>806</v>
      </c>
      <c r="AI85" s="74">
        <f>tblData[[#This Row],[Advertising]]+tblData[[#This Row],[Promotions]]</f>
        <v>-198</v>
      </c>
      <c r="AJ85" s="74">
        <f>tblData[[#This Row],[Outbound Logistics]]+tblData[[#This Row],[Direct Selling]]</f>
        <v>-119</v>
      </c>
      <c r="AK85" s="74">
        <f>tblData[[#This Row],[Gross Profit]]+tblData[[#This Row],[AP Spend]]+tblData[[#This Row],[Cost to Serve]]</f>
        <v>489</v>
      </c>
    </row>
    <row r="86" spans="2:37" x14ac:dyDescent="0.25">
      <c r="B86" s="71" t="s">
        <v>36</v>
      </c>
      <c r="C86" s="71">
        <v>2025</v>
      </c>
      <c r="D86" s="71">
        <v>2</v>
      </c>
      <c r="E86" s="71" t="s">
        <v>37</v>
      </c>
      <c r="F86" s="71" t="s">
        <v>42</v>
      </c>
      <c r="G86" s="72">
        <v>203.3</v>
      </c>
      <c r="H86" s="73">
        <v>1196</v>
      </c>
      <c r="I86" s="73">
        <v>-222</v>
      </c>
      <c r="J86" s="73">
        <v>-18</v>
      </c>
      <c r="K86" s="73">
        <v>-373</v>
      </c>
      <c r="L86" s="73">
        <v>-95</v>
      </c>
      <c r="M86" s="73">
        <v>-50</v>
      </c>
      <c r="N86" s="73">
        <v>-25</v>
      </c>
      <c r="O86" s="73">
        <v>-13</v>
      </c>
      <c r="P86" s="73">
        <v>-48</v>
      </c>
      <c r="Q86" s="73">
        <v>-36</v>
      </c>
      <c r="R86" s="73">
        <v>0</v>
      </c>
      <c r="S86" s="73">
        <v>0</v>
      </c>
      <c r="T86" s="73">
        <v>0</v>
      </c>
      <c r="U86" s="73">
        <v>0</v>
      </c>
      <c r="V86" s="73">
        <v>0</v>
      </c>
      <c r="W86" s="73">
        <v>0</v>
      </c>
      <c r="X86" s="73">
        <v>0</v>
      </c>
      <c r="Y86" s="73">
        <v>0</v>
      </c>
      <c r="Z86" s="73">
        <v>1707</v>
      </c>
      <c r="AA86" s="73">
        <v>1851</v>
      </c>
      <c r="AB86" s="73">
        <v>0</v>
      </c>
      <c r="AC86" s="73">
        <v>0</v>
      </c>
      <c r="AD86" s="73">
        <v>0</v>
      </c>
      <c r="AE86" s="73">
        <v>0</v>
      </c>
      <c r="AF86" s="74">
        <f>tblData[[#This Row],[Gross Sales]]+tblData[[#This Row],[Trade Discounts]]+tblData[[#This Row],[Returns]]</f>
        <v>956</v>
      </c>
      <c r="AG86" s="74">
        <f>tblData[[#This Row],[Material Cost]]+tblData[[#This Row],[Conversion Cost]]+tblData[[#This Row],[Inbound Freight]]</f>
        <v>-518</v>
      </c>
      <c r="AH86" s="74">
        <f>tblData[[#This Row],[Net Revenue]]+tblData[[#This Row],[COGS]]</f>
        <v>438</v>
      </c>
      <c r="AI86" s="74">
        <f>tblData[[#This Row],[Advertising]]+tblData[[#This Row],[Promotions]]</f>
        <v>-38</v>
      </c>
      <c r="AJ86" s="74">
        <f>tblData[[#This Row],[Outbound Logistics]]+tblData[[#This Row],[Direct Selling]]</f>
        <v>-84</v>
      </c>
      <c r="AK86" s="74">
        <f>tblData[[#This Row],[Gross Profit]]+tblData[[#This Row],[AP Spend]]+tblData[[#This Row],[Cost to Serve]]</f>
        <v>316</v>
      </c>
    </row>
    <row r="87" spans="2:37" x14ac:dyDescent="0.25">
      <c r="B87" s="71" t="s">
        <v>36</v>
      </c>
      <c r="C87" s="71">
        <v>2025</v>
      </c>
      <c r="D87" s="71">
        <v>2</v>
      </c>
      <c r="E87" s="71" t="s">
        <v>37</v>
      </c>
      <c r="F87" s="71" t="s">
        <v>43</v>
      </c>
      <c r="G87" s="72">
        <v>41.2</v>
      </c>
      <c r="H87" s="73">
        <v>727</v>
      </c>
      <c r="I87" s="73">
        <v>-135</v>
      </c>
      <c r="J87" s="73">
        <v>-11</v>
      </c>
      <c r="K87" s="73">
        <v>-196</v>
      </c>
      <c r="L87" s="73">
        <v>-50</v>
      </c>
      <c r="M87" s="73">
        <v>-26</v>
      </c>
      <c r="N87" s="73">
        <v>-70</v>
      </c>
      <c r="O87" s="73">
        <v>-38</v>
      </c>
      <c r="P87" s="73">
        <v>-29</v>
      </c>
      <c r="Q87" s="73">
        <v>-22</v>
      </c>
      <c r="R87" s="73">
        <v>0</v>
      </c>
      <c r="S87" s="73">
        <v>0</v>
      </c>
      <c r="T87" s="73">
        <v>0</v>
      </c>
      <c r="U87" s="73">
        <v>0</v>
      </c>
      <c r="V87" s="73">
        <v>0</v>
      </c>
      <c r="W87" s="73">
        <v>0</v>
      </c>
      <c r="X87" s="73">
        <v>0</v>
      </c>
      <c r="Y87" s="73">
        <v>0</v>
      </c>
      <c r="Z87" s="73">
        <v>1027</v>
      </c>
      <c r="AA87" s="73">
        <v>1048</v>
      </c>
      <c r="AB87" s="73">
        <v>0</v>
      </c>
      <c r="AC87" s="73">
        <v>0</v>
      </c>
      <c r="AD87" s="73">
        <v>0</v>
      </c>
      <c r="AE87" s="73">
        <v>0</v>
      </c>
      <c r="AF87" s="74">
        <f>tblData[[#This Row],[Gross Sales]]+tblData[[#This Row],[Trade Discounts]]+tblData[[#This Row],[Returns]]</f>
        <v>581</v>
      </c>
      <c r="AG87" s="74">
        <f>tblData[[#This Row],[Material Cost]]+tblData[[#This Row],[Conversion Cost]]+tblData[[#This Row],[Inbound Freight]]</f>
        <v>-272</v>
      </c>
      <c r="AH87" s="74">
        <f>tblData[[#This Row],[Net Revenue]]+tblData[[#This Row],[COGS]]</f>
        <v>309</v>
      </c>
      <c r="AI87" s="74">
        <f>tblData[[#This Row],[Advertising]]+tblData[[#This Row],[Promotions]]</f>
        <v>-108</v>
      </c>
      <c r="AJ87" s="74">
        <f>tblData[[#This Row],[Outbound Logistics]]+tblData[[#This Row],[Direct Selling]]</f>
        <v>-51</v>
      </c>
      <c r="AK87" s="74">
        <f>tblData[[#This Row],[Gross Profit]]+tblData[[#This Row],[AP Spend]]+tblData[[#This Row],[Cost to Serve]]</f>
        <v>150</v>
      </c>
    </row>
    <row r="88" spans="2:37" x14ac:dyDescent="0.25">
      <c r="B88" s="71" t="s">
        <v>36</v>
      </c>
      <c r="C88" s="71">
        <v>2025</v>
      </c>
      <c r="D88" s="71">
        <v>2</v>
      </c>
      <c r="E88" s="71" t="s">
        <v>44</v>
      </c>
      <c r="F88" s="71" t="s">
        <v>38</v>
      </c>
      <c r="G88" s="72">
        <v>202.6</v>
      </c>
      <c r="H88" s="73">
        <v>2780</v>
      </c>
      <c r="I88" s="73">
        <v>-434</v>
      </c>
      <c r="J88" s="73">
        <v>-33</v>
      </c>
      <c r="K88" s="73">
        <v>-591</v>
      </c>
      <c r="L88" s="73">
        <v>-150</v>
      </c>
      <c r="M88" s="73">
        <v>-79</v>
      </c>
      <c r="N88" s="73">
        <v>-168</v>
      </c>
      <c r="O88" s="73">
        <v>-91</v>
      </c>
      <c r="P88" s="73">
        <v>-111</v>
      </c>
      <c r="Q88" s="73">
        <v>-83</v>
      </c>
      <c r="R88" s="73">
        <v>0</v>
      </c>
      <c r="S88" s="73">
        <v>0</v>
      </c>
      <c r="T88" s="73">
        <v>0</v>
      </c>
      <c r="U88" s="73">
        <v>0</v>
      </c>
      <c r="V88" s="73">
        <v>0</v>
      </c>
      <c r="W88" s="73">
        <v>0</v>
      </c>
      <c r="X88" s="73">
        <v>0</v>
      </c>
      <c r="Y88" s="73">
        <v>0</v>
      </c>
      <c r="Z88" s="73">
        <v>3677</v>
      </c>
      <c r="AA88" s="73">
        <v>2479</v>
      </c>
      <c r="AB88" s="73">
        <v>0</v>
      </c>
      <c r="AC88" s="73">
        <v>0</v>
      </c>
      <c r="AD88" s="73">
        <v>0</v>
      </c>
      <c r="AE88" s="73">
        <v>0</v>
      </c>
      <c r="AF88" s="74">
        <f>tblData[[#This Row],[Gross Sales]]+tblData[[#This Row],[Trade Discounts]]+tblData[[#This Row],[Returns]]</f>
        <v>2313</v>
      </c>
      <c r="AG88" s="74">
        <f>tblData[[#This Row],[Material Cost]]+tblData[[#This Row],[Conversion Cost]]+tblData[[#This Row],[Inbound Freight]]</f>
        <v>-820</v>
      </c>
      <c r="AH88" s="74">
        <f>tblData[[#This Row],[Net Revenue]]+tblData[[#This Row],[COGS]]</f>
        <v>1493</v>
      </c>
      <c r="AI88" s="74">
        <f>tblData[[#This Row],[Advertising]]+tblData[[#This Row],[Promotions]]</f>
        <v>-259</v>
      </c>
      <c r="AJ88" s="74">
        <f>tblData[[#This Row],[Outbound Logistics]]+tblData[[#This Row],[Direct Selling]]</f>
        <v>-194</v>
      </c>
      <c r="AK88" s="74">
        <f>tblData[[#This Row],[Gross Profit]]+tblData[[#This Row],[AP Spend]]+tblData[[#This Row],[Cost to Serve]]</f>
        <v>1040</v>
      </c>
    </row>
    <row r="89" spans="2:37" x14ac:dyDescent="0.25">
      <c r="B89" s="71" t="s">
        <v>36</v>
      </c>
      <c r="C89" s="71">
        <v>2025</v>
      </c>
      <c r="D89" s="71">
        <v>2</v>
      </c>
      <c r="E89" s="71" t="s">
        <v>44</v>
      </c>
      <c r="F89" s="71" t="s">
        <v>39</v>
      </c>
      <c r="G89" s="72">
        <v>256.89999999999998</v>
      </c>
      <c r="H89" s="73">
        <v>2266</v>
      </c>
      <c r="I89" s="73">
        <v>-354</v>
      </c>
      <c r="J89" s="73">
        <v>-27</v>
      </c>
      <c r="K89" s="73">
        <v>-579</v>
      </c>
      <c r="L89" s="73">
        <v>-147</v>
      </c>
      <c r="M89" s="73">
        <v>-78</v>
      </c>
      <c r="N89" s="73">
        <v>-96</v>
      </c>
      <c r="O89" s="73">
        <v>-52</v>
      </c>
      <c r="P89" s="73">
        <v>-91</v>
      </c>
      <c r="Q89" s="73">
        <v>-68</v>
      </c>
      <c r="R89" s="73">
        <v>0</v>
      </c>
      <c r="S89" s="73">
        <v>0</v>
      </c>
      <c r="T89" s="73">
        <v>0</v>
      </c>
      <c r="U89" s="73">
        <v>0</v>
      </c>
      <c r="V89" s="73">
        <v>0</v>
      </c>
      <c r="W89" s="73">
        <v>0</v>
      </c>
      <c r="X89" s="73">
        <v>0</v>
      </c>
      <c r="Y89" s="73">
        <v>0</v>
      </c>
      <c r="Z89" s="73">
        <v>3095</v>
      </c>
      <c r="AA89" s="73">
        <v>2109</v>
      </c>
      <c r="AB89" s="73">
        <v>0</v>
      </c>
      <c r="AC89" s="73">
        <v>0</v>
      </c>
      <c r="AD89" s="73">
        <v>0</v>
      </c>
      <c r="AE89" s="73">
        <v>0</v>
      </c>
      <c r="AF89" s="74">
        <f>tblData[[#This Row],[Gross Sales]]+tblData[[#This Row],[Trade Discounts]]+tblData[[#This Row],[Returns]]</f>
        <v>1885</v>
      </c>
      <c r="AG89" s="74">
        <f>tblData[[#This Row],[Material Cost]]+tblData[[#This Row],[Conversion Cost]]+tblData[[#This Row],[Inbound Freight]]</f>
        <v>-804</v>
      </c>
      <c r="AH89" s="74">
        <f>tblData[[#This Row],[Net Revenue]]+tblData[[#This Row],[COGS]]</f>
        <v>1081</v>
      </c>
      <c r="AI89" s="74">
        <f>tblData[[#This Row],[Advertising]]+tblData[[#This Row],[Promotions]]</f>
        <v>-148</v>
      </c>
      <c r="AJ89" s="74">
        <f>tblData[[#This Row],[Outbound Logistics]]+tblData[[#This Row],[Direct Selling]]</f>
        <v>-159</v>
      </c>
      <c r="AK89" s="74">
        <f>tblData[[#This Row],[Gross Profit]]+tblData[[#This Row],[AP Spend]]+tblData[[#This Row],[Cost to Serve]]</f>
        <v>774</v>
      </c>
    </row>
    <row r="90" spans="2:37" x14ac:dyDescent="0.25">
      <c r="B90" s="71" t="s">
        <v>36</v>
      </c>
      <c r="C90" s="71">
        <v>2025</v>
      </c>
      <c r="D90" s="71">
        <v>2</v>
      </c>
      <c r="E90" s="71" t="s">
        <v>44</v>
      </c>
      <c r="F90" s="71" t="s">
        <v>40</v>
      </c>
      <c r="G90" s="72">
        <v>253.2</v>
      </c>
      <c r="H90" s="73">
        <v>1737</v>
      </c>
      <c r="I90" s="73">
        <v>-271</v>
      </c>
      <c r="J90" s="73">
        <v>-21</v>
      </c>
      <c r="K90" s="73">
        <v>-493</v>
      </c>
      <c r="L90" s="73">
        <v>-125</v>
      </c>
      <c r="M90" s="73">
        <v>-66</v>
      </c>
      <c r="N90" s="73">
        <v>-48</v>
      </c>
      <c r="O90" s="73">
        <v>-26</v>
      </c>
      <c r="P90" s="73">
        <v>-69</v>
      </c>
      <c r="Q90" s="73">
        <v>-52</v>
      </c>
      <c r="R90" s="73">
        <v>0</v>
      </c>
      <c r="S90" s="73">
        <v>0</v>
      </c>
      <c r="T90" s="73">
        <v>0</v>
      </c>
      <c r="U90" s="73">
        <v>0</v>
      </c>
      <c r="V90" s="73">
        <v>0</v>
      </c>
      <c r="W90" s="73">
        <v>0</v>
      </c>
      <c r="X90" s="73">
        <v>0</v>
      </c>
      <c r="Y90" s="73">
        <v>0</v>
      </c>
      <c r="Z90" s="73">
        <v>2312</v>
      </c>
      <c r="AA90" s="73">
        <v>1641</v>
      </c>
      <c r="AB90" s="73">
        <v>0</v>
      </c>
      <c r="AC90" s="73">
        <v>0</v>
      </c>
      <c r="AD90" s="73">
        <v>0</v>
      </c>
      <c r="AE90" s="73">
        <v>0</v>
      </c>
      <c r="AF90" s="74">
        <f>tblData[[#This Row],[Gross Sales]]+tblData[[#This Row],[Trade Discounts]]+tblData[[#This Row],[Returns]]</f>
        <v>1445</v>
      </c>
      <c r="AG90" s="74">
        <f>tblData[[#This Row],[Material Cost]]+tblData[[#This Row],[Conversion Cost]]+tblData[[#This Row],[Inbound Freight]]</f>
        <v>-684</v>
      </c>
      <c r="AH90" s="74">
        <f>tblData[[#This Row],[Net Revenue]]+tblData[[#This Row],[COGS]]</f>
        <v>761</v>
      </c>
      <c r="AI90" s="74">
        <f>tblData[[#This Row],[Advertising]]+tblData[[#This Row],[Promotions]]</f>
        <v>-74</v>
      </c>
      <c r="AJ90" s="74">
        <f>tblData[[#This Row],[Outbound Logistics]]+tblData[[#This Row],[Direct Selling]]</f>
        <v>-121</v>
      </c>
      <c r="AK90" s="74">
        <f>tblData[[#This Row],[Gross Profit]]+tblData[[#This Row],[AP Spend]]+tblData[[#This Row],[Cost to Serve]]</f>
        <v>566</v>
      </c>
    </row>
    <row r="91" spans="2:37" x14ac:dyDescent="0.25">
      <c r="B91" s="71" t="s">
        <v>36</v>
      </c>
      <c r="C91" s="71">
        <v>2025</v>
      </c>
      <c r="D91" s="71">
        <v>2</v>
      </c>
      <c r="E91" s="71" t="s">
        <v>44</v>
      </c>
      <c r="F91" s="71" t="s">
        <v>41</v>
      </c>
      <c r="G91" s="72">
        <v>127.5</v>
      </c>
      <c r="H91" s="73">
        <v>1374</v>
      </c>
      <c r="I91" s="73">
        <v>-214</v>
      </c>
      <c r="J91" s="73">
        <v>-16</v>
      </c>
      <c r="K91" s="73">
        <v>-322</v>
      </c>
      <c r="L91" s="73">
        <v>-82</v>
      </c>
      <c r="M91" s="73">
        <v>-43</v>
      </c>
      <c r="N91" s="73">
        <v>-103</v>
      </c>
      <c r="O91" s="73">
        <v>-55</v>
      </c>
      <c r="P91" s="73">
        <v>-55</v>
      </c>
      <c r="Q91" s="73">
        <v>-41</v>
      </c>
      <c r="R91" s="73">
        <v>0</v>
      </c>
      <c r="S91" s="73">
        <v>0</v>
      </c>
      <c r="T91" s="73">
        <v>0</v>
      </c>
      <c r="U91" s="73">
        <v>0</v>
      </c>
      <c r="V91" s="73">
        <v>0</v>
      </c>
      <c r="W91" s="73">
        <v>0</v>
      </c>
      <c r="X91" s="73">
        <v>0</v>
      </c>
      <c r="Y91" s="73">
        <v>0</v>
      </c>
      <c r="Z91" s="73">
        <v>1871</v>
      </c>
      <c r="AA91" s="73">
        <v>1315</v>
      </c>
      <c r="AB91" s="73">
        <v>0</v>
      </c>
      <c r="AC91" s="73">
        <v>0</v>
      </c>
      <c r="AD91" s="73">
        <v>0</v>
      </c>
      <c r="AE91" s="73">
        <v>0</v>
      </c>
      <c r="AF91" s="74">
        <f>tblData[[#This Row],[Gross Sales]]+tblData[[#This Row],[Trade Discounts]]+tblData[[#This Row],[Returns]]</f>
        <v>1144</v>
      </c>
      <c r="AG91" s="74">
        <f>tblData[[#This Row],[Material Cost]]+tblData[[#This Row],[Conversion Cost]]+tblData[[#This Row],[Inbound Freight]]</f>
        <v>-447</v>
      </c>
      <c r="AH91" s="74">
        <f>tblData[[#This Row],[Net Revenue]]+tblData[[#This Row],[COGS]]</f>
        <v>697</v>
      </c>
      <c r="AI91" s="74">
        <f>tblData[[#This Row],[Advertising]]+tblData[[#This Row],[Promotions]]</f>
        <v>-158</v>
      </c>
      <c r="AJ91" s="74">
        <f>tblData[[#This Row],[Outbound Logistics]]+tblData[[#This Row],[Direct Selling]]</f>
        <v>-96</v>
      </c>
      <c r="AK91" s="74">
        <f>tblData[[#This Row],[Gross Profit]]+tblData[[#This Row],[AP Spend]]+tblData[[#This Row],[Cost to Serve]]</f>
        <v>443</v>
      </c>
    </row>
    <row r="92" spans="2:37" x14ac:dyDescent="0.25">
      <c r="B92" s="71" t="s">
        <v>36</v>
      </c>
      <c r="C92" s="71">
        <v>2025</v>
      </c>
      <c r="D92" s="71">
        <v>2</v>
      </c>
      <c r="E92" s="71" t="s">
        <v>44</v>
      </c>
      <c r="F92" s="71" t="s">
        <v>42</v>
      </c>
      <c r="G92" s="72">
        <v>165.1</v>
      </c>
      <c r="H92" s="73">
        <v>971</v>
      </c>
      <c r="I92" s="73">
        <v>-151</v>
      </c>
      <c r="J92" s="73">
        <v>-12</v>
      </c>
      <c r="K92" s="73">
        <v>-303</v>
      </c>
      <c r="L92" s="73">
        <v>-77</v>
      </c>
      <c r="M92" s="73">
        <v>-41</v>
      </c>
      <c r="N92" s="73">
        <v>-20</v>
      </c>
      <c r="O92" s="73">
        <v>-11</v>
      </c>
      <c r="P92" s="73">
        <v>-39</v>
      </c>
      <c r="Q92" s="73">
        <v>-29</v>
      </c>
      <c r="R92" s="73">
        <v>0</v>
      </c>
      <c r="S92" s="73">
        <v>0</v>
      </c>
      <c r="T92" s="73">
        <v>0</v>
      </c>
      <c r="U92" s="73">
        <v>0</v>
      </c>
      <c r="V92" s="73">
        <v>0</v>
      </c>
      <c r="W92" s="73">
        <v>0</v>
      </c>
      <c r="X92" s="73">
        <v>0</v>
      </c>
      <c r="Y92" s="73">
        <v>0</v>
      </c>
      <c r="Z92" s="73">
        <v>1311</v>
      </c>
      <c r="AA92" s="73">
        <v>1501</v>
      </c>
      <c r="AB92" s="73">
        <v>0</v>
      </c>
      <c r="AC92" s="73">
        <v>0</v>
      </c>
      <c r="AD92" s="73">
        <v>0</v>
      </c>
      <c r="AE92" s="73">
        <v>0</v>
      </c>
      <c r="AF92" s="74">
        <f>tblData[[#This Row],[Gross Sales]]+tblData[[#This Row],[Trade Discounts]]+tblData[[#This Row],[Returns]]</f>
        <v>808</v>
      </c>
      <c r="AG92" s="74">
        <f>tblData[[#This Row],[Material Cost]]+tblData[[#This Row],[Conversion Cost]]+tblData[[#This Row],[Inbound Freight]]</f>
        <v>-421</v>
      </c>
      <c r="AH92" s="74">
        <f>tblData[[#This Row],[Net Revenue]]+tblData[[#This Row],[COGS]]</f>
        <v>387</v>
      </c>
      <c r="AI92" s="74">
        <f>tblData[[#This Row],[Advertising]]+tblData[[#This Row],[Promotions]]</f>
        <v>-31</v>
      </c>
      <c r="AJ92" s="74">
        <f>tblData[[#This Row],[Outbound Logistics]]+tblData[[#This Row],[Direct Selling]]</f>
        <v>-68</v>
      </c>
      <c r="AK92" s="74">
        <f>tblData[[#This Row],[Gross Profit]]+tblData[[#This Row],[AP Spend]]+tblData[[#This Row],[Cost to Serve]]</f>
        <v>288</v>
      </c>
    </row>
    <row r="93" spans="2:37" x14ac:dyDescent="0.25">
      <c r="B93" s="71" t="s">
        <v>36</v>
      </c>
      <c r="C93" s="71">
        <v>2025</v>
      </c>
      <c r="D93" s="71">
        <v>2</v>
      </c>
      <c r="E93" s="71" t="s">
        <v>44</v>
      </c>
      <c r="F93" s="71" t="s">
        <v>43</v>
      </c>
      <c r="G93" s="72">
        <v>33.799999999999997</v>
      </c>
      <c r="H93" s="73">
        <v>596</v>
      </c>
      <c r="I93" s="73">
        <v>-93</v>
      </c>
      <c r="J93" s="73">
        <v>-7</v>
      </c>
      <c r="K93" s="73">
        <v>-161</v>
      </c>
      <c r="L93" s="73">
        <v>-41</v>
      </c>
      <c r="M93" s="73">
        <v>-22</v>
      </c>
      <c r="N93" s="73">
        <v>-56</v>
      </c>
      <c r="O93" s="73">
        <v>-30</v>
      </c>
      <c r="P93" s="73">
        <v>-24</v>
      </c>
      <c r="Q93" s="73">
        <v>-18</v>
      </c>
      <c r="R93" s="73">
        <v>0</v>
      </c>
      <c r="S93" s="73">
        <v>0</v>
      </c>
      <c r="T93" s="73">
        <v>0</v>
      </c>
      <c r="U93" s="73">
        <v>0</v>
      </c>
      <c r="V93" s="73">
        <v>0</v>
      </c>
      <c r="W93" s="73">
        <v>0</v>
      </c>
      <c r="X93" s="73">
        <v>0</v>
      </c>
      <c r="Y93" s="73">
        <v>0</v>
      </c>
      <c r="Z93" s="73">
        <v>795</v>
      </c>
      <c r="AA93" s="73">
        <v>857</v>
      </c>
      <c r="AB93" s="73">
        <v>0</v>
      </c>
      <c r="AC93" s="73">
        <v>0</v>
      </c>
      <c r="AD93" s="73">
        <v>0</v>
      </c>
      <c r="AE93" s="73">
        <v>0</v>
      </c>
      <c r="AF93" s="74">
        <f>tblData[[#This Row],[Gross Sales]]+tblData[[#This Row],[Trade Discounts]]+tblData[[#This Row],[Returns]]</f>
        <v>496</v>
      </c>
      <c r="AG93" s="74">
        <f>tblData[[#This Row],[Material Cost]]+tblData[[#This Row],[Conversion Cost]]+tblData[[#This Row],[Inbound Freight]]</f>
        <v>-224</v>
      </c>
      <c r="AH93" s="74">
        <f>tblData[[#This Row],[Net Revenue]]+tblData[[#This Row],[COGS]]</f>
        <v>272</v>
      </c>
      <c r="AI93" s="74">
        <f>tblData[[#This Row],[Advertising]]+tblData[[#This Row],[Promotions]]</f>
        <v>-86</v>
      </c>
      <c r="AJ93" s="74">
        <f>tblData[[#This Row],[Outbound Logistics]]+tblData[[#This Row],[Direct Selling]]</f>
        <v>-42</v>
      </c>
      <c r="AK93" s="74">
        <f>tblData[[#This Row],[Gross Profit]]+tblData[[#This Row],[AP Spend]]+tblData[[#This Row],[Cost to Serve]]</f>
        <v>144</v>
      </c>
    </row>
    <row r="94" spans="2:37" x14ac:dyDescent="0.25">
      <c r="B94" s="71" t="s">
        <v>36</v>
      </c>
      <c r="C94" s="71">
        <v>2025</v>
      </c>
      <c r="D94" s="71">
        <v>2</v>
      </c>
      <c r="E94" s="71" t="s">
        <v>45</v>
      </c>
      <c r="F94" s="71" t="s">
        <v>38</v>
      </c>
      <c r="G94" s="72">
        <v>109.2</v>
      </c>
      <c r="H94" s="73">
        <v>1498</v>
      </c>
      <c r="I94" s="73">
        <v>-324</v>
      </c>
      <c r="J94" s="73">
        <v>-15</v>
      </c>
      <c r="K94" s="73">
        <v>-319</v>
      </c>
      <c r="L94" s="73">
        <v>-81</v>
      </c>
      <c r="M94" s="73">
        <v>-43</v>
      </c>
      <c r="N94" s="73">
        <v>-98</v>
      </c>
      <c r="O94" s="73">
        <v>-53</v>
      </c>
      <c r="P94" s="73">
        <v>-52</v>
      </c>
      <c r="Q94" s="73">
        <v>-30</v>
      </c>
      <c r="R94" s="73">
        <v>0</v>
      </c>
      <c r="S94" s="73">
        <v>0</v>
      </c>
      <c r="T94" s="73">
        <v>0</v>
      </c>
      <c r="U94" s="73">
        <v>0</v>
      </c>
      <c r="V94" s="73">
        <v>0</v>
      </c>
      <c r="W94" s="73">
        <v>0</v>
      </c>
      <c r="X94" s="73">
        <v>0</v>
      </c>
      <c r="Y94" s="73">
        <v>0</v>
      </c>
      <c r="Z94" s="73">
        <v>1718</v>
      </c>
      <c r="AA94" s="73">
        <v>1383</v>
      </c>
      <c r="AB94" s="73">
        <v>0</v>
      </c>
      <c r="AC94" s="73">
        <v>0</v>
      </c>
      <c r="AD94" s="73">
        <v>0</v>
      </c>
      <c r="AE94" s="73">
        <v>0</v>
      </c>
      <c r="AF94" s="74">
        <f>tblData[[#This Row],[Gross Sales]]+tblData[[#This Row],[Trade Discounts]]+tblData[[#This Row],[Returns]]</f>
        <v>1159</v>
      </c>
      <c r="AG94" s="74">
        <f>tblData[[#This Row],[Material Cost]]+tblData[[#This Row],[Conversion Cost]]+tblData[[#This Row],[Inbound Freight]]</f>
        <v>-443</v>
      </c>
      <c r="AH94" s="74">
        <f>tblData[[#This Row],[Net Revenue]]+tblData[[#This Row],[COGS]]</f>
        <v>716</v>
      </c>
      <c r="AI94" s="74">
        <f>tblData[[#This Row],[Advertising]]+tblData[[#This Row],[Promotions]]</f>
        <v>-151</v>
      </c>
      <c r="AJ94" s="74">
        <f>tblData[[#This Row],[Outbound Logistics]]+tblData[[#This Row],[Direct Selling]]</f>
        <v>-82</v>
      </c>
      <c r="AK94" s="74">
        <f>tblData[[#This Row],[Gross Profit]]+tblData[[#This Row],[AP Spend]]+tblData[[#This Row],[Cost to Serve]]</f>
        <v>483</v>
      </c>
    </row>
    <row r="95" spans="2:37" x14ac:dyDescent="0.25">
      <c r="B95" s="71" t="s">
        <v>36</v>
      </c>
      <c r="C95" s="71">
        <v>2025</v>
      </c>
      <c r="D95" s="71">
        <v>2</v>
      </c>
      <c r="E95" s="71" t="s">
        <v>45</v>
      </c>
      <c r="F95" s="71" t="s">
        <v>39</v>
      </c>
      <c r="G95" s="72">
        <v>155.5</v>
      </c>
      <c r="H95" s="73">
        <v>1371</v>
      </c>
      <c r="I95" s="73">
        <v>-296</v>
      </c>
      <c r="J95" s="73">
        <v>-14</v>
      </c>
      <c r="K95" s="73">
        <v>-350</v>
      </c>
      <c r="L95" s="73">
        <v>-89</v>
      </c>
      <c r="M95" s="73">
        <v>-47</v>
      </c>
      <c r="N95" s="73">
        <v>-56</v>
      </c>
      <c r="O95" s="73">
        <v>-30</v>
      </c>
      <c r="P95" s="73">
        <v>-48</v>
      </c>
      <c r="Q95" s="73">
        <v>-27</v>
      </c>
      <c r="R95" s="73">
        <v>0</v>
      </c>
      <c r="S95" s="73">
        <v>0</v>
      </c>
      <c r="T95" s="73">
        <v>0</v>
      </c>
      <c r="U95" s="73">
        <v>0</v>
      </c>
      <c r="V95" s="73">
        <v>0</v>
      </c>
      <c r="W95" s="73">
        <v>0</v>
      </c>
      <c r="X95" s="73">
        <v>0</v>
      </c>
      <c r="Y95" s="73">
        <v>0</v>
      </c>
      <c r="Z95" s="73">
        <v>1525</v>
      </c>
      <c r="AA95" s="73">
        <v>1241</v>
      </c>
      <c r="AB95" s="73">
        <v>0</v>
      </c>
      <c r="AC95" s="73">
        <v>0</v>
      </c>
      <c r="AD95" s="73">
        <v>0</v>
      </c>
      <c r="AE95" s="73">
        <v>0</v>
      </c>
      <c r="AF95" s="74">
        <f>tblData[[#This Row],[Gross Sales]]+tblData[[#This Row],[Trade Discounts]]+tblData[[#This Row],[Returns]]</f>
        <v>1061</v>
      </c>
      <c r="AG95" s="74">
        <f>tblData[[#This Row],[Material Cost]]+tblData[[#This Row],[Conversion Cost]]+tblData[[#This Row],[Inbound Freight]]</f>
        <v>-486</v>
      </c>
      <c r="AH95" s="74">
        <f>tblData[[#This Row],[Net Revenue]]+tblData[[#This Row],[COGS]]</f>
        <v>575</v>
      </c>
      <c r="AI95" s="74">
        <f>tblData[[#This Row],[Advertising]]+tblData[[#This Row],[Promotions]]</f>
        <v>-86</v>
      </c>
      <c r="AJ95" s="74">
        <f>tblData[[#This Row],[Outbound Logistics]]+tblData[[#This Row],[Direct Selling]]</f>
        <v>-75</v>
      </c>
      <c r="AK95" s="74">
        <f>tblData[[#This Row],[Gross Profit]]+tblData[[#This Row],[AP Spend]]+tblData[[#This Row],[Cost to Serve]]</f>
        <v>414</v>
      </c>
    </row>
    <row r="96" spans="2:37" x14ac:dyDescent="0.25">
      <c r="B96" s="71" t="s">
        <v>36</v>
      </c>
      <c r="C96" s="71">
        <v>2025</v>
      </c>
      <c r="D96" s="71">
        <v>2</v>
      </c>
      <c r="E96" s="71" t="s">
        <v>45</v>
      </c>
      <c r="F96" s="71" t="s">
        <v>40</v>
      </c>
      <c r="G96" s="72">
        <v>148.19999999999999</v>
      </c>
      <c r="H96" s="73">
        <v>1017</v>
      </c>
      <c r="I96" s="73">
        <v>-220</v>
      </c>
      <c r="J96" s="73">
        <v>-10</v>
      </c>
      <c r="K96" s="73">
        <v>-288</v>
      </c>
      <c r="L96" s="73">
        <v>-73</v>
      </c>
      <c r="M96" s="73">
        <v>-39</v>
      </c>
      <c r="N96" s="73">
        <v>-28</v>
      </c>
      <c r="O96" s="73">
        <v>-15</v>
      </c>
      <c r="P96" s="73">
        <v>-36</v>
      </c>
      <c r="Q96" s="73">
        <v>-20</v>
      </c>
      <c r="R96" s="73">
        <v>0</v>
      </c>
      <c r="S96" s="73">
        <v>0</v>
      </c>
      <c r="T96" s="73">
        <v>0</v>
      </c>
      <c r="U96" s="73">
        <v>0</v>
      </c>
      <c r="V96" s="73">
        <v>0</v>
      </c>
      <c r="W96" s="73">
        <v>0</v>
      </c>
      <c r="X96" s="73">
        <v>0</v>
      </c>
      <c r="Y96" s="73">
        <v>0</v>
      </c>
      <c r="Z96" s="73">
        <v>1159</v>
      </c>
      <c r="AA96" s="73">
        <v>983</v>
      </c>
      <c r="AB96" s="73">
        <v>0</v>
      </c>
      <c r="AC96" s="73">
        <v>0</v>
      </c>
      <c r="AD96" s="73">
        <v>0</v>
      </c>
      <c r="AE96" s="73">
        <v>0</v>
      </c>
      <c r="AF96" s="74">
        <f>tblData[[#This Row],[Gross Sales]]+tblData[[#This Row],[Trade Discounts]]+tblData[[#This Row],[Returns]]</f>
        <v>787</v>
      </c>
      <c r="AG96" s="74">
        <f>tblData[[#This Row],[Material Cost]]+tblData[[#This Row],[Conversion Cost]]+tblData[[#This Row],[Inbound Freight]]</f>
        <v>-400</v>
      </c>
      <c r="AH96" s="74">
        <f>tblData[[#This Row],[Net Revenue]]+tblData[[#This Row],[COGS]]</f>
        <v>387</v>
      </c>
      <c r="AI96" s="74">
        <f>tblData[[#This Row],[Advertising]]+tblData[[#This Row],[Promotions]]</f>
        <v>-43</v>
      </c>
      <c r="AJ96" s="74">
        <f>tblData[[#This Row],[Outbound Logistics]]+tblData[[#This Row],[Direct Selling]]</f>
        <v>-56</v>
      </c>
      <c r="AK96" s="74">
        <f>tblData[[#This Row],[Gross Profit]]+tblData[[#This Row],[AP Spend]]+tblData[[#This Row],[Cost to Serve]]</f>
        <v>288</v>
      </c>
    </row>
    <row r="97" spans="2:37" x14ac:dyDescent="0.25">
      <c r="B97" s="71" t="s">
        <v>36</v>
      </c>
      <c r="C97" s="71">
        <v>2025</v>
      </c>
      <c r="D97" s="71">
        <v>2</v>
      </c>
      <c r="E97" s="71" t="s">
        <v>45</v>
      </c>
      <c r="F97" s="71" t="s">
        <v>41</v>
      </c>
      <c r="G97" s="72">
        <v>73.3</v>
      </c>
      <c r="H97" s="73">
        <v>790</v>
      </c>
      <c r="I97" s="73">
        <v>-171</v>
      </c>
      <c r="J97" s="73">
        <v>-8</v>
      </c>
      <c r="K97" s="73">
        <v>-185</v>
      </c>
      <c r="L97" s="73">
        <v>-47</v>
      </c>
      <c r="M97" s="73">
        <v>-25</v>
      </c>
      <c r="N97" s="73">
        <v>-60</v>
      </c>
      <c r="O97" s="73">
        <v>-32</v>
      </c>
      <c r="P97" s="73">
        <v>-28</v>
      </c>
      <c r="Q97" s="73">
        <v>-16</v>
      </c>
      <c r="R97" s="73">
        <v>0</v>
      </c>
      <c r="S97" s="73">
        <v>0</v>
      </c>
      <c r="T97" s="73">
        <v>0</v>
      </c>
      <c r="U97" s="73">
        <v>0</v>
      </c>
      <c r="V97" s="73">
        <v>0</v>
      </c>
      <c r="W97" s="73">
        <v>0</v>
      </c>
      <c r="X97" s="73">
        <v>0</v>
      </c>
      <c r="Y97" s="73">
        <v>0</v>
      </c>
      <c r="Z97" s="73">
        <v>893</v>
      </c>
      <c r="AA97" s="73">
        <v>749</v>
      </c>
      <c r="AB97" s="73">
        <v>0</v>
      </c>
      <c r="AC97" s="73">
        <v>0</v>
      </c>
      <c r="AD97" s="73">
        <v>0</v>
      </c>
      <c r="AE97" s="73">
        <v>0</v>
      </c>
      <c r="AF97" s="74">
        <f>tblData[[#This Row],[Gross Sales]]+tblData[[#This Row],[Trade Discounts]]+tblData[[#This Row],[Returns]]</f>
        <v>611</v>
      </c>
      <c r="AG97" s="74">
        <f>tblData[[#This Row],[Material Cost]]+tblData[[#This Row],[Conversion Cost]]+tblData[[#This Row],[Inbound Freight]]</f>
        <v>-257</v>
      </c>
      <c r="AH97" s="74">
        <f>tblData[[#This Row],[Net Revenue]]+tblData[[#This Row],[COGS]]</f>
        <v>354</v>
      </c>
      <c r="AI97" s="74">
        <f>tblData[[#This Row],[Advertising]]+tblData[[#This Row],[Promotions]]</f>
        <v>-92</v>
      </c>
      <c r="AJ97" s="74">
        <f>tblData[[#This Row],[Outbound Logistics]]+tblData[[#This Row],[Direct Selling]]</f>
        <v>-44</v>
      </c>
      <c r="AK97" s="74">
        <f>tblData[[#This Row],[Gross Profit]]+tblData[[#This Row],[AP Spend]]+tblData[[#This Row],[Cost to Serve]]</f>
        <v>218</v>
      </c>
    </row>
    <row r="98" spans="2:37" x14ac:dyDescent="0.25">
      <c r="B98" s="71" t="s">
        <v>36</v>
      </c>
      <c r="C98" s="71">
        <v>2025</v>
      </c>
      <c r="D98" s="71">
        <v>2</v>
      </c>
      <c r="E98" s="71" t="s">
        <v>45</v>
      </c>
      <c r="F98" s="71" t="s">
        <v>42</v>
      </c>
      <c r="G98" s="72">
        <v>98</v>
      </c>
      <c r="H98" s="73">
        <v>576</v>
      </c>
      <c r="I98" s="73">
        <v>-124</v>
      </c>
      <c r="J98" s="73">
        <v>-6</v>
      </c>
      <c r="K98" s="73">
        <v>-180</v>
      </c>
      <c r="L98" s="73">
        <v>-46</v>
      </c>
      <c r="M98" s="73">
        <v>-24</v>
      </c>
      <c r="N98" s="73">
        <v>-12</v>
      </c>
      <c r="O98" s="73">
        <v>-6</v>
      </c>
      <c r="P98" s="73">
        <v>-20</v>
      </c>
      <c r="Q98" s="73">
        <v>-12</v>
      </c>
      <c r="R98" s="73">
        <v>0</v>
      </c>
      <c r="S98" s="73">
        <v>0</v>
      </c>
      <c r="T98" s="73">
        <v>0</v>
      </c>
      <c r="U98" s="73">
        <v>0</v>
      </c>
      <c r="V98" s="73">
        <v>0</v>
      </c>
      <c r="W98" s="73">
        <v>0</v>
      </c>
      <c r="X98" s="73">
        <v>0</v>
      </c>
      <c r="Y98" s="73">
        <v>0</v>
      </c>
      <c r="Z98" s="73">
        <v>640</v>
      </c>
      <c r="AA98" s="73">
        <v>875</v>
      </c>
      <c r="AB98" s="73">
        <v>0</v>
      </c>
      <c r="AC98" s="73">
        <v>0</v>
      </c>
      <c r="AD98" s="73">
        <v>0</v>
      </c>
      <c r="AE98" s="73">
        <v>0</v>
      </c>
      <c r="AF98" s="74">
        <f>tblData[[#This Row],[Gross Sales]]+tblData[[#This Row],[Trade Discounts]]+tblData[[#This Row],[Returns]]</f>
        <v>446</v>
      </c>
      <c r="AG98" s="74">
        <f>tblData[[#This Row],[Material Cost]]+tblData[[#This Row],[Conversion Cost]]+tblData[[#This Row],[Inbound Freight]]</f>
        <v>-250</v>
      </c>
      <c r="AH98" s="74">
        <f>tblData[[#This Row],[Net Revenue]]+tblData[[#This Row],[COGS]]</f>
        <v>196</v>
      </c>
      <c r="AI98" s="74">
        <f>tblData[[#This Row],[Advertising]]+tblData[[#This Row],[Promotions]]</f>
        <v>-18</v>
      </c>
      <c r="AJ98" s="74">
        <f>tblData[[#This Row],[Outbound Logistics]]+tblData[[#This Row],[Direct Selling]]</f>
        <v>-32</v>
      </c>
      <c r="AK98" s="74">
        <f>tblData[[#This Row],[Gross Profit]]+tblData[[#This Row],[AP Spend]]+tblData[[#This Row],[Cost to Serve]]</f>
        <v>146</v>
      </c>
    </row>
    <row r="99" spans="2:37" x14ac:dyDescent="0.25">
      <c r="B99" s="71" t="s">
        <v>36</v>
      </c>
      <c r="C99" s="71">
        <v>2025</v>
      </c>
      <c r="D99" s="71">
        <v>2</v>
      </c>
      <c r="E99" s="71" t="s">
        <v>45</v>
      </c>
      <c r="F99" s="71" t="s">
        <v>43</v>
      </c>
      <c r="G99" s="72">
        <v>18.7</v>
      </c>
      <c r="H99" s="73">
        <v>330</v>
      </c>
      <c r="I99" s="73">
        <v>-71</v>
      </c>
      <c r="J99" s="73">
        <v>-3</v>
      </c>
      <c r="K99" s="73">
        <v>-89</v>
      </c>
      <c r="L99" s="73">
        <v>-23</v>
      </c>
      <c r="M99" s="73">
        <v>-12</v>
      </c>
      <c r="N99" s="73">
        <v>-33</v>
      </c>
      <c r="O99" s="73">
        <v>-18</v>
      </c>
      <c r="P99" s="73">
        <v>-12</v>
      </c>
      <c r="Q99" s="73">
        <v>-7</v>
      </c>
      <c r="R99" s="73">
        <v>0</v>
      </c>
      <c r="S99" s="73">
        <v>0</v>
      </c>
      <c r="T99" s="73">
        <v>0</v>
      </c>
      <c r="U99" s="73">
        <v>0</v>
      </c>
      <c r="V99" s="73">
        <v>0</v>
      </c>
      <c r="W99" s="73">
        <v>0</v>
      </c>
      <c r="X99" s="73">
        <v>0</v>
      </c>
      <c r="Y99" s="73">
        <v>0</v>
      </c>
      <c r="Z99" s="73">
        <v>377</v>
      </c>
      <c r="AA99" s="73">
        <v>486</v>
      </c>
      <c r="AB99" s="73">
        <v>0</v>
      </c>
      <c r="AC99" s="73">
        <v>0</v>
      </c>
      <c r="AD99" s="73">
        <v>0</v>
      </c>
      <c r="AE99" s="73">
        <v>0</v>
      </c>
      <c r="AF99" s="74">
        <f>tblData[[#This Row],[Gross Sales]]+tblData[[#This Row],[Trade Discounts]]+tblData[[#This Row],[Returns]]</f>
        <v>256</v>
      </c>
      <c r="AG99" s="74">
        <f>tblData[[#This Row],[Material Cost]]+tblData[[#This Row],[Conversion Cost]]+tblData[[#This Row],[Inbound Freight]]</f>
        <v>-124</v>
      </c>
      <c r="AH99" s="74">
        <f>tblData[[#This Row],[Net Revenue]]+tblData[[#This Row],[COGS]]</f>
        <v>132</v>
      </c>
      <c r="AI99" s="74">
        <f>tblData[[#This Row],[Advertising]]+tblData[[#This Row],[Promotions]]</f>
        <v>-51</v>
      </c>
      <c r="AJ99" s="74">
        <f>tblData[[#This Row],[Outbound Logistics]]+tblData[[#This Row],[Direct Selling]]</f>
        <v>-19</v>
      </c>
      <c r="AK99" s="74">
        <f>tblData[[#This Row],[Gross Profit]]+tblData[[#This Row],[AP Spend]]+tblData[[#This Row],[Cost to Serve]]</f>
        <v>62</v>
      </c>
    </row>
    <row r="100" spans="2:37" x14ac:dyDescent="0.25">
      <c r="B100" s="71" t="s">
        <v>36</v>
      </c>
      <c r="C100" s="71">
        <v>2025</v>
      </c>
      <c r="D100" s="71">
        <v>2</v>
      </c>
      <c r="E100" s="71" t="s">
        <v>46</v>
      </c>
      <c r="F100" s="71" t="s">
        <v>38</v>
      </c>
      <c r="G100" s="72">
        <v>115.4</v>
      </c>
      <c r="H100" s="73">
        <v>1583</v>
      </c>
      <c r="I100" s="73">
        <v>-168</v>
      </c>
      <c r="J100" s="73">
        <v>-63</v>
      </c>
      <c r="K100" s="73">
        <v>-337</v>
      </c>
      <c r="L100" s="73">
        <v>-85</v>
      </c>
      <c r="M100" s="73">
        <v>-45</v>
      </c>
      <c r="N100" s="73">
        <v>-112</v>
      </c>
      <c r="O100" s="73">
        <v>-60</v>
      </c>
      <c r="P100" s="73">
        <v>-119</v>
      </c>
      <c r="Q100" s="73">
        <v>-32</v>
      </c>
      <c r="R100" s="73">
        <v>0</v>
      </c>
      <c r="S100" s="73">
        <v>0</v>
      </c>
      <c r="T100" s="73">
        <v>0</v>
      </c>
      <c r="U100" s="73">
        <v>0</v>
      </c>
      <c r="V100" s="73">
        <v>0</v>
      </c>
      <c r="W100" s="73">
        <v>0</v>
      </c>
      <c r="X100" s="73">
        <v>0</v>
      </c>
      <c r="Y100" s="73">
        <v>0</v>
      </c>
      <c r="Z100" s="73">
        <v>1108</v>
      </c>
      <c r="AA100" s="73">
        <v>1456</v>
      </c>
      <c r="AB100" s="73">
        <v>0</v>
      </c>
      <c r="AC100" s="73">
        <v>0</v>
      </c>
      <c r="AD100" s="73">
        <v>0</v>
      </c>
      <c r="AE100" s="73">
        <v>0</v>
      </c>
      <c r="AF100" s="74">
        <f>tblData[[#This Row],[Gross Sales]]+tblData[[#This Row],[Trade Discounts]]+tblData[[#This Row],[Returns]]</f>
        <v>1352</v>
      </c>
      <c r="AG100" s="74">
        <f>tblData[[#This Row],[Material Cost]]+tblData[[#This Row],[Conversion Cost]]+tblData[[#This Row],[Inbound Freight]]</f>
        <v>-467</v>
      </c>
      <c r="AH100" s="74">
        <f>tblData[[#This Row],[Net Revenue]]+tblData[[#This Row],[COGS]]</f>
        <v>885</v>
      </c>
      <c r="AI100" s="74">
        <f>tblData[[#This Row],[Advertising]]+tblData[[#This Row],[Promotions]]</f>
        <v>-172</v>
      </c>
      <c r="AJ100" s="74">
        <f>tblData[[#This Row],[Outbound Logistics]]+tblData[[#This Row],[Direct Selling]]</f>
        <v>-151</v>
      </c>
      <c r="AK100" s="74">
        <f>tblData[[#This Row],[Gross Profit]]+tblData[[#This Row],[AP Spend]]+tblData[[#This Row],[Cost to Serve]]</f>
        <v>562</v>
      </c>
    </row>
    <row r="101" spans="2:37" x14ac:dyDescent="0.25">
      <c r="B101" s="71" t="s">
        <v>36</v>
      </c>
      <c r="C101" s="71">
        <v>2025</v>
      </c>
      <c r="D101" s="71">
        <v>2</v>
      </c>
      <c r="E101" s="71" t="s">
        <v>46</v>
      </c>
      <c r="F101" s="71" t="s">
        <v>39</v>
      </c>
      <c r="G101" s="72">
        <v>161.4</v>
      </c>
      <c r="H101" s="73">
        <v>1424</v>
      </c>
      <c r="I101" s="73">
        <v>-151</v>
      </c>
      <c r="J101" s="73">
        <v>-57</v>
      </c>
      <c r="K101" s="73">
        <v>-363</v>
      </c>
      <c r="L101" s="73">
        <v>-92</v>
      </c>
      <c r="M101" s="73">
        <v>-49</v>
      </c>
      <c r="N101" s="73">
        <v>-64</v>
      </c>
      <c r="O101" s="73">
        <v>-35</v>
      </c>
      <c r="P101" s="73">
        <v>-107</v>
      </c>
      <c r="Q101" s="73">
        <v>-28</v>
      </c>
      <c r="R101" s="73">
        <v>0</v>
      </c>
      <c r="S101" s="73">
        <v>0</v>
      </c>
      <c r="T101" s="73">
        <v>0</v>
      </c>
      <c r="U101" s="73">
        <v>0</v>
      </c>
      <c r="V101" s="73">
        <v>0</v>
      </c>
      <c r="W101" s="73">
        <v>0</v>
      </c>
      <c r="X101" s="73">
        <v>0</v>
      </c>
      <c r="Y101" s="73">
        <v>0</v>
      </c>
      <c r="Z101" s="73">
        <v>978</v>
      </c>
      <c r="AA101" s="73">
        <v>1298</v>
      </c>
      <c r="AB101" s="73">
        <v>0</v>
      </c>
      <c r="AC101" s="73">
        <v>0</v>
      </c>
      <c r="AD101" s="73">
        <v>0</v>
      </c>
      <c r="AE101" s="73">
        <v>0</v>
      </c>
      <c r="AF101" s="74">
        <f>tblData[[#This Row],[Gross Sales]]+tblData[[#This Row],[Trade Discounts]]+tblData[[#This Row],[Returns]]</f>
        <v>1216</v>
      </c>
      <c r="AG101" s="74">
        <f>tblData[[#This Row],[Material Cost]]+tblData[[#This Row],[Conversion Cost]]+tblData[[#This Row],[Inbound Freight]]</f>
        <v>-504</v>
      </c>
      <c r="AH101" s="74">
        <f>tblData[[#This Row],[Net Revenue]]+tblData[[#This Row],[COGS]]</f>
        <v>712</v>
      </c>
      <c r="AI101" s="74">
        <f>tblData[[#This Row],[Advertising]]+tblData[[#This Row],[Promotions]]</f>
        <v>-99</v>
      </c>
      <c r="AJ101" s="74">
        <f>tblData[[#This Row],[Outbound Logistics]]+tblData[[#This Row],[Direct Selling]]</f>
        <v>-135</v>
      </c>
      <c r="AK101" s="74">
        <f>tblData[[#This Row],[Gross Profit]]+tblData[[#This Row],[AP Spend]]+tblData[[#This Row],[Cost to Serve]]</f>
        <v>478</v>
      </c>
    </row>
    <row r="102" spans="2:37" x14ac:dyDescent="0.25">
      <c r="B102" s="71" t="s">
        <v>36</v>
      </c>
      <c r="C102" s="71">
        <v>2025</v>
      </c>
      <c r="D102" s="71">
        <v>2</v>
      </c>
      <c r="E102" s="71" t="s">
        <v>46</v>
      </c>
      <c r="F102" s="71" t="s">
        <v>40</v>
      </c>
      <c r="G102" s="72">
        <v>151.9</v>
      </c>
      <c r="H102" s="73">
        <v>1042</v>
      </c>
      <c r="I102" s="73">
        <v>-110</v>
      </c>
      <c r="J102" s="73">
        <v>-42</v>
      </c>
      <c r="K102" s="73">
        <v>-296</v>
      </c>
      <c r="L102" s="73">
        <v>-75</v>
      </c>
      <c r="M102" s="73">
        <v>-40</v>
      </c>
      <c r="N102" s="73">
        <v>-32</v>
      </c>
      <c r="O102" s="73">
        <v>-17</v>
      </c>
      <c r="P102" s="73">
        <v>-78</v>
      </c>
      <c r="Q102" s="73">
        <v>-21</v>
      </c>
      <c r="R102" s="73">
        <v>0</v>
      </c>
      <c r="S102" s="73">
        <v>0</v>
      </c>
      <c r="T102" s="73">
        <v>0</v>
      </c>
      <c r="U102" s="73">
        <v>0</v>
      </c>
      <c r="V102" s="73">
        <v>0</v>
      </c>
      <c r="W102" s="73">
        <v>0</v>
      </c>
      <c r="X102" s="73">
        <v>0</v>
      </c>
      <c r="Y102" s="73">
        <v>0</v>
      </c>
      <c r="Z102" s="73">
        <v>722</v>
      </c>
      <c r="AA102" s="73">
        <v>999</v>
      </c>
      <c r="AB102" s="73">
        <v>0</v>
      </c>
      <c r="AC102" s="73">
        <v>0</v>
      </c>
      <c r="AD102" s="73">
        <v>0</v>
      </c>
      <c r="AE102" s="73">
        <v>0</v>
      </c>
      <c r="AF102" s="74">
        <f>tblData[[#This Row],[Gross Sales]]+tblData[[#This Row],[Trade Discounts]]+tblData[[#This Row],[Returns]]</f>
        <v>890</v>
      </c>
      <c r="AG102" s="74">
        <f>tblData[[#This Row],[Material Cost]]+tblData[[#This Row],[Conversion Cost]]+tblData[[#This Row],[Inbound Freight]]</f>
        <v>-411</v>
      </c>
      <c r="AH102" s="74">
        <f>tblData[[#This Row],[Net Revenue]]+tblData[[#This Row],[COGS]]</f>
        <v>479</v>
      </c>
      <c r="AI102" s="74">
        <f>tblData[[#This Row],[Advertising]]+tblData[[#This Row],[Promotions]]</f>
        <v>-49</v>
      </c>
      <c r="AJ102" s="74">
        <f>tblData[[#This Row],[Outbound Logistics]]+tblData[[#This Row],[Direct Selling]]</f>
        <v>-99</v>
      </c>
      <c r="AK102" s="74">
        <f>tblData[[#This Row],[Gross Profit]]+tblData[[#This Row],[AP Spend]]+tblData[[#This Row],[Cost to Serve]]</f>
        <v>331</v>
      </c>
    </row>
    <row r="103" spans="2:37" x14ac:dyDescent="0.25">
      <c r="B103" s="71" t="s">
        <v>36</v>
      </c>
      <c r="C103" s="71">
        <v>2025</v>
      </c>
      <c r="D103" s="71">
        <v>2</v>
      </c>
      <c r="E103" s="71" t="s">
        <v>46</v>
      </c>
      <c r="F103" s="71" t="s">
        <v>41</v>
      </c>
      <c r="G103" s="72">
        <v>72.5</v>
      </c>
      <c r="H103" s="73">
        <v>782</v>
      </c>
      <c r="I103" s="73">
        <v>-83</v>
      </c>
      <c r="J103" s="73">
        <v>-31</v>
      </c>
      <c r="K103" s="73">
        <v>-183</v>
      </c>
      <c r="L103" s="73">
        <v>-46</v>
      </c>
      <c r="M103" s="73">
        <v>-25</v>
      </c>
      <c r="N103" s="73">
        <v>-69</v>
      </c>
      <c r="O103" s="73">
        <v>-37</v>
      </c>
      <c r="P103" s="73">
        <v>-59</v>
      </c>
      <c r="Q103" s="73">
        <v>-16</v>
      </c>
      <c r="R103" s="73">
        <v>0</v>
      </c>
      <c r="S103" s="73">
        <v>0</v>
      </c>
      <c r="T103" s="73">
        <v>0</v>
      </c>
      <c r="U103" s="73">
        <v>0</v>
      </c>
      <c r="V103" s="73">
        <v>0</v>
      </c>
      <c r="W103" s="73">
        <v>0</v>
      </c>
      <c r="X103" s="73">
        <v>0</v>
      </c>
      <c r="Y103" s="73">
        <v>0</v>
      </c>
      <c r="Z103" s="73">
        <v>549</v>
      </c>
      <c r="AA103" s="73">
        <v>752</v>
      </c>
      <c r="AB103" s="73">
        <v>0</v>
      </c>
      <c r="AC103" s="73">
        <v>0</v>
      </c>
      <c r="AD103" s="73">
        <v>0</v>
      </c>
      <c r="AE103" s="73">
        <v>0</v>
      </c>
      <c r="AF103" s="74">
        <f>tblData[[#This Row],[Gross Sales]]+tblData[[#This Row],[Trade Discounts]]+tblData[[#This Row],[Returns]]</f>
        <v>668</v>
      </c>
      <c r="AG103" s="74">
        <f>tblData[[#This Row],[Material Cost]]+tblData[[#This Row],[Conversion Cost]]+tblData[[#This Row],[Inbound Freight]]</f>
        <v>-254</v>
      </c>
      <c r="AH103" s="74">
        <f>tblData[[#This Row],[Net Revenue]]+tblData[[#This Row],[COGS]]</f>
        <v>414</v>
      </c>
      <c r="AI103" s="74">
        <f>tblData[[#This Row],[Advertising]]+tblData[[#This Row],[Promotions]]</f>
        <v>-106</v>
      </c>
      <c r="AJ103" s="74">
        <f>tblData[[#This Row],[Outbound Logistics]]+tblData[[#This Row],[Direct Selling]]</f>
        <v>-75</v>
      </c>
      <c r="AK103" s="74">
        <f>tblData[[#This Row],[Gross Profit]]+tblData[[#This Row],[AP Spend]]+tblData[[#This Row],[Cost to Serve]]</f>
        <v>233</v>
      </c>
    </row>
    <row r="104" spans="2:37" x14ac:dyDescent="0.25">
      <c r="B104" s="71" t="s">
        <v>36</v>
      </c>
      <c r="C104" s="71">
        <v>2025</v>
      </c>
      <c r="D104" s="71">
        <v>2</v>
      </c>
      <c r="E104" s="71" t="s">
        <v>46</v>
      </c>
      <c r="F104" s="71" t="s">
        <v>42</v>
      </c>
      <c r="G104" s="72">
        <v>99.2</v>
      </c>
      <c r="H104" s="73">
        <v>583</v>
      </c>
      <c r="I104" s="73">
        <v>-62</v>
      </c>
      <c r="J104" s="73">
        <v>-23</v>
      </c>
      <c r="K104" s="73">
        <v>-182</v>
      </c>
      <c r="L104" s="73">
        <v>-46</v>
      </c>
      <c r="M104" s="73">
        <v>-24</v>
      </c>
      <c r="N104" s="73">
        <v>-13</v>
      </c>
      <c r="O104" s="73">
        <v>-7</v>
      </c>
      <c r="P104" s="73">
        <v>-44</v>
      </c>
      <c r="Q104" s="73">
        <v>-12</v>
      </c>
      <c r="R104" s="73">
        <v>0</v>
      </c>
      <c r="S104" s="73">
        <v>0</v>
      </c>
      <c r="T104" s="73">
        <v>0</v>
      </c>
      <c r="U104" s="73">
        <v>0</v>
      </c>
      <c r="V104" s="73">
        <v>0</v>
      </c>
      <c r="W104" s="73">
        <v>0</v>
      </c>
      <c r="X104" s="73">
        <v>0</v>
      </c>
      <c r="Y104" s="73">
        <v>0</v>
      </c>
      <c r="Z104" s="73">
        <v>413</v>
      </c>
      <c r="AA104" s="73">
        <v>920</v>
      </c>
      <c r="AB104" s="73">
        <v>0</v>
      </c>
      <c r="AC104" s="73">
        <v>0</v>
      </c>
      <c r="AD104" s="73">
        <v>0</v>
      </c>
      <c r="AE104" s="73">
        <v>0</v>
      </c>
      <c r="AF104" s="74">
        <f>tblData[[#This Row],[Gross Sales]]+tblData[[#This Row],[Trade Discounts]]+tblData[[#This Row],[Returns]]</f>
        <v>498</v>
      </c>
      <c r="AG104" s="74">
        <f>tblData[[#This Row],[Material Cost]]+tblData[[#This Row],[Conversion Cost]]+tblData[[#This Row],[Inbound Freight]]</f>
        <v>-252</v>
      </c>
      <c r="AH104" s="74">
        <f>tblData[[#This Row],[Net Revenue]]+tblData[[#This Row],[COGS]]</f>
        <v>246</v>
      </c>
      <c r="AI104" s="74">
        <f>tblData[[#This Row],[Advertising]]+tblData[[#This Row],[Promotions]]</f>
        <v>-20</v>
      </c>
      <c r="AJ104" s="74">
        <f>tblData[[#This Row],[Outbound Logistics]]+tblData[[#This Row],[Direct Selling]]</f>
        <v>-56</v>
      </c>
      <c r="AK104" s="74">
        <f>tblData[[#This Row],[Gross Profit]]+tblData[[#This Row],[AP Spend]]+tblData[[#This Row],[Cost to Serve]]</f>
        <v>170</v>
      </c>
    </row>
    <row r="105" spans="2:37" x14ac:dyDescent="0.25">
      <c r="B105" s="71" t="s">
        <v>36</v>
      </c>
      <c r="C105" s="71">
        <v>2025</v>
      </c>
      <c r="D105" s="71">
        <v>2</v>
      </c>
      <c r="E105" s="71" t="s">
        <v>46</v>
      </c>
      <c r="F105" s="71" t="s">
        <v>43</v>
      </c>
      <c r="G105" s="72">
        <v>19.600000000000001</v>
      </c>
      <c r="H105" s="73">
        <v>345</v>
      </c>
      <c r="I105" s="73">
        <v>-37</v>
      </c>
      <c r="J105" s="73">
        <v>-14</v>
      </c>
      <c r="K105" s="73">
        <v>-93</v>
      </c>
      <c r="L105" s="73">
        <v>-24</v>
      </c>
      <c r="M105" s="73">
        <v>-12</v>
      </c>
      <c r="N105" s="73">
        <v>-37</v>
      </c>
      <c r="O105" s="73">
        <v>-20</v>
      </c>
      <c r="P105" s="73">
        <v>-26</v>
      </c>
      <c r="Q105" s="73">
        <v>-7</v>
      </c>
      <c r="R105" s="73">
        <v>0</v>
      </c>
      <c r="S105" s="73">
        <v>0</v>
      </c>
      <c r="T105" s="73">
        <v>0</v>
      </c>
      <c r="U105" s="73">
        <v>0</v>
      </c>
      <c r="V105" s="73">
        <v>0</v>
      </c>
      <c r="W105" s="73">
        <v>0</v>
      </c>
      <c r="X105" s="73">
        <v>0</v>
      </c>
      <c r="Y105" s="73">
        <v>0</v>
      </c>
      <c r="Z105" s="73">
        <v>239</v>
      </c>
      <c r="AA105" s="73">
        <v>502</v>
      </c>
      <c r="AB105" s="73">
        <v>0</v>
      </c>
      <c r="AC105" s="73">
        <v>0</v>
      </c>
      <c r="AD105" s="73">
        <v>0</v>
      </c>
      <c r="AE105" s="73">
        <v>0</v>
      </c>
      <c r="AF105" s="74">
        <f>tblData[[#This Row],[Gross Sales]]+tblData[[#This Row],[Trade Discounts]]+tblData[[#This Row],[Returns]]</f>
        <v>294</v>
      </c>
      <c r="AG105" s="74">
        <f>tblData[[#This Row],[Material Cost]]+tblData[[#This Row],[Conversion Cost]]+tblData[[#This Row],[Inbound Freight]]</f>
        <v>-129</v>
      </c>
      <c r="AH105" s="74">
        <f>tblData[[#This Row],[Net Revenue]]+tblData[[#This Row],[COGS]]</f>
        <v>165</v>
      </c>
      <c r="AI105" s="74">
        <f>tblData[[#This Row],[Advertising]]+tblData[[#This Row],[Promotions]]</f>
        <v>-57</v>
      </c>
      <c r="AJ105" s="74">
        <f>tblData[[#This Row],[Outbound Logistics]]+tblData[[#This Row],[Direct Selling]]</f>
        <v>-33</v>
      </c>
      <c r="AK105" s="74">
        <f>tblData[[#This Row],[Gross Profit]]+tblData[[#This Row],[AP Spend]]+tblData[[#This Row],[Cost to Serve]]</f>
        <v>75</v>
      </c>
    </row>
    <row r="106" spans="2:37" x14ac:dyDescent="0.25">
      <c r="B106" s="71" t="s">
        <v>36</v>
      </c>
      <c r="C106" s="71">
        <v>2025</v>
      </c>
      <c r="D106" s="71">
        <v>2</v>
      </c>
      <c r="E106" s="71" t="s">
        <v>47</v>
      </c>
      <c r="F106" s="71" t="s">
        <v>38</v>
      </c>
      <c r="G106" s="72">
        <v>48.9</v>
      </c>
      <c r="H106" s="73">
        <v>671</v>
      </c>
      <c r="I106" s="73">
        <v>-17</v>
      </c>
      <c r="J106" s="73">
        <v>-34</v>
      </c>
      <c r="K106" s="73">
        <v>-143</v>
      </c>
      <c r="L106" s="73">
        <v>-36</v>
      </c>
      <c r="M106" s="73">
        <v>-19</v>
      </c>
      <c r="N106" s="73">
        <v>-42</v>
      </c>
      <c r="O106" s="73">
        <v>-23</v>
      </c>
      <c r="P106" s="73">
        <v>-80</v>
      </c>
      <c r="Q106" s="73">
        <v>-27</v>
      </c>
      <c r="R106" s="73">
        <v>0</v>
      </c>
      <c r="S106" s="73">
        <v>0</v>
      </c>
      <c r="T106" s="73">
        <v>0</v>
      </c>
      <c r="U106" s="73">
        <v>0</v>
      </c>
      <c r="V106" s="73">
        <v>0</v>
      </c>
      <c r="W106" s="73">
        <v>0</v>
      </c>
      <c r="X106" s="73">
        <v>0</v>
      </c>
      <c r="Y106" s="73">
        <v>0</v>
      </c>
      <c r="Z106" s="73">
        <v>60</v>
      </c>
      <c r="AA106" s="73">
        <v>606</v>
      </c>
      <c r="AB106" s="73">
        <v>0</v>
      </c>
      <c r="AC106" s="73">
        <v>0</v>
      </c>
      <c r="AD106" s="73">
        <v>0</v>
      </c>
      <c r="AE106" s="73">
        <v>0</v>
      </c>
      <c r="AF106" s="74">
        <f>tblData[[#This Row],[Gross Sales]]+tblData[[#This Row],[Trade Discounts]]+tblData[[#This Row],[Returns]]</f>
        <v>620</v>
      </c>
      <c r="AG106" s="74">
        <f>tblData[[#This Row],[Material Cost]]+tblData[[#This Row],[Conversion Cost]]+tblData[[#This Row],[Inbound Freight]]</f>
        <v>-198</v>
      </c>
      <c r="AH106" s="74">
        <f>tblData[[#This Row],[Net Revenue]]+tblData[[#This Row],[COGS]]</f>
        <v>422</v>
      </c>
      <c r="AI106" s="74">
        <f>tblData[[#This Row],[Advertising]]+tblData[[#This Row],[Promotions]]</f>
        <v>-65</v>
      </c>
      <c r="AJ106" s="74">
        <f>tblData[[#This Row],[Outbound Logistics]]+tblData[[#This Row],[Direct Selling]]</f>
        <v>-107</v>
      </c>
      <c r="AK106" s="74">
        <f>tblData[[#This Row],[Gross Profit]]+tblData[[#This Row],[AP Spend]]+tblData[[#This Row],[Cost to Serve]]</f>
        <v>250</v>
      </c>
    </row>
    <row r="107" spans="2:37" x14ac:dyDescent="0.25">
      <c r="B107" s="71" t="s">
        <v>36</v>
      </c>
      <c r="C107" s="71">
        <v>2025</v>
      </c>
      <c r="D107" s="71">
        <v>2</v>
      </c>
      <c r="E107" s="71" t="s">
        <v>47</v>
      </c>
      <c r="F107" s="71" t="s">
        <v>39</v>
      </c>
      <c r="G107" s="72">
        <v>65.8</v>
      </c>
      <c r="H107" s="73">
        <v>581</v>
      </c>
      <c r="I107" s="73">
        <v>-15</v>
      </c>
      <c r="J107" s="73">
        <v>-29</v>
      </c>
      <c r="K107" s="73">
        <v>-148</v>
      </c>
      <c r="L107" s="73">
        <v>-38</v>
      </c>
      <c r="M107" s="73">
        <v>-20</v>
      </c>
      <c r="N107" s="73">
        <v>-24</v>
      </c>
      <c r="O107" s="73">
        <v>-13</v>
      </c>
      <c r="P107" s="73">
        <v>-70</v>
      </c>
      <c r="Q107" s="73">
        <v>-23</v>
      </c>
      <c r="R107" s="73">
        <v>0</v>
      </c>
      <c r="S107" s="73">
        <v>0</v>
      </c>
      <c r="T107" s="73">
        <v>0</v>
      </c>
      <c r="U107" s="73">
        <v>0</v>
      </c>
      <c r="V107" s="73">
        <v>0</v>
      </c>
      <c r="W107" s="73">
        <v>0</v>
      </c>
      <c r="X107" s="73">
        <v>0</v>
      </c>
      <c r="Y107" s="73">
        <v>0</v>
      </c>
      <c r="Z107" s="73">
        <v>52</v>
      </c>
      <c r="AA107" s="73">
        <v>527</v>
      </c>
      <c r="AB107" s="73">
        <v>0</v>
      </c>
      <c r="AC107" s="73">
        <v>0</v>
      </c>
      <c r="AD107" s="73">
        <v>0</v>
      </c>
      <c r="AE107" s="73">
        <v>0</v>
      </c>
      <c r="AF107" s="74">
        <f>tblData[[#This Row],[Gross Sales]]+tblData[[#This Row],[Trade Discounts]]+tblData[[#This Row],[Returns]]</f>
        <v>537</v>
      </c>
      <c r="AG107" s="74">
        <f>tblData[[#This Row],[Material Cost]]+tblData[[#This Row],[Conversion Cost]]+tblData[[#This Row],[Inbound Freight]]</f>
        <v>-206</v>
      </c>
      <c r="AH107" s="74">
        <f>tblData[[#This Row],[Net Revenue]]+tblData[[#This Row],[COGS]]</f>
        <v>331</v>
      </c>
      <c r="AI107" s="74">
        <f>tblData[[#This Row],[Advertising]]+tblData[[#This Row],[Promotions]]</f>
        <v>-37</v>
      </c>
      <c r="AJ107" s="74">
        <f>tblData[[#This Row],[Outbound Logistics]]+tblData[[#This Row],[Direct Selling]]</f>
        <v>-93</v>
      </c>
      <c r="AK107" s="74">
        <f>tblData[[#This Row],[Gross Profit]]+tblData[[#This Row],[AP Spend]]+tblData[[#This Row],[Cost to Serve]]</f>
        <v>201</v>
      </c>
    </row>
    <row r="108" spans="2:37" x14ac:dyDescent="0.25">
      <c r="B108" s="71" t="s">
        <v>36</v>
      </c>
      <c r="C108" s="71">
        <v>2025</v>
      </c>
      <c r="D108" s="71">
        <v>2</v>
      </c>
      <c r="E108" s="71" t="s">
        <v>47</v>
      </c>
      <c r="F108" s="71" t="s">
        <v>40</v>
      </c>
      <c r="G108" s="72">
        <v>63.2</v>
      </c>
      <c r="H108" s="73">
        <v>434</v>
      </c>
      <c r="I108" s="73">
        <v>-11</v>
      </c>
      <c r="J108" s="73">
        <v>-22</v>
      </c>
      <c r="K108" s="73">
        <v>-123</v>
      </c>
      <c r="L108" s="73">
        <v>-31</v>
      </c>
      <c r="M108" s="73">
        <v>-16</v>
      </c>
      <c r="N108" s="73">
        <v>-12</v>
      </c>
      <c r="O108" s="73">
        <v>-6</v>
      </c>
      <c r="P108" s="73">
        <v>-52</v>
      </c>
      <c r="Q108" s="73">
        <v>-17</v>
      </c>
      <c r="R108" s="73">
        <v>0</v>
      </c>
      <c r="S108" s="73">
        <v>0</v>
      </c>
      <c r="T108" s="73">
        <v>0</v>
      </c>
      <c r="U108" s="73">
        <v>0</v>
      </c>
      <c r="V108" s="73">
        <v>0</v>
      </c>
      <c r="W108" s="73">
        <v>0</v>
      </c>
      <c r="X108" s="73">
        <v>0</v>
      </c>
      <c r="Y108" s="73">
        <v>0</v>
      </c>
      <c r="Z108" s="73">
        <v>38</v>
      </c>
      <c r="AA108" s="73">
        <v>409</v>
      </c>
      <c r="AB108" s="73">
        <v>0</v>
      </c>
      <c r="AC108" s="73">
        <v>0</v>
      </c>
      <c r="AD108" s="73">
        <v>0</v>
      </c>
      <c r="AE108" s="73">
        <v>0</v>
      </c>
      <c r="AF108" s="74">
        <f>tblData[[#This Row],[Gross Sales]]+tblData[[#This Row],[Trade Discounts]]+tblData[[#This Row],[Returns]]</f>
        <v>401</v>
      </c>
      <c r="AG108" s="74">
        <f>tblData[[#This Row],[Material Cost]]+tblData[[#This Row],[Conversion Cost]]+tblData[[#This Row],[Inbound Freight]]</f>
        <v>-170</v>
      </c>
      <c r="AH108" s="74">
        <f>tblData[[#This Row],[Net Revenue]]+tblData[[#This Row],[COGS]]</f>
        <v>231</v>
      </c>
      <c r="AI108" s="74">
        <f>tblData[[#This Row],[Advertising]]+tblData[[#This Row],[Promotions]]</f>
        <v>-18</v>
      </c>
      <c r="AJ108" s="74">
        <f>tblData[[#This Row],[Outbound Logistics]]+tblData[[#This Row],[Direct Selling]]</f>
        <v>-69</v>
      </c>
      <c r="AK108" s="74">
        <f>tblData[[#This Row],[Gross Profit]]+tblData[[#This Row],[AP Spend]]+tblData[[#This Row],[Cost to Serve]]</f>
        <v>144</v>
      </c>
    </row>
    <row r="109" spans="2:37" x14ac:dyDescent="0.25">
      <c r="B109" s="71" t="s">
        <v>36</v>
      </c>
      <c r="C109" s="71">
        <v>2025</v>
      </c>
      <c r="D109" s="71">
        <v>2</v>
      </c>
      <c r="E109" s="71" t="s">
        <v>47</v>
      </c>
      <c r="F109" s="71" t="s">
        <v>41</v>
      </c>
      <c r="G109" s="72">
        <v>31.6</v>
      </c>
      <c r="H109" s="73">
        <v>341</v>
      </c>
      <c r="I109" s="73">
        <v>-9</v>
      </c>
      <c r="J109" s="73">
        <v>-17</v>
      </c>
      <c r="K109" s="73">
        <v>-80</v>
      </c>
      <c r="L109" s="73">
        <v>-20</v>
      </c>
      <c r="M109" s="73">
        <v>-11</v>
      </c>
      <c r="N109" s="73">
        <v>-26</v>
      </c>
      <c r="O109" s="73">
        <v>-14</v>
      </c>
      <c r="P109" s="73">
        <v>-41</v>
      </c>
      <c r="Q109" s="73">
        <v>-14</v>
      </c>
      <c r="R109" s="73">
        <v>0</v>
      </c>
      <c r="S109" s="73">
        <v>0</v>
      </c>
      <c r="T109" s="73">
        <v>0</v>
      </c>
      <c r="U109" s="73">
        <v>0</v>
      </c>
      <c r="V109" s="73">
        <v>0</v>
      </c>
      <c r="W109" s="73">
        <v>0</v>
      </c>
      <c r="X109" s="73">
        <v>0</v>
      </c>
      <c r="Y109" s="73">
        <v>0</v>
      </c>
      <c r="Z109" s="73">
        <v>30</v>
      </c>
      <c r="AA109" s="73">
        <v>319</v>
      </c>
      <c r="AB109" s="73">
        <v>0</v>
      </c>
      <c r="AC109" s="73">
        <v>0</v>
      </c>
      <c r="AD109" s="73">
        <v>0</v>
      </c>
      <c r="AE109" s="73">
        <v>0</v>
      </c>
      <c r="AF109" s="74">
        <f>tblData[[#This Row],[Gross Sales]]+tblData[[#This Row],[Trade Discounts]]+tblData[[#This Row],[Returns]]</f>
        <v>315</v>
      </c>
      <c r="AG109" s="74">
        <f>tblData[[#This Row],[Material Cost]]+tblData[[#This Row],[Conversion Cost]]+tblData[[#This Row],[Inbound Freight]]</f>
        <v>-111</v>
      </c>
      <c r="AH109" s="74">
        <f>tblData[[#This Row],[Net Revenue]]+tblData[[#This Row],[COGS]]</f>
        <v>204</v>
      </c>
      <c r="AI109" s="74">
        <f>tblData[[#This Row],[Advertising]]+tblData[[#This Row],[Promotions]]</f>
        <v>-40</v>
      </c>
      <c r="AJ109" s="74">
        <f>tblData[[#This Row],[Outbound Logistics]]+tblData[[#This Row],[Direct Selling]]</f>
        <v>-55</v>
      </c>
      <c r="AK109" s="74">
        <f>tblData[[#This Row],[Gross Profit]]+tblData[[#This Row],[AP Spend]]+tblData[[#This Row],[Cost to Serve]]</f>
        <v>109</v>
      </c>
    </row>
    <row r="110" spans="2:37" x14ac:dyDescent="0.25">
      <c r="B110" s="71" t="s">
        <v>36</v>
      </c>
      <c r="C110" s="71">
        <v>2025</v>
      </c>
      <c r="D110" s="71">
        <v>2</v>
      </c>
      <c r="E110" s="71" t="s">
        <v>47</v>
      </c>
      <c r="F110" s="71" t="s">
        <v>42</v>
      </c>
      <c r="G110" s="72">
        <v>40.4</v>
      </c>
      <c r="H110" s="73">
        <v>237</v>
      </c>
      <c r="I110" s="73">
        <v>-6</v>
      </c>
      <c r="J110" s="73">
        <v>-12</v>
      </c>
      <c r="K110" s="73">
        <v>-74</v>
      </c>
      <c r="L110" s="73">
        <v>-19</v>
      </c>
      <c r="M110" s="73">
        <v>-10</v>
      </c>
      <c r="N110" s="73">
        <v>-5</v>
      </c>
      <c r="O110" s="73">
        <v>-3</v>
      </c>
      <c r="P110" s="73">
        <v>-28</v>
      </c>
      <c r="Q110" s="73">
        <v>-9</v>
      </c>
      <c r="R110" s="73">
        <v>0</v>
      </c>
      <c r="S110" s="73">
        <v>0</v>
      </c>
      <c r="T110" s="73">
        <v>0</v>
      </c>
      <c r="U110" s="73">
        <v>0</v>
      </c>
      <c r="V110" s="73">
        <v>0</v>
      </c>
      <c r="W110" s="73">
        <v>0</v>
      </c>
      <c r="X110" s="73">
        <v>0</v>
      </c>
      <c r="Y110" s="73">
        <v>0</v>
      </c>
      <c r="Z110" s="73">
        <v>21</v>
      </c>
      <c r="AA110" s="73">
        <v>367</v>
      </c>
      <c r="AB110" s="73">
        <v>0</v>
      </c>
      <c r="AC110" s="73">
        <v>0</v>
      </c>
      <c r="AD110" s="73">
        <v>0</v>
      </c>
      <c r="AE110" s="73">
        <v>0</v>
      </c>
      <c r="AF110" s="74">
        <f>tblData[[#This Row],[Gross Sales]]+tblData[[#This Row],[Trade Discounts]]+tblData[[#This Row],[Returns]]</f>
        <v>219</v>
      </c>
      <c r="AG110" s="74">
        <f>tblData[[#This Row],[Material Cost]]+tblData[[#This Row],[Conversion Cost]]+tblData[[#This Row],[Inbound Freight]]</f>
        <v>-103</v>
      </c>
      <c r="AH110" s="74">
        <f>tblData[[#This Row],[Net Revenue]]+tblData[[#This Row],[COGS]]</f>
        <v>116</v>
      </c>
      <c r="AI110" s="74">
        <f>tblData[[#This Row],[Advertising]]+tblData[[#This Row],[Promotions]]</f>
        <v>-8</v>
      </c>
      <c r="AJ110" s="74">
        <f>tblData[[#This Row],[Outbound Logistics]]+tblData[[#This Row],[Direct Selling]]</f>
        <v>-37</v>
      </c>
      <c r="AK110" s="74">
        <f>tblData[[#This Row],[Gross Profit]]+tblData[[#This Row],[AP Spend]]+tblData[[#This Row],[Cost to Serve]]</f>
        <v>71</v>
      </c>
    </row>
    <row r="111" spans="2:37" x14ac:dyDescent="0.25">
      <c r="B111" s="71" t="s">
        <v>36</v>
      </c>
      <c r="C111" s="71">
        <v>2025</v>
      </c>
      <c r="D111" s="71">
        <v>2</v>
      </c>
      <c r="E111" s="71" t="s">
        <v>47</v>
      </c>
      <c r="F111" s="71" t="s">
        <v>43</v>
      </c>
      <c r="G111" s="72">
        <v>8.1</v>
      </c>
      <c r="H111" s="73">
        <v>144</v>
      </c>
      <c r="I111" s="73">
        <v>-4</v>
      </c>
      <c r="J111" s="73">
        <v>-7</v>
      </c>
      <c r="K111" s="73">
        <v>-39</v>
      </c>
      <c r="L111" s="73">
        <v>-10</v>
      </c>
      <c r="M111" s="73">
        <v>-5</v>
      </c>
      <c r="N111" s="73">
        <v>-14</v>
      </c>
      <c r="O111" s="73">
        <v>-8</v>
      </c>
      <c r="P111" s="73">
        <v>-17</v>
      </c>
      <c r="Q111" s="73">
        <v>-6</v>
      </c>
      <c r="R111" s="73">
        <v>0</v>
      </c>
      <c r="S111" s="73">
        <v>0</v>
      </c>
      <c r="T111" s="73">
        <v>0</v>
      </c>
      <c r="U111" s="73">
        <v>0</v>
      </c>
      <c r="V111" s="73">
        <v>0</v>
      </c>
      <c r="W111" s="73">
        <v>0</v>
      </c>
      <c r="X111" s="73">
        <v>0</v>
      </c>
      <c r="Y111" s="73">
        <v>0</v>
      </c>
      <c r="Z111" s="73">
        <v>13</v>
      </c>
      <c r="AA111" s="73">
        <v>211</v>
      </c>
      <c r="AB111" s="73">
        <v>0</v>
      </c>
      <c r="AC111" s="73">
        <v>0</v>
      </c>
      <c r="AD111" s="73">
        <v>0</v>
      </c>
      <c r="AE111" s="73">
        <v>0</v>
      </c>
      <c r="AF111" s="74">
        <f>tblData[[#This Row],[Gross Sales]]+tblData[[#This Row],[Trade Discounts]]+tblData[[#This Row],[Returns]]</f>
        <v>133</v>
      </c>
      <c r="AG111" s="74">
        <f>tblData[[#This Row],[Material Cost]]+tblData[[#This Row],[Conversion Cost]]+tblData[[#This Row],[Inbound Freight]]</f>
        <v>-54</v>
      </c>
      <c r="AH111" s="74">
        <f>tblData[[#This Row],[Net Revenue]]+tblData[[#This Row],[COGS]]</f>
        <v>79</v>
      </c>
      <c r="AI111" s="74">
        <f>tblData[[#This Row],[Advertising]]+tblData[[#This Row],[Promotions]]</f>
        <v>-22</v>
      </c>
      <c r="AJ111" s="74">
        <f>tblData[[#This Row],[Outbound Logistics]]+tblData[[#This Row],[Direct Selling]]</f>
        <v>-23</v>
      </c>
      <c r="AK111" s="74">
        <f>tblData[[#This Row],[Gross Profit]]+tblData[[#This Row],[AP Spend]]+tblData[[#This Row],[Cost to Serve]]</f>
        <v>34</v>
      </c>
    </row>
    <row r="112" spans="2:37" x14ac:dyDescent="0.25">
      <c r="B112" s="71" t="s">
        <v>36</v>
      </c>
      <c r="C112" s="71">
        <v>2025</v>
      </c>
      <c r="D112" s="71">
        <v>2</v>
      </c>
      <c r="E112" s="71" t="s">
        <v>48</v>
      </c>
      <c r="F112" s="71" t="s">
        <v>38</v>
      </c>
      <c r="G112" s="72">
        <v>80.5</v>
      </c>
      <c r="H112" s="73">
        <v>1104</v>
      </c>
      <c r="I112" s="73">
        <v>-95</v>
      </c>
      <c r="J112" s="73">
        <v>-11</v>
      </c>
      <c r="K112" s="73">
        <v>-235</v>
      </c>
      <c r="L112" s="73">
        <v>-60</v>
      </c>
      <c r="M112" s="73">
        <v>-31</v>
      </c>
      <c r="N112" s="73">
        <v>-70</v>
      </c>
      <c r="O112" s="73">
        <v>-38</v>
      </c>
      <c r="P112" s="73">
        <v>-33</v>
      </c>
      <c r="Q112" s="73">
        <v>-17</v>
      </c>
      <c r="R112" s="73">
        <v>0</v>
      </c>
      <c r="S112" s="73">
        <v>0</v>
      </c>
      <c r="T112" s="73">
        <v>0</v>
      </c>
      <c r="U112" s="73">
        <v>0</v>
      </c>
      <c r="V112" s="73">
        <v>0</v>
      </c>
      <c r="W112" s="73">
        <v>0</v>
      </c>
      <c r="X112" s="73">
        <v>0</v>
      </c>
      <c r="Y112" s="73">
        <v>0</v>
      </c>
      <c r="Z112" s="73">
        <v>2263</v>
      </c>
      <c r="AA112" s="73">
        <v>1003</v>
      </c>
      <c r="AB112" s="73">
        <v>0</v>
      </c>
      <c r="AC112" s="73">
        <v>0</v>
      </c>
      <c r="AD112" s="73">
        <v>0</v>
      </c>
      <c r="AE112" s="73">
        <v>0</v>
      </c>
      <c r="AF112" s="74">
        <f>tblData[[#This Row],[Gross Sales]]+tblData[[#This Row],[Trade Discounts]]+tblData[[#This Row],[Returns]]</f>
        <v>998</v>
      </c>
      <c r="AG112" s="74">
        <f>tblData[[#This Row],[Material Cost]]+tblData[[#This Row],[Conversion Cost]]+tblData[[#This Row],[Inbound Freight]]</f>
        <v>-326</v>
      </c>
      <c r="AH112" s="74">
        <f>tblData[[#This Row],[Net Revenue]]+tblData[[#This Row],[COGS]]</f>
        <v>672</v>
      </c>
      <c r="AI112" s="74">
        <f>tblData[[#This Row],[Advertising]]+tblData[[#This Row],[Promotions]]</f>
        <v>-108</v>
      </c>
      <c r="AJ112" s="74">
        <f>tblData[[#This Row],[Outbound Logistics]]+tblData[[#This Row],[Direct Selling]]</f>
        <v>-50</v>
      </c>
      <c r="AK112" s="74">
        <f>tblData[[#This Row],[Gross Profit]]+tblData[[#This Row],[AP Spend]]+tblData[[#This Row],[Cost to Serve]]</f>
        <v>514</v>
      </c>
    </row>
    <row r="113" spans="2:37" x14ac:dyDescent="0.25">
      <c r="B113" s="71" t="s">
        <v>36</v>
      </c>
      <c r="C113" s="71">
        <v>2025</v>
      </c>
      <c r="D113" s="71">
        <v>2</v>
      </c>
      <c r="E113" s="71" t="s">
        <v>48</v>
      </c>
      <c r="F113" s="71" t="s">
        <v>39</v>
      </c>
      <c r="G113" s="72">
        <v>103.3</v>
      </c>
      <c r="H113" s="73">
        <v>911</v>
      </c>
      <c r="I113" s="73">
        <v>-78</v>
      </c>
      <c r="J113" s="73">
        <v>-9</v>
      </c>
      <c r="K113" s="73">
        <v>-233</v>
      </c>
      <c r="L113" s="73">
        <v>-59</v>
      </c>
      <c r="M113" s="73">
        <v>-31</v>
      </c>
      <c r="N113" s="73">
        <v>-40</v>
      </c>
      <c r="O113" s="73">
        <v>-22</v>
      </c>
      <c r="P113" s="73">
        <v>-27</v>
      </c>
      <c r="Q113" s="73">
        <v>-14</v>
      </c>
      <c r="R113" s="73">
        <v>0</v>
      </c>
      <c r="S113" s="73">
        <v>0</v>
      </c>
      <c r="T113" s="73">
        <v>0</v>
      </c>
      <c r="U113" s="73">
        <v>0</v>
      </c>
      <c r="V113" s="73">
        <v>0</v>
      </c>
      <c r="W113" s="73">
        <v>0</v>
      </c>
      <c r="X113" s="73">
        <v>0</v>
      </c>
      <c r="Y113" s="73">
        <v>0</v>
      </c>
      <c r="Z113" s="73">
        <v>1904</v>
      </c>
      <c r="AA113" s="73">
        <v>853</v>
      </c>
      <c r="AB113" s="73">
        <v>0</v>
      </c>
      <c r="AC113" s="73">
        <v>0</v>
      </c>
      <c r="AD113" s="73">
        <v>0</v>
      </c>
      <c r="AE113" s="73">
        <v>0</v>
      </c>
      <c r="AF113" s="74">
        <f>tblData[[#This Row],[Gross Sales]]+tblData[[#This Row],[Trade Discounts]]+tblData[[#This Row],[Returns]]</f>
        <v>824</v>
      </c>
      <c r="AG113" s="74">
        <f>tblData[[#This Row],[Material Cost]]+tblData[[#This Row],[Conversion Cost]]+tblData[[#This Row],[Inbound Freight]]</f>
        <v>-323</v>
      </c>
      <c r="AH113" s="74">
        <f>tblData[[#This Row],[Net Revenue]]+tblData[[#This Row],[COGS]]</f>
        <v>501</v>
      </c>
      <c r="AI113" s="74">
        <f>tblData[[#This Row],[Advertising]]+tblData[[#This Row],[Promotions]]</f>
        <v>-62</v>
      </c>
      <c r="AJ113" s="74">
        <f>tblData[[#This Row],[Outbound Logistics]]+tblData[[#This Row],[Direct Selling]]</f>
        <v>-41</v>
      </c>
      <c r="AK113" s="74">
        <f>tblData[[#This Row],[Gross Profit]]+tblData[[#This Row],[AP Spend]]+tblData[[#This Row],[Cost to Serve]]</f>
        <v>398</v>
      </c>
    </row>
    <row r="114" spans="2:37" x14ac:dyDescent="0.25">
      <c r="B114" s="71" t="s">
        <v>36</v>
      </c>
      <c r="C114" s="71">
        <v>2025</v>
      </c>
      <c r="D114" s="71">
        <v>2</v>
      </c>
      <c r="E114" s="71" t="s">
        <v>48</v>
      </c>
      <c r="F114" s="71" t="s">
        <v>40</v>
      </c>
      <c r="G114" s="72">
        <v>100.7</v>
      </c>
      <c r="H114" s="73">
        <v>691</v>
      </c>
      <c r="I114" s="73">
        <v>-59</v>
      </c>
      <c r="J114" s="73">
        <v>-7</v>
      </c>
      <c r="K114" s="73">
        <v>-196</v>
      </c>
      <c r="L114" s="73">
        <v>-50</v>
      </c>
      <c r="M114" s="73">
        <v>-26</v>
      </c>
      <c r="N114" s="73">
        <v>-20</v>
      </c>
      <c r="O114" s="73">
        <v>-11</v>
      </c>
      <c r="P114" s="73">
        <v>-21</v>
      </c>
      <c r="Q114" s="73">
        <v>-10</v>
      </c>
      <c r="R114" s="73">
        <v>0</v>
      </c>
      <c r="S114" s="73">
        <v>0</v>
      </c>
      <c r="T114" s="73">
        <v>0</v>
      </c>
      <c r="U114" s="73">
        <v>0</v>
      </c>
      <c r="V114" s="73">
        <v>0</v>
      </c>
      <c r="W114" s="73">
        <v>0</v>
      </c>
      <c r="X114" s="73">
        <v>0</v>
      </c>
      <c r="Y114" s="73">
        <v>0</v>
      </c>
      <c r="Z114" s="73">
        <v>1441</v>
      </c>
      <c r="AA114" s="73">
        <v>672</v>
      </c>
      <c r="AB114" s="73">
        <v>0</v>
      </c>
      <c r="AC114" s="73">
        <v>0</v>
      </c>
      <c r="AD114" s="73">
        <v>0</v>
      </c>
      <c r="AE114" s="73">
        <v>0</v>
      </c>
      <c r="AF114" s="74">
        <f>tblData[[#This Row],[Gross Sales]]+tblData[[#This Row],[Trade Discounts]]+tblData[[#This Row],[Returns]]</f>
        <v>625</v>
      </c>
      <c r="AG114" s="74">
        <f>tblData[[#This Row],[Material Cost]]+tblData[[#This Row],[Conversion Cost]]+tblData[[#This Row],[Inbound Freight]]</f>
        <v>-272</v>
      </c>
      <c r="AH114" s="74">
        <f>tblData[[#This Row],[Net Revenue]]+tblData[[#This Row],[COGS]]</f>
        <v>353</v>
      </c>
      <c r="AI114" s="74">
        <f>tblData[[#This Row],[Advertising]]+tblData[[#This Row],[Promotions]]</f>
        <v>-31</v>
      </c>
      <c r="AJ114" s="74">
        <f>tblData[[#This Row],[Outbound Logistics]]+tblData[[#This Row],[Direct Selling]]</f>
        <v>-31</v>
      </c>
      <c r="AK114" s="74">
        <f>tblData[[#This Row],[Gross Profit]]+tblData[[#This Row],[AP Spend]]+tblData[[#This Row],[Cost to Serve]]</f>
        <v>291</v>
      </c>
    </row>
    <row r="115" spans="2:37" x14ac:dyDescent="0.25">
      <c r="B115" s="71" t="s">
        <v>36</v>
      </c>
      <c r="C115" s="71">
        <v>2025</v>
      </c>
      <c r="D115" s="71">
        <v>2</v>
      </c>
      <c r="E115" s="71" t="s">
        <v>48</v>
      </c>
      <c r="F115" s="71" t="s">
        <v>41</v>
      </c>
      <c r="G115" s="72">
        <v>52.2</v>
      </c>
      <c r="H115" s="73">
        <v>563</v>
      </c>
      <c r="I115" s="73">
        <v>-48</v>
      </c>
      <c r="J115" s="73">
        <v>-6</v>
      </c>
      <c r="K115" s="73">
        <v>-132</v>
      </c>
      <c r="L115" s="73">
        <v>-33</v>
      </c>
      <c r="M115" s="73">
        <v>-18</v>
      </c>
      <c r="N115" s="73">
        <v>-43</v>
      </c>
      <c r="O115" s="73">
        <v>-23</v>
      </c>
      <c r="P115" s="73">
        <v>-17</v>
      </c>
      <c r="Q115" s="73">
        <v>-8</v>
      </c>
      <c r="R115" s="73">
        <v>0</v>
      </c>
      <c r="S115" s="73">
        <v>0</v>
      </c>
      <c r="T115" s="73">
        <v>0</v>
      </c>
      <c r="U115" s="73">
        <v>0</v>
      </c>
      <c r="V115" s="73">
        <v>0</v>
      </c>
      <c r="W115" s="73">
        <v>0</v>
      </c>
      <c r="X115" s="73">
        <v>0</v>
      </c>
      <c r="Y115" s="73">
        <v>0</v>
      </c>
      <c r="Z115" s="73">
        <v>1150</v>
      </c>
      <c r="AA115" s="73">
        <v>531</v>
      </c>
      <c r="AB115" s="73">
        <v>0</v>
      </c>
      <c r="AC115" s="73">
        <v>0</v>
      </c>
      <c r="AD115" s="73">
        <v>0</v>
      </c>
      <c r="AE115" s="73">
        <v>0</v>
      </c>
      <c r="AF115" s="74">
        <f>tblData[[#This Row],[Gross Sales]]+tblData[[#This Row],[Trade Discounts]]+tblData[[#This Row],[Returns]]</f>
        <v>509</v>
      </c>
      <c r="AG115" s="74">
        <f>tblData[[#This Row],[Material Cost]]+tblData[[#This Row],[Conversion Cost]]+tblData[[#This Row],[Inbound Freight]]</f>
        <v>-183</v>
      </c>
      <c r="AH115" s="74">
        <f>tblData[[#This Row],[Net Revenue]]+tblData[[#This Row],[COGS]]</f>
        <v>326</v>
      </c>
      <c r="AI115" s="74">
        <f>tblData[[#This Row],[Advertising]]+tblData[[#This Row],[Promotions]]</f>
        <v>-66</v>
      </c>
      <c r="AJ115" s="74">
        <f>tblData[[#This Row],[Outbound Logistics]]+tblData[[#This Row],[Direct Selling]]</f>
        <v>-25</v>
      </c>
      <c r="AK115" s="74">
        <f>tblData[[#This Row],[Gross Profit]]+tblData[[#This Row],[AP Spend]]+tblData[[#This Row],[Cost to Serve]]</f>
        <v>235</v>
      </c>
    </row>
    <row r="116" spans="2:37" x14ac:dyDescent="0.25">
      <c r="B116" s="71" t="s">
        <v>36</v>
      </c>
      <c r="C116" s="71">
        <v>2025</v>
      </c>
      <c r="D116" s="71">
        <v>2</v>
      </c>
      <c r="E116" s="71" t="s">
        <v>48</v>
      </c>
      <c r="F116" s="71" t="s">
        <v>42</v>
      </c>
      <c r="G116" s="72">
        <v>66</v>
      </c>
      <c r="H116" s="73">
        <v>388</v>
      </c>
      <c r="I116" s="73">
        <v>-33</v>
      </c>
      <c r="J116" s="73">
        <v>-4</v>
      </c>
      <c r="K116" s="73">
        <v>-121</v>
      </c>
      <c r="L116" s="73">
        <v>-31</v>
      </c>
      <c r="M116" s="73">
        <v>-16</v>
      </c>
      <c r="N116" s="73">
        <v>-8</v>
      </c>
      <c r="O116" s="73">
        <v>-4</v>
      </c>
      <c r="P116" s="73">
        <v>-12</v>
      </c>
      <c r="Q116" s="73">
        <v>-6</v>
      </c>
      <c r="R116" s="73">
        <v>0</v>
      </c>
      <c r="S116" s="73">
        <v>0</v>
      </c>
      <c r="T116" s="73">
        <v>0</v>
      </c>
      <c r="U116" s="73">
        <v>0</v>
      </c>
      <c r="V116" s="73">
        <v>0</v>
      </c>
      <c r="W116" s="73">
        <v>0</v>
      </c>
      <c r="X116" s="73">
        <v>0</v>
      </c>
      <c r="Y116" s="73">
        <v>0</v>
      </c>
      <c r="Z116" s="73">
        <v>814</v>
      </c>
      <c r="AA116" s="73">
        <v>612</v>
      </c>
      <c r="AB116" s="73">
        <v>0</v>
      </c>
      <c r="AC116" s="73">
        <v>0</v>
      </c>
      <c r="AD116" s="73">
        <v>0</v>
      </c>
      <c r="AE116" s="73">
        <v>0</v>
      </c>
      <c r="AF116" s="74">
        <f>tblData[[#This Row],[Gross Sales]]+tblData[[#This Row],[Trade Discounts]]+tblData[[#This Row],[Returns]]</f>
        <v>351</v>
      </c>
      <c r="AG116" s="74">
        <f>tblData[[#This Row],[Material Cost]]+tblData[[#This Row],[Conversion Cost]]+tblData[[#This Row],[Inbound Freight]]</f>
        <v>-168</v>
      </c>
      <c r="AH116" s="74">
        <f>tblData[[#This Row],[Net Revenue]]+tblData[[#This Row],[COGS]]</f>
        <v>183</v>
      </c>
      <c r="AI116" s="74">
        <f>tblData[[#This Row],[Advertising]]+tblData[[#This Row],[Promotions]]</f>
        <v>-12</v>
      </c>
      <c r="AJ116" s="74">
        <f>tblData[[#This Row],[Outbound Logistics]]+tblData[[#This Row],[Direct Selling]]</f>
        <v>-18</v>
      </c>
      <c r="AK116" s="74">
        <f>tblData[[#This Row],[Gross Profit]]+tblData[[#This Row],[AP Spend]]+tblData[[#This Row],[Cost to Serve]]</f>
        <v>153</v>
      </c>
    </row>
    <row r="117" spans="2:37" x14ac:dyDescent="0.25">
      <c r="B117" s="71" t="s">
        <v>36</v>
      </c>
      <c r="C117" s="71">
        <v>2025</v>
      </c>
      <c r="D117" s="71">
        <v>2</v>
      </c>
      <c r="E117" s="71" t="s">
        <v>48</v>
      </c>
      <c r="F117" s="71" t="s">
        <v>43</v>
      </c>
      <c r="G117" s="72">
        <v>13.6</v>
      </c>
      <c r="H117" s="73">
        <v>240</v>
      </c>
      <c r="I117" s="73">
        <v>-21</v>
      </c>
      <c r="J117" s="73">
        <v>-2</v>
      </c>
      <c r="K117" s="73">
        <v>-65</v>
      </c>
      <c r="L117" s="73">
        <v>-16</v>
      </c>
      <c r="M117" s="73">
        <v>-9</v>
      </c>
      <c r="N117" s="73">
        <v>-23</v>
      </c>
      <c r="O117" s="73">
        <v>-13</v>
      </c>
      <c r="P117" s="73">
        <v>-7</v>
      </c>
      <c r="Q117" s="73">
        <v>-4</v>
      </c>
      <c r="R117" s="73">
        <v>0</v>
      </c>
      <c r="S117" s="73">
        <v>0</v>
      </c>
      <c r="T117" s="73">
        <v>0</v>
      </c>
      <c r="U117" s="73">
        <v>0</v>
      </c>
      <c r="V117" s="73">
        <v>0</v>
      </c>
      <c r="W117" s="73">
        <v>0</v>
      </c>
      <c r="X117" s="73">
        <v>0</v>
      </c>
      <c r="Y117" s="73">
        <v>0</v>
      </c>
      <c r="Z117" s="73">
        <v>486</v>
      </c>
      <c r="AA117" s="73">
        <v>345</v>
      </c>
      <c r="AB117" s="73">
        <v>0</v>
      </c>
      <c r="AC117" s="73">
        <v>0</v>
      </c>
      <c r="AD117" s="73">
        <v>0</v>
      </c>
      <c r="AE117" s="73">
        <v>0</v>
      </c>
      <c r="AF117" s="74">
        <f>tblData[[#This Row],[Gross Sales]]+tblData[[#This Row],[Trade Discounts]]+tblData[[#This Row],[Returns]]</f>
        <v>217</v>
      </c>
      <c r="AG117" s="74">
        <f>tblData[[#This Row],[Material Cost]]+tblData[[#This Row],[Conversion Cost]]+tblData[[#This Row],[Inbound Freight]]</f>
        <v>-90</v>
      </c>
      <c r="AH117" s="74">
        <f>tblData[[#This Row],[Net Revenue]]+tblData[[#This Row],[COGS]]</f>
        <v>127</v>
      </c>
      <c r="AI117" s="74">
        <f>tblData[[#This Row],[Advertising]]+tblData[[#This Row],[Promotions]]</f>
        <v>-36</v>
      </c>
      <c r="AJ117" s="74">
        <f>tblData[[#This Row],[Outbound Logistics]]+tblData[[#This Row],[Direct Selling]]</f>
        <v>-11</v>
      </c>
      <c r="AK117" s="74">
        <f>tblData[[#This Row],[Gross Profit]]+tblData[[#This Row],[AP Spend]]+tblData[[#This Row],[Cost to Serve]]</f>
        <v>80</v>
      </c>
    </row>
    <row r="118" spans="2:37" x14ac:dyDescent="0.25">
      <c r="B118" s="71" t="s">
        <v>36</v>
      </c>
      <c r="C118" s="71">
        <v>2025</v>
      </c>
      <c r="D118" s="71">
        <v>2</v>
      </c>
      <c r="E118" s="71" t="s">
        <v>49</v>
      </c>
      <c r="F118" s="71" t="s">
        <v>49</v>
      </c>
      <c r="G118" s="72">
        <v>0</v>
      </c>
      <c r="H118" s="73">
        <v>0</v>
      </c>
      <c r="I118" s="73">
        <v>0</v>
      </c>
      <c r="J118" s="73">
        <v>0</v>
      </c>
      <c r="K118" s="73">
        <v>0</v>
      </c>
      <c r="L118" s="73">
        <v>0</v>
      </c>
      <c r="M118" s="73">
        <v>0</v>
      </c>
      <c r="N118" s="73">
        <v>0</v>
      </c>
      <c r="O118" s="73">
        <v>0</v>
      </c>
      <c r="P118" s="73">
        <v>0</v>
      </c>
      <c r="Q118" s="73">
        <v>0</v>
      </c>
      <c r="R118" s="73">
        <v>-3979</v>
      </c>
      <c r="S118" s="73">
        <v>-974</v>
      </c>
      <c r="T118" s="73">
        <v>-1261</v>
      </c>
      <c r="U118" s="73">
        <v>-1079</v>
      </c>
      <c r="V118" s="73">
        <v>-1413</v>
      </c>
      <c r="W118" s="73">
        <v>-750</v>
      </c>
      <c r="X118" s="73">
        <v>-824</v>
      </c>
      <c r="Y118" s="73">
        <v>-1009</v>
      </c>
      <c r="Z118" s="73">
        <v>0</v>
      </c>
      <c r="AA118" s="73">
        <v>0</v>
      </c>
      <c r="AB118" s="73">
        <v>26194</v>
      </c>
      <c r="AC118" s="73">
        <v>47149</v>
      </c>
      <c r="AD118" s="73">
        <v>200000</v>
      </c>
      <c r="AE118" s="73">
        <v>1148</v>
      </c>
      <c r="AF118" s="74">
        <f>tblData[[#This Row],[Gross Sales]]+tblData[[#This Row],[Trade Discounts]]+tblData[[#This Row],[Returns]]</f>
        <v>0</v>
      </c>
      <c r="AG118" s="74">
        <f>tblData[[#This Row],[Material Cost]]+tblData[[#This Row],[Conversion Cost]]+tblData[[#This Row],[Inbound Freight]]</f>
        <v>0</v>
      </c>
      <c r="AH118" s="74">
        <f>tblData[[#This Row],[Net Revenue]]+tblData[[#This Row],[COGS]]</f>
        <v>0</v>
      </c>
      <c r="AI118" s="74">
        <f>tblData[[#This Row],[Advertising]]+tblData[[#This Row],[Promotions]]</f>
        <v>0</v>
      </c>
      <c r="AJ118" s="74">
        <f>tblData[[#This Row],[Outbound Logistics]]+tblData[[#This Row],[Direct Selling]]</f>
        <v>0</v>
      </c>
      <c r="AK118" s="74">
        <f>tblData[[#This Row],[Gross Profit]]+tblData[[#This Row],[AP Spend]]+tblData[[#This Row],[Cost to Serve]]</f>
        <v>0</v>
      </c>
    </row>
    <row r="119" spans="2:37" x14ac:dyDescent="0.25">
      <c r="B119" s="71" t="s">
        <v>36</v>
      </c>
      <c r="C119" s="71">
        <v>2025</v>
      </c>
      <c r="D119" s="71">
        <v>3</v>
      </c>
      <c r="E119" s="71" t="s">
        <v>37</v>
      </c>
      <c r="F119" s="71" t="s">
        <v>38</v>
      </c>
      <c r="G119" s="72">
        <v>274.5</v>
      </c>
      <c r="H119" s="73">
        <v>3767</v>
      </c>
      <c r="I119" s="73">
        <v>-701</v>
      </c>
      <c r="J119" s="73">
        <v>-56</v>
      </c>
      <c r="K119" s="73">
        <v>-801</v>
      </c>
      <c r="L119" s="73">
        <v>-203</v>
      </c>
      <c r="M119" s="73">
        <v>-107</v>
      </c>
      <c r="N119" s="73">
        <v>-235</v>
      </c>
      <c r="O119" s="73">
        <v>-127</v>
      </c>
      <c r="P119" s="73">
        <v>-151</v>
      </c>
      <c r="Q119" s="73">
        <v>-113</v>
      </c>
      <c r="R119" s="73">
        <v>0</v>
      </c>
      <c r="S119" s="73">
        <v>0</v>
      </c>
      <c r="T119" s="73">
        <v>0</v>
      </c>
      <c r="U119" s="73">
        <v>0</v>
      </c>
      <c r="V119" s="73">
        <v>0</v>
      </c>
      <c r="W119" s="73">
        <v>0</v>
      </c>
      <c r="X119" s="73">
        <v>0</v>
      </c>
      <c r="Y119" s="73">
        <v>0</v>
      </c>
      <c r="Z119" s="73">
        <v>4977</v>
      </c>
      <c r="AA119" s="73">
        <v>3177</v>
      </c>
      <c r="AB119" s="73">
        <v>0</v>
      </c>
      <c r="AC119" s="73">
        <v>0</v>
      </c>
      <c r="AD119" s="73">
        <v>0</v>
      </c>
      <c r="AE119" s="73">
        <v>0</v>
      </c>
      <c r="AF119" s="74">
        <f>tblData[[#This Row],[Gross Sales]]+tblData[[#This Row],[Trade Discounts]]+tblData[[#This Row],[Returns]]</f>
        <v>3010</v>
      </c>
      <c r="AG119" s="74">
        <f>tblData[[#This Row],[Material Cost]]+tblData[[#This Row],[Conversion Cost]]+tblData[[#This Row],[Inbound Freight]]</f>
        <v>-1111</v>
      </c>
      <c r="AH119" s="74">
        <f>tblData[[#This Row],[Net Revenue]]+tblData[[#This Row],[COGS]]</f>
        <v>1899</v>
      </c>
      <c r="AI119" s="74">
        <f>tblData[[#This Row],[Advertising]]+tblData[[#This Row],[Promotions]]</f>
        <v>-362</v>
      </c>
      <c r="AJ119" s="74">
        <f>tblData[[#This Row],[Outbound Logistics]]+tblData[[#This Row],[Direct Selling]]</f>
        <v>-264</v>
      </c>
      <c r="AK119" s="74">
        <f>tblData[[#This Row],[Gross Profit]]+tblData[[#This Row],[AP Spend]]+tblData[[#This Row],[Cost to Serve]]</f>
        <v>1273</v>
      </c>
    </row>
    <row r="120" spans="2:37" x14ac:dyDescent="0.25">
      <c r="B120" s="71" t="s">
        <v>36</v>
      </c>
      <c r="C120" s="71">
        <v>2025</v>
      </c>
      <c r="D120" s="71">
        <v>3</v>
      </c>
      <c r="E120" s="71" t="s">
        <v>37</v>
      </c>
      <c r="F120" s="71" t="s">
        <v>39</v>
      </c>
      <c r="G120" s="72">
        <v>361.2</v>
      </c>
      <c r="H120" s="73">
        <v>3185</v>
      </c>
      <c r="I120" s="73">
        <v>-592</v>
      </c>
      <c r="J120" s="73">
        <v>-48</v>
      </c>
      <c r="K120" s="73">
        <v>-813</v>
      </c>
      <c r="L120" s="73">
        <v>-206</v>
      </c>
      <c r="M120" s="73">
        <v>-109</v>
      </c>
      <c r="N120" s="73">
        <v>-134</v>
      </c>
      <c r="O120" s="73">
        <v>-72</v>
      </c>
      <c r="P120" s="73">
        <v>-127</v>
      </c>
      <c r="Q120" s="73">
        <v>-96</v>
      </c>
      <c r="R120" s="73">
        <v>0</v>
      </c>
      <c r="S120" s="73">
        <v>0</v>
      </c>
      <c r="T120" s="73">
        <v>0</v>
      </c>
      <c r="U120" s="73">
        <v>0</v>
      </c>
      <c r="V120" s="73">
        <v>0</v>
      </c>
      <c r="W120" s="73">
        <v>0</v>
      </c>
      <c r="X120" s="73">
        <v>0</v>
      </c>
      <c r="Y120" s="73">
        <v>0</v>
      </c>
      <c r="Z120" s="73">
        <v>4259</v>
      </c>
      <c r="AA120" s="73">
        <v>2747</v>
      </c>
      <c r="AB120" s="73">
        <v>0</v>
      </c>
      <c r="AC120" s="73">
        <v>0</v>
      </c>
      <c r="AD120" s="73">
        <v>0</v>
      </c>
      <c r="AE120" s="73">
        <v>0</v>
      </c>
      <c r="AF120" s="74">
        <f>tblData[[#This Row],[Gross Sales]]+tblData[[#This Row],[Trade Discounts]]+tblData[[#This Row],[Returns]]</f>
        <v>2545</v>
      </c>
      <c r="AG120" s="74">
        <f>tblData[[#This Row],[Material Cost]]+tblData[[#This Row],[Conversion Cost]]+tblData[[#This Row],[Inbound Freight]]</f>
        <v>-1128</v>
      </c>
      <c r="AH120" s="74">
        <f>tblData[[#This Row],[Net Revenue]]+tblData[[#This Row],[COGS]]</f>
        <v>1417</v>
      </c>
      <c r="AI120" s="74">
        <f>tblData[[#This Row],[Advertising]]+tblData[[#This Row],[Promotions]]</f>
        <v>-206</v>
      </c>
      <c r="AJ120" s="74">
        <f>tblData[[#This Row],[Outbound Logistics]]+tblData[[#This Row],[Direct Selling]]</f>
        <v>-223</v>
      </c>
      <c r="AK120" s="74">
        <f>tblData[[#This Row],[Gross Profit]]+tblData[[#This Row],[AP Spend]]+tblData[[#This Row],[Cost to Serve]]</f>
        <v>988</v>
      </c>
    </row>
    <row r="121" spans="2:37" x14ac:dyDescent="0.25">
      <c r="B121" s="71" t="s">
        <v>36</v>
      </c>
      <c r="C121" s="71">
        <v>2025</v>
      </c>
      <c r="D121" s="71">
        <v>3</v>
      </c>
      <c r="E121" s="71" t="s">
        <v>37</v>
      </c>
      <c r="F121" s="71" t="s">
        <v>40</v>
      </c>
      <c r="G121" s="72">
        <v>345.9</v>
      </c>
      <c r="H121" s="73">
        <v>2373</v>
      </c>
      <c r="I121" s="73">
        <v>-441</v>
      </c>
      <c r="J121" s="73">
        <v>-36</v>
      </c>
      <c r="K121" s="73">
        <v>-673</v>
      </c>
      <c r="L121" s="73">
        <v>-171</v>
      </c>
      <c r="M121" s="73">
        <v>-90</v>
      </c>
      <c r="N121" s="73">
        <v>-67</v>
      </c>
      <c r="O121" s="73">
        <v>-36</v>
      </c>
      <c r="P121" s="73">
        <v>-95</v>
      </c>
      <c r="Q121" s="73">
        <v>-71</v>
      </c>
      <c r="R121" s="73">
        <v>0</v>
      </c>
      <c r="S121" s="73">
        <v>0</v>
      </c>
      <c r="T121" s="73">
        <v>0</v>
      </c>
      <c r="U121" s="73">
        <v>0</v>
      </c>
      <c r="V121" s="73">
        <v>0</v>
      </c>
      <c r="W121" s="73">
        <v>0</v>
      </c>
      <c r="X121" s="73">
        <v>0</v>
      </c>
      <c r="Y121" s="73">
        <v>0</v>
      </c>
      <c r="Z121" s="73">
        <v>3153</v>
      </c>
      <c r="AA121" s="73">
        <v>2118</v>
      </c>
      <c r="AB121" s="73">
        <v>0</v>
      </c>
      <c r="AC121" s="73">
        <v>0</v>
      </c>
      <c r="AD121" s="73">
        <v>0</v>
      </c>
      <c r="AE121" s="73">
        <v>0</v>
      </c>
      <c r="AF121" s="74">
        <f>tblData[[#This Row],[Gross Sales]]+tblData[[#This Row],[Trade Discounts]]+tblData[[#This Row],[Returns]]</f>
        <v>1896</v>
      </c>
      <c r="AG121" s="74">
        <f>tblData[[#This Row],[Material Cost]]+tblData[[#This Row],[Conversion Cost]]+tblData[[#This Row],[Inbound Freight]]</f>
        <v>-934</v>
      </c>
      <c r="AH121" s="74">
        <f>tblData[[#This Row],[Net Revenue]]+tblData[[#This Row],[COGS]]</f>
        <v>962</v>
      </c>
      <c r="AI121" s="74">
        <f>tblData[[#This Row],[Advertising]]+tblData[[#This Row],[Promotions]]</f>
        <v>-103</v>
      </c>
      <c r="AJ121" s="74">
        <f>tblData[[#This Row],[Outbound Logistics]]+tblData[[#This Row],[Direct Selling]]</f>
        <v>-166</v>
      </c>
      <c r="AK121" s="74">
        <f>tblData[[#This Row],[Gross Profit]]+tblData[[#This Row],[AP Spend]]+tblData[[#This Row],[Cost to Serve]]</f>
        <v>693</v>
      </c>
    </row>
    <row r="122" spans="2:37" x14ac:dyDescent="0.25">
      <c r="B122" s="71" t="s">
        <v>36</v>
      </c>
      <c r="C122" s="71">
        <v>2025</v>
      </c>
      <c r="D122" s="71">
        <v>3</v>
      </c>
      <c r="E122" s="71" t="s">
        <v>37</v>
      </c>
      <c r="F122" s="71" t="s">
        <v>41</v>
      </c>
      <c r="G122" s="72">
        <v>180.1</v>
      </c>
      <c r="H122" s="73">
        <v>1942</v>
      </c>
      <c r="I122" s="73">
        <v>-361</v>
      </c>
      <c r="J122" s="73">
        <v>-29</v>
      </c>
      <c r="K122" s="73">
        <v>-454</v>
      </c>
      <c r="L122" s="73">
        <v>-115</v>
      </c>
      <c r="M122" s="73">
        <v>-61</v>
      </c>
      <c r="N122" s="73">
        <v>-144</v>
      </c>
      <c r="O122" s="73">
        <v>-77</v>
      </c>
      <c r="P122" s="73">
        <v>-78</v>
      </c>
      <c r="Q122" s="73">
        <v>-58</v>
      </c>
      <c r="R122" s="73">
        <v>0</v>
      </c>
      <c r="S122" s="73">
        <v>0</v>
      </c>
      <c r="T122" s="73">
        <v>0</v>
      </c>
      <c r="U122" s="73">
        <v>0</v>
      </c>
      <c r="V122" s="73">
        <v>0</v>
      </c>
      <c r="W122" s="73">
        <v>0</v>
      </c>
      <c r="X122" s="73">
        <v>0</v>
      </c>
      <c r="Y122" s="73">
        <v>0</v>
      </c>
      <c r="Z122" s="73">
        <v>2535</v>
      </c>
      <c r="AA122" s="73">
        <v>1686</v>
      </c>
      <c r="AB122" s="73">
        <v>0</v>
      </c>
      <c r="AC122" s="73">
        <v>0</v>
      </c>
      <c r="AD122" s="73">
        <v>0</v>
      </c>
      <c r="AE122" s="73">
        <v>0</v>
      </c>
      <c r="AF122" s="74">
        <f>tblData[[#This Row],[Gross Sales]]+tblData[[#This Row],[Trade Discounts]]+tblData[[#This Row],[Returns]]</f>
        <v>1552</v>
      </c>
      <c r="AG122" s="74">
        <f>tblData[[#This Row],[Material Cost]]+tblData[[#This Row],[Conversion Cost]]+tblData[[#This Row],[Inbound Freight]]</f>
        <v>-630</v>
      </c>
      <c r="AH122" s="74">
        <f>tblData[[#This Row],[Net Revenue]]+tblData[[#This Row],[COGS]]</f>
        <v>922</v>
      </c>
      <c r="AI122" s="74">
        <f>tblData[[#This Row],[Advertising]]+tblData[[#This Row],[Promotions]]</f>
        <v>-221</v>
      </c>
      <c r="AJ122" s="74">
        <f>tblData[[#This Row],[Outbound Logistics]]+tblData[[#This Row],[Direct Selling]]</f>
        <v>-136</v>
      </c>
      <c r="AK122" s="74">
        <f>tblData[[#This Row],[Gross Profit]]+tblData[[#This Row],[AP Spend]]+tblData[[#This Row],[Cost to Serve]]</f>
        <v>565</v>
      </c>
    </row>
    <row r="123" spans="2:37" x14ac:dyDescent="0.25">
      <c r="B123" s="71" t="s">
        <v>36</v>
      </c>
      <c r="C123" s="71">
        <v>2025</v>
      </c>
      <c r="D123" s="71">
        <v>3</v>
      </c>
      <c r="E123" s="71" t="s">
        <v>37</v>
      </c>
      <c r="F123" s="71" t="s">
        <v>42</v>
      </c>
      <c r="G123" s="72">
        <v>230.6</v>
      </c>
      <c r="H123" s="73">
        <v>1356</v>
      </c>
      <c r="I123" s="73">
        <v>-252</v>
      </c>
      <c r="J123" s="73">
        <v>-20</v>
      </c>
      <c r="K123" s="73">
        <v>-423</v>
      </c>
      <c r="L123" s="73">
        <v>-107</v>
      </c>
      <c r="M123" s="73">
        <v>-57</v>
      </c>
      <c r="N123" s="73">
        <v>-28</v>
      </c>
      <c r="O123" s="73">
        <v>-15</v>
      </c>
      <c r="P123" s="73">
        <v>-54</v>
      </c>
      <c r="Q123" s="73">
        <v>-41</v>
      </c>
      <c r="R123" s="73">
        <v>0</v>
      </c>
      <c r="S123" s="73">
        <v>0</v>
      </c>
      <c r="T123" s="73">
        <v>0</v>
      </c>
      <c r="U123" s="73">
        <v>0</v>
      </c>
      <c r="V123" s="73">
        <v>0</v>
      </c>
      <c r="W123" s="73">
        <v>0</v>
      </c>
      <c r="X123" s="73">
        <v>0</v>
      </c>
      <c r="Y123" s="73">
        <v>0</v>
      </c>
      <c r="Z123" s="73">
        <v>1792</v>
      </c>
      <c r="AA123" s="73">
        <v>1942</v>
      </c>
      <c r="AB123" s="73">
        <v>0</v>
      </c>
      <c r="AC123" s="73">
        <v>0</v>
      </c>
      <c r="AD123" s="73">
        <v>0</v>
      </c>
      <c r="AE123" s="73">
        <v>0</v>
      </c>
      <c r="AF123" s="74">
        <f>tblData[[#This Row],[Gross Sales]]+tblData[[#This Row],[Trade Discounts]]+tblData[[#This Row],[Returns]]</f>
        <v>1084</v>
      </c>
      <c r="AG123" s="74">
        <f>tblData[[#This Row],[Material Cost]]+tblData[[#This Row],[Conversion Cost]]+tblData[[#This Row],[Inbound Freight]]</f>
        <v>-587</v>
      </c>
      <c r="AH123" s="74">
        <f>tblData[[#This Row],[Net Revenue]]+tblData[[#This Row],[COGS]]</f>
        <v>497</v>
      </c>
      <c r="AI123" s="74">
        <f>tblData[[#This Row],[Advertising]]+tblData[[#This Row],[Promotions]]</f>
        <v>-43</v>
      </c>
      <c r="AJ123" s="74">
        <f>tblData[[#This Row],[Outbound Logistics]]+tblData[[#This Row],[Direct Selling]]</f>
        <v>-95</v>
      </c>
      <c r="AK123" s="74">
        <f>tblData[[#This Row],[Gross Profit]]+tblData[[#This Row],[AP Spend]]+tblData[[#This Row],[Cost to Serve]]</f>
        <v>359</v>
      </c>
    </row>
    <row r="124" spans="2:37" x14ac:dyDescent="0.25">
      <c r="B124" s="71" t="s">
        <v>36</v>
      </c>
      <c r="C124" s="71">
        <v>2025</v>
      </c>
      <c r="D124" s="71">
        <v>3</v>
      </c>
      <c r="E124" s="71" t="s">
        <v>37</v>
      </c>
      <c r="F124" s="71" t="s">
        <v>43</v>
      </c>
      <c r="G124" s="72">
        <v>45.6</v>
      </c>
      <c r="H124" s="73">
        <v>804</v>
      </c>
      <c r="I124" s="73">
        <v>-149</v>
      </c>
      <c r="J124" s="73">
        <v>-12</v>
      </c>
      <c r="K124" s="73">
        <v>-217</v>
      </c>
      <c r="L124" s="73">
        <v>-55</v>
      </c>
      <c r="M124" s="73">
        <v>-29</v>
      </c>
      <c r="N124" s="73">
        <v>-78</v>
      </c>
      <c r="O124" s="73">
        <v>-42</v>
      </c>
      <c r="P124" s="73">
        <v>-32</v>
      </c>
      <c r="Q124" s="73">
        <v>-24</v>
      </c>
      <c r="R124" s="73">
        <v>0</v>
      </c>
      <c r="S124" s="73">
        <v>0</v>
      </c>
      <c r="T124" s="73">
        <v>0</v>
      </c>
      <c r="U124" s="73">
        <v>0</v>
      </c>
      <c r="V124" s="73">
        <v>0</v>
      </c>
      <c r="W124" s="73">
        <v>0</v>
      </c>
      <c r="X124" s="73">
        <v>0</v>
      </c>
      <c r="Y124" s="73">
        <v>0</v>
      </c>
      <c r="Z124" s="73">
        <v>1072</v>
      </c>
      <c r="AA124" s="73">
        <v>1094</v>
      </c>
      <c r="AB124" s="73">
        <v>0</v>
      </c>
      <c r="AC124" s="73">
        <v>0</v>
      </c>
      <c r="AD124" s="73">
        <v>0</v>
      </c>
      <c r="AE124" s="73">
        <v>0</v>
      </c>
      <c r="AF124" s="74">
        <f>tblData[[#This Row],[Gross Sales]]+tblData[[#This Row],[Trade Discounts]]+tblData[[#This Row],[Returns]]</f>
        <v>643</v>
      </c>
      <c r="AG124" s="74">
        <f>tblData[[#This Row],[Material Cost]]+tblData[[#This Row],[Conversion Cost]]+tblData[[#This Row],[Inbound Freight]]</f>
        <v>-301</v>
      </c>
      <c r="AH124" s="74">
        <f>tblData[[#This Row],[Net Revenue]]+tblData[[#This Row],[COGS]]</f>
        <v>342</v>
      </c>
      <c r="AI124" s="74">
        <f>tblData[[#This Row],[Advertising]]+tblData[[#This Row],[Promotions]]</f>
        <v>-120</v>
      </c>
      <c r="AJ124" s="74">
        <f>tblData[[#This Row],[Outbound Logistics]]+tblData[[#This Row],[Direct Selling]]</f>
        <v>-56</v>
      </c>
      <c r="AK124" s="74">
        <f>tblData[[#This Row],[Gross Profit]]+tblData[[#This Row],[AP Spend]]+tblData[[#This Row],[Cost to Serve]]</f>
        <v>166</v>
      </c>
    </row>
    <row r="125" spans="2:37" x14ac:dyDescent="0.25">
      <c r="B125" s="71" t="s">
        <v>36</v>
      </c>
      <c r="C125" s="71">
        <v>2025</v>
      </c>
      <c r="D125" s="71">
        <v>3</v>
      </c>
      <c r="E125" s="71" t="s">
        <v>44</v>
      </c>
      <c r="F125" s="71" t="s">
        <v>38</v>
      </c>
      <c r="G125" s="72">
        <v>208.9</v>
      </c>
      <c r="H125" s="73">
        <v>2866</v>
      </c>
      <c r="I125" s="73">
        <v>-447</v>
      </c>
      <c r="J125" s="73">
        <v>-34</v>
      </c>
      <c r="K125" s="73">
        <v>-610</v>
      </c>
      <c r="L125" s="73">
        <v>-155</v>
      </c>
      <c r="M125" s="73">
        <v>-82</v>
      </c>
      <c r="N125" s="73">
        <v>-188</v>
      </c>
      <c r="O125" s="73">
        <v>-101</v>
      </c>
      <c r="P125" s="73">
        <v>-115</v>
      </c>
      <c r="Q125" s="73">
        <v>-86</v>
      </c>
      <c r="R125" s="73">
        <v>0</v>
      </c>
      <c r="S125" s="73">
        <v>0</v>
      </c>
      <c r="T125" s="73">
        <v>0</v>
      </c>
      <c r="U125" s="73">
        <v>0</v>
      </c>
      <c r="V125" s="73">
        <v>0</v>
      </c>
      <c r="W125" s="73">
        <v>0</v>
      </c>
      <c r="X125" s="73">
        <v>0</v>
      </c>
      <c r="Y125" s="73">
        <v>0</v>
      </c>
      <c r="Z125" s="73">
        <v>3758</v>
      </c>
      <c r="AA125" s="73">
        <v>2534</v>
      </c>
      <c r="AB125" s="73">
        <v>0</v>
      </c>
      <c r="AC125" s="73">
        <v>0</v>
      </c>
      <c r="AD125" s="73">
        <v>0</v>
      </c>
      <c r="AE125" s="73">
        <v>0</v>
      </c>
      <c r="AF125" s="74">
        <f>tblData[[#This Row],[Gross Sales]]+tblData[[#This Row],[Trade Discounts]]+tblData[[#This Row],[Returns]]</f>
        <v>2385</v>
      </c>
      <c r="AG125" s="74">
        <f>tblData[[#This Row],[Material Cost]]+tblData[[#This Row],[Conversion Cost]]+tblData[[#This Row],[Inbound Freight]]</f>
        <v>-847</v>
      </c>
      <c r="AH125" s="74">
        <f>tblData[[#This Row],[Net Revenue]]+tblData[[#This Row],[COGS]]</f>
        <v>1538</v>
      </c>
      <c r="AI125" s="74">
        <f>tblData[[#This Row],[Advertising]]+tblData[[#This Row],[Promotions]]</f>
        <v>-289</v>
      </c>
      <c r="AJ125" s="74">
        <f>tblData[[#This Row],[Outbound Logistics]]+tblData[[#This Row],[Direct Selling]]</f>
        <v>-201</v>
      </c>
      <c r="AK125" s="74">
        <f>tblData[[#This Row],[Gross Profit]]+tblData[[#This Row],[AP Spend]]+tblData[[#This Row],[Cost to Serve]]</f>
        <v>1048</v>
      </c>
    </row>
    <row r="126" spans="2:37" x14ac:dyDescent="0.25">
      <c r="B126" s="71" t="s">
        <v>36</v>
      </c>
      <c r="C126" s="71">
        <v>2025</v>
      </c>
      <c r="D126" s="71">
        <v>3</v>
      </c>
      <c r="E126" s="71" t="s">
        <v>44</v>
      </c>
      <c r="F126" s="71" t="s">
        <v>39</v>
      </c>
      <c r="G126" s="72">
        <v>290.39999999999998</v>
      </c>
      <c r="H126" s="73">
        <v>2561</v>
      </c>
      <c r="I126" s="73">
        <v>-400</v>
      </c>
      <c r="J126" s="73">
        <v>-31</v>
      </c>
      <c r="K126" s="73">
        <v>-654</v>
      </c>
      <c r="L126" s="73">
        <v>-166</v>
      </c>
      <c r="M126" s="73">
        <v>-88</v>
      </c>
      <c r="N126" s="73">
        <v>-108</v>
      </c>
      <c r="O126" s="73">
        <v>-58</v>
      </c>
      <c r="P126" s="73">
        <v>-102</v>
      </c>
      <c r="Q126" s="73">
        <v>-77</v>
      </c>
      <c r="R126" s="73">
        <v>0</v>
      </c>
      <c r="S126" s="73">
        <v>0</v>
      </c>
      <c r="T126" s="73">
        <v>0</v>
      </c>
      <c r="U126" s="73">
        <v>0</v>
      </c>
      <c r="V126" s="73">
        <v>0</v>
      </c>
      <c r="W126" s="73">
        <v>0</v>
      </c>
      <c r="X126" s="73">
        <v>0</v>
      </c>
      <c r="Y126" s="73">
        <v>0</v>
      </c>
      <c r="Z126" s="73">
        <v>3232</v>
      </c>
      <c r="AA126" s="73">
        <v>2202</v>
      </c>
      <c r="AB126" s="73">
        <v>0</v>
      </c>
      <c r="AC126" s="73">
        <v>0</v>
      </c>
      <c r="AD126" s="73">
        <v>0</v>
      </c>
      <c r="AE126" s="73">
        <v>0</v>
      </c>
      <c r="AF126" s="74">
        <f>tblData[[#This Row],[Gross Sales]]+tblData[[#This Row],[Trade Discounts]]+tblData[[#This Row],[Returns]]</f>
        <v>2130</v>
      </c>
      <c r="AG126" s="74">
        <f>tblData[[#This Row],[Material Cost]]+tblData[[#This Row],[Conversion Cost]]+tblData[[#This Row],[Inbound Freight]]</f>
        <v>-908</v>
      </c>
      <c r="AH126" s="74">
        <f>tblData[[#This Row],[Net Revenue]]+tblData[[#This Row],[COGS]]</f>
        <v>1222</v>
      </c>
      <c r="AI126" s="74">
        <f>tblData[[#This Row],[Advertising]]+tblData[[#This Row],[Promotions]]</f>
        <v>-166</v>
      </c>
      <c r="AJ126" s="74">
        <f>tblData[[#This Row],[Outbound Logistics]]+tblData[[#This Row],[Direct Selling]]</f>
        <v>-179</v>
      </c>
      <c r="AK126" s="74">
        <f>tblData[[#This Row],[Gross Profit]]+tblData[[#This Row],[AP Spend]]+tblData[[#This Row],[Cost to Serve]]</f>
        <v>877</v>
      </c>
    </row>
    <row r="127" spans="2:37" x14ac:dyDescent="0.25">
      <c r="B127" s="71" t="s">
        <v>36</v>
      </c>
      <c r="C127" s="71">
        <v>2025</v>
      </c>
      <c r="D127" s="71">
        <v>3</v>
      </c>
      <c r="E127" s="71" t="s">
        <v>44</v>
      </c>
      <c r="F127" s="71" t="s">
        <v>40</v>
      </c>
      <c r="G127" s="72">
        <v>285.7</v>
      </c>
      <c r="H127" s="73">
        <v>1960</v>
      </c>
      <c r="I127" s="73">
        <v>-306</v>
      </c>
      <c r="J127" s="73">
        <v>-24</v>
      </c>
      <c r="K127" s="73">
        <v>-556</v>
      </c>
      <c r="L127" s="73">
        <v>-141</v>
      </c>
      <c r="M127" s="73">
        <v>-74</v>
      </c>
      <c r="N127" s="73">
        <v>-54</v>
      </c>
      <c r="O127" s="73">
        <v>-29</v>
      </c>
      <c r="P127" s="73">
        <v>-78</v>
      </c>
      <c r="Q127" s="73">
        <v>-59</v>
      </c>
      <c r="R127" s="73">
        <v>0</v>
      </c>
      <c r="S127" s="73">
        <v>0</v>
      </c>
      <c r="T127" s="73">
        <v>0</v>
      </c>
      <c r="U127" s="73">
        <v>0</v>
      </c>
      <c r="V127" s="73">
        <v>0</v>
      </c>
      <c r="W127" s="73">
        <v>0</v>
      </c>
      <c r="X127" s="73">
        <v>0</v>
      </c>
      <c r="Y127" s="73">
        <v>0</v>
      </c>
      <c r="Z127" s="73">
        <v>2435</v>
      </c>
      <c r="AA127" s="73">
        <v>1729</v>
      </c>
      <c r="AB127" s="73">
        <v>0</v>
      </c>
      <c r="AC127" s="73">
        <v>0</v>
      </c>
      <c r="AD127" s="73">
        <v>0</v>
      </c>
      <c r="AE127" s="73">
        <v>0</v>
      </c>
      <c r="AF127" s="74">
        <f>tblData[[#This Row],[Gross Sales]]+tblData[[#This Row],[Trade Discounts]]+tblData[[#This Row],[Returns]]</f>
        <v>1630</v>
      </c>
      <c r="AG127" s="74">
        <f>tblData[[#This Row],[Material Cost]]+tblData[[#This Row],[Conversion Cost]]+tblData[[#This Row],[Inbound Freight]]</f>
        <v>-771</v>
      </c>
      <c r="AH127" s="74">
        <f>tblData[[#This Row],[Net Revenue]]+tblData[[#This Row],[COGS]]</f>
        <v>859</v>
      </c>
      <c r="AI127" s="74">
        <f>tblData[[#This Row],[Advertising]]+tblData[[#This Row],[Promotions]]</f>
        <v>-83</v>
      </c>
      <c r="AJ127" s="74">
        <f>tblData[[#This Row],[Outbound Logistics]]+tblData[[#This Row],[Direct Selling]]</f>
        <v>-137</v>
      </c>
      <c r="AK127" s="74">
        <f>tblData[[#This Row],[Gross Profit]]+tblData[[#This Row],[AP Spend]]+tblData[[#This Row],[Cost to Serve]]</f>
        <v>639</v>
      </c>
    </row>
    <row r="128" spans="2:37" x14ac:dyDescent="0.25">
      <c r="B128" s="71" t="s">
        <v>36</v>
      </c>
      <c r="C128" s="71">
        <v>2025</v>
      </c>
      <c r="D128" s="71">
        <v>3</v>
      </c>
      <c r="E128" s="71" t="s">
        <v>44</v>
      </c>
      <c r="F128" s="71" t="s">
        <v>41</v>
      </c>
      <c r="G128" s="72">
        <v>139.1</v>
      </c>
      <c r="H128" s="73">
        <v>1499</v>
      </c>
      <c r="I128" s="73">
        <v>-234</v>
      </c>
      <c r="J128" s="73">
        <v>-18</v>
      </c>
      <c r="K128" s="73">
        <v>-351</v>
      </c>
      <c r="L128" s="73">
        <v>-89</v>
      </c>
      <c r="M128" s="73">
        <v>-47</v>
      </c>
      <c r="N128" s="73">
        <v>-115</v>
      </c>
      <c r="O128" s="73">
        <v>-62</v>
      </c>
      <c r="P128" s="73">
        <v>-60</v>
      </c>
      <c r="Q128" s="73">
        <v>-45</v>
      </c>
      <c r="R128" s="73">
        <v>0</v>
      </c>
      <c r="S128" s="73">
        <v>0</v>
      </c>
      <c r="T128" s="73">
        <v>0</v>
      </c>
      <c r="U128" s="73">
        <v>0</v>
      </c>
      <c r="V128" s="73">
        <v>0</v>
      </c>
      <c r="W128" s="73">
        <v>0</v>
      </c>
      <c r="X128" s="73">
        <v>0</v>
      </c>
      <c r="Y128" s="73">
        <v>0</v>
      </c>
      <c r="Z128" s="73">
        <v>1931</v>
      </c>
      <c r="AA128" s="73">
        <v>1357</v>
      </c>
      <c r="AB128" s="73">
        <v>0</v>
      </c>
      <c r="AC128" s="73">
        <v>0</v>
      </c>
      <c r="AD128" s="73">
        <v>0</v>
      </c>
      <c r="AE128" s="73">
        <v>0</v>
      </c>
      <c r="AF128" s="74">
        <f>tblData[[#This Row],[Gross Sales]]+tblData[[#This Row],[Trade Discounts]]+tblData[[#This Row],[Returns]]</f>
        <v>1247</v>
      </c>
      <c r="AG128" s="74">
        <f>tblData[[#This Row],[Material Cost]]+tblData[[#This Row],[Conversion Cost]]+tblData[[#This Row],[Inbound Freight]]</f>
        <v>-487</v>
      </c>
      <c r="AH128" s="74">
        <f>tblData[[#This Row],[Net Revenue]]+tblData[[#This Row],[COGS]]</f>
        <v>760</v>
      </c>
      <c r="AI128" s="74">
        <f>tblData[[#This Row],[Advertising]]+tblData[[#This Row],[Promotions]]</f>
        <v>-177</v>
      </c>
      <c r="AJ128" s="74">
        <f>tblData[[#This Row],[Outbound Logistics]]+tblData[[#This Row],[Direct Selling]]</f>
        <v>-105</v>
      </c>
      <c r="AK128" s="74">
        <f>tblData[[#This Row],[Gross Profit]]+tblData[[#This Row],[AP Spend]]+tblData[[#This Row],[Cost to Serve]]</f>
        <v>478</v>
      </c>
    </row>
    <row r="129" spans="2:37" x14ac:dyDescent="0.25">
      <c r="B129" s="71" t="s">
        <v>36</v>
      </c>
      <c r="C129" s="71">
        <v>2025</v>
      </c>
      <c r="D129" s="71">
        <v>3</v>
      </c>
      <c r="E129" s="71" t="s">
        <v>44</v>
      </c>
      <c r="F129" s="71" t="s">
        <v>42</v>
      </c>
      <c r="G129" s="72">
        <v>183.8</v>
      </c>
      <c r="H129" s="73">
        <v>1081</v>
      </c>
      <c r="I129" s="73">
        <v>-169</v>
      </c>
      <c r="J129" s="73">
        <v>-13</v>
      </c>
      <c r="K129" s="73">
        <v>-337</v>
      </c>
      <c r="L129" s="73">
        <v>-86</v>
      </c>
      <c r="M129" s="73">
        <v>-45</v>
      </c>
      <c r="N129" s="73">
        <v>-22</v>
      </c>
      <c r="O129" s="73">
        <v>-12</v>
      </c>
      <c r="P129" s="73">
        <v>-43</v>
      </c>
      <c r="Q129" s="73">
        <v>-32</v>
      </c>
      <c r="R129" s="73">
        <v>0</v>
      </c>
      <c r="S129" s="73">
        <v>0</v>
      </c>
      <c r="T129" s="73">
        <v>0</v>
      </c>
      <c r="U129" s="73">
        <v>0</v>
      </c>
      <c r="V129" s="73">
        <v>0</v>
      </c>
      <c r="W129" s="73">
        <v>0</v>
      </c>
      <c r="X129" s="73">
        <v>0</v>
      </c>
      <c r="Y129" s="73">
        <v>0</v>
      </c>
      <c r="Z129" s="73">
        <v>1367</v>
      </c>
      <c r="AA129" s="73">
        <v>1565</v>
      </c>
      <c r="AB129" s="73">
        <v>0</v>
      </c>
      <c r="AC129" s="73">
        <v>0</v>
      </c>
      <c r="AD129" s="73">
        <v>0</v>
      </c>
      <c r="AE129" s="73">
        <v>0</v>
      </c>
      <c r="AF129" s="74">
        <f>tblData[[#This Row],[Gross Sales]]+tblData[[#This Row],[Trade Discounts]]+tblData[[#This Row],[Returns]]</f>
        <v>899</v>
      </c>
      <c r="AG129" s="74">
        <f>tblData[[#This Row],[Material Cost]]+tblData[[#This Row],[Conversion Cost]]+tblData[[#This Row],[Inbound Freight]]</f>
        <v>-468</v>
      </c>
      <c r="AH129" s="74">
        <f>tblData[[#This Row],[Net Revenue]]+tblData[[#This Row],[COGS]]</f>
        <v>431</v>
      </c>
      <c r="AI129" s="74">
        <f>tblData[[#This Row],[Advertising]]+tblData[[#This Row],[Promotions]]</f>
        <v>-34</v>
      </c>
      <c r="AJ129" s="74">
        <f>tblData[[#This Row],[Outbound Logistics]]+tblData[[#This Row],[Direct Selling]]</f>
        <v>-75</v>
      </c>
      <c r="AK129" s="74">
        <f>tblData[[#This Row],[Gross Profit]]+tblData[[#This Row],[AP Spend]]+tblData[[#This Row],[Cost to Serve]]</f>
        <v>322</v>
      </c>
    </row>
    <row r="130" spans="2:37" x14ac:dyDescent="0.25">
      <c r="B130" s="71" t="s">
        <v>36</v>
      </c>
      <c r="C130" s="71">
        <v>2025</v>
      </c>
      <c r="D130" s="71">
        <v>3</v>
      </c>
      <c r="E130" s="71" t="s">
        <v>44</v>
      </c>
      <c r="F130" s="71" t="s">
        <v>43</v>
      </c>
      <c r="G130" s="72">
        <v>35.799999999999997</v>
      </c>
      <c r="H130" s="73">
        <v>631</v>
      </c>
      <c r="I130" s="73">
        <v>-98</v>
      </c>
      <c r="J130" s="73">
        <v>-8</v>
      </c>
      <c r="K130" s="73">
        <v>-170</v>
      </c>
      <c r="L130" s="73">
        <v>-43</v>
      </c>
      <c r="M130" s="73">
        <v>-23</v>
      </c>
      <c r="N130" s="73">
        <v>-63</v>
      </c>
      <c r="O130" s="73">
        <v>-34</v>
      </c>
      <c r="P130" s="73">
        <v>-25</v>
      </c>
      <c r="Q130" s="73">
        <v>-19</v>
      </c>
      <c r="R130" s="73">
        <v>0</v>
      </c>
      <c r="S130" s="73">
        <v>0</v>
      </c>
      <c r="T130" s="73">
        <v>0</v>
      </c>
      <c r="U130" s="73">
        <v>0</v>
      </c>
      <c r="V130" s="73">
        <v>0</v>
      </c>
      <c r="W130" s="73">
        <v>0</v>
      </c>
      <c r="X130" s="73">
        <v>0</v>
      </c>
      <c r="Y130" s="73">
        <v>0</v>
      </c>
      <c r="Z130" s="73">
        <v>818</v>
      </c>
      <c r="AA130" s="73">
        <v>882</v>
      </c>
      <c r="AB130" s="73">
        <v>0</v>
      </c>
      <c r="AC130" s="73">
        <v>0</v>
      </c>
      <c r="AD130" s="73">
        <v>0</v>
      </c>
      <c r="AE130" s="73">
        <v>0</v>
      </c>
      <c r="AF130" s="74">
        <f>tblData[[#This Row],[Gross Sales]]+tblData[[#This Row],[Trade Discounts]]+tblData[[#This Row],[Returns]]</f>
        <v>525</v>
      </c>
      <c r="AG130" s="74">
        <f>tblData[[#This Row],[Material Cost]]+tblData[[#This Row],[Conversion Cost]]+tblData[[#This Row],[Inbound Freight]]</f>
        <v>-236</v>
      </c>
      <c r="AH130" s="74">
        <f>tblData[[#This Row],[Net Revenue]]+tblData[[#This Row],[COGS]]</f>
        <v>289</v>
      </c>
      <c r="AI130" s="74">
        <f>tblData[[#This Row],[Advertising]]+tblData[[#This Row],[Promotions]]</f>
        <v>-97</v>
      </c>
      <c r="AJ130" s="74">
        <f>tblData[[#This Row],[Outbound Logistics]]+tblData[[#This Row],[Direct Selling]]</f>
        <v>-44</v>
      </c>
      <c r="AK130" s="74">
        <f>tblData[[#This Row],[Gross Profit]]+tblData[[#This Row],[AP Spend]]+tblData[[#This Row],[Cost to Serve]]</f>
        <v>148</v>
      </c>
    </row>
    <row r="131" spans="2:37" x14ac:dyDescent="0.25">
      <c r="B131" s="71" t="s">
        <v>36</v>
      </c>
      <c r="C131" s="71">
        <v>2025</v>
      </c>
      <c r="D131" s="71">
        <v>3</v>
      </c>
      <c r="E131" s="71" t="s">
        <v>45</v>
      </c>
      <c r="F131" s="71" t="s">
        <v>38</v>
      </c>
      <c r="G131" s="72">
        <v>127.6</v>
      </c>
      <c r="H131" s="73">
        <v>1751</v>
      </c>
      <c r="I131" s="73">
        <v>-378</v>
      </c>
      <c r="J131" s="73">
        <v>-18</v>
      </c>
      <c r="K131" s="73">
        <v>-372</v>
      </c>
      <c r="L131" s="73">
        <v>-95</v>
      </c>
      <c r="M131" s="73">
        <v>-50</v>
      </c>
      <c r="N131" s="73">
        <v>-110</v>
      </c>
      <c r="O131" s="73">
        <v>-59</v>
      </c>
      <c r="P131" s="73">
        <v>-61</v>
      </c>
      <c r="Q131" s="73">
        <v>-35</v>
      </c>
      <c r="R131" s="73">
        <v>0</v>
      </c>
      <c r="S131" s="73">
        <v>0</v>
      </c>
      <c r="T131" s="73">
        <v>0</v>
      </c>
      <c r="U131" s="73">
        <v>0</v>
      </c>
      <c r="V131" s="73">
        <v>0</v>
      </c>
      <c r="W131" s="73">
        <v>0</v>
      </c>
      <c r="X131" s="73">
        <v>0</v>
      </c>
      <c r="Y131" s="73">
        <v>0</v>
      </c>
      <c r="Z131" s="73">
        <v>1814</v>
      </c>
      <c r="AA131" s="73">
        <v>1461</v>
      </c>
      <c r="AB131" s="73">
        <v>0</v>
      </c>
      <c r="AC131" s="73">
        <v>0</v>
      </c>
      <c r="AD131" s="73">
        <v>0</v>
      </c>
      <c r="AE131" s="73">
        <v>0</v>
      </c>
      <c r="AF131" s="74">
        <f>tblData[[#This Row],[Gross Sales]]+tblData[[#This Row],[Trade Discounts]]+tblData[[#This Row],[Returns]]</f>
        <v>1355</v>
      </c>
      <c r="AG131" s="74">
        <f>tblData[[#This Row],[Material Cost]]+tblData[[#This Row],[Conversion Cost]]+tblData[[#This Row],[Inbound Freight]]</f>
        <v>-517</v>
      </c>
      <c r="AH131" s="74">
        <f>tblData[[#This Row],[Net Revenue]]+tblData[[#This Row],[COGS]]</f>
        <v>838</v>
      </c>
      <c r="AI131" s="74">
        <f>tblData[[#This Row],[Advertising]]+tblData[[#This Row],[Promotions]]</f>
        <v>-169</v>
      </c>
      <c r="AJ131" s="74">
        <f>tblData[[#This Row],[Outbound Logistics]]+tblData[[#This Row],[Direct Selling]]</f>
        <v>-96</v>
      </c>
      <c r="AK131" s="74">
        <f>tblData[[#This Row],[Gross Profit]]+tblData[[#This Row],[AP Spend]]+tblData[[#This Row],[Cost to Serve]]</f>
        <v>573</v>
      </c>
    </row>
    <row r="132" spans="2:37" x14ac:dyDescent="0.25">
      <c r="B132" s="71" t="s">
        <v>36</v>
      </c>
      <c r="C132" s="71">
        <v>2025</v>
      </c>
      <c r="D132" s="71">
        <v>3</v>
      </c>
      <c r="E132" s="71" t="s">
        <v>45</v>
      </c>
      <c r="F132" s="71" t="s">
        <v>39</v>
      </c>
      <c r="G132" s="72">
        <v>171.6</v>
      </c>
      <c r="H132" s="73">
        <v>1513</v>
      </c>
      <c r="I132" s="73">
        <v>-327</v>
      </c>
      <c r="J132" s="73">
        <v>-15</v>
      </c>
      <c r="K132" s="73">
        <v>-386</v>
      </c>
      <c r="L132" s="73">
        <v>-98</v>
      </c>
      <c r="M132" s="73">
        <v>-52</v>
      </c>
      <c r="N132" s="73">
        <v>-63</v>
      </c>
      <c r="O132" s="73">
        <v>-34</v>
      </c>
      <c r="P132" s="73">
        <v>-53</v>
      </c>
      <c r="Q132" s="73">
        <v>-30</v>
      </c>
      <c r="R132" s="73">
        <v>0</v>
      </c>
      <c r="S132" s="73">
        <v>0</v>
      </c>
      <c r="T132" s="73">
        <v>0</v>
      </c>
      <c r="U132" s="73">
        <v>0</v>
      </c>
      <c r="V132" s="73">
        <v>0</v>
      </c>
      <c r="W132" s="73">
        <v>0</v>
      </c>
      <c r="X132" s="73">
        <v>0</v>
      </c>
      <c r="Y132" s="73">
        <v>0</v>
      </c>
      <c r="Z132" s="73">
        <v>1595</v>
      </c>
      <c r="AA132" s="73">
        <v>1298</v>
      </c>
      <c r="AB132" s="73">
        <v>0</v>
      </c>
      <c r="AC132" s="73">
        <v>0</v>
      </c>
      <c r="AD132" s="73">
        <v>0</v>
      </c>
      <c r="AE132" s="73">
        <v>0</v>
      </c>
      <c r="AF132" s="74">
        <f>tblData[[#This Row],[Gross Sales]]+tblData[[#This Row],[Trade Discounts]]+tblData[[#This Row],[Returns]]</f>
        <v>1171</v>
      </c>
      <c r="AG132" s="74">
        <f>tblData[[#This Row],[Material Cost]]+tblData[[#This Row],[Conversion Cost]]+tblData[[#This Row],[Inbound Freight]]</f>
        <v>-536</v>
      </c>
      <c r="AH132" s="74">
        <f>tblData[[#This Row],[Net Revenue]]+tblData[[#This Row],[COGS]]</f>
        <v>635</v>
      </c>
      <c r="AI132" s="74">
        <f>tblData[[#This Row],[Advertising]]+tblData[[#This Row],[Promotions]]</f>
        <v>-97</v>
      </c>
      <c r="AJ132" s="74">
        <f>tblData[[#This Row],[Outbound Logistics]]+tblData[[#This Row],[Direct Selling]]</f>
        <v>-83</v>
      </c>
      <c r="AK132" s="74">
        <f>tblData[[#This Row],[Gross Profit]]+tblData[[#This Row],[AP Spend]]+tblData[[#This Row],[Cost to Serve]]</f>
        <v>455</v>
      </c>
    </row>
    <row r="133" spans="2:37" x14ac:dyDescent="0.25">
      <c r="B133" s="71" t="s">
        <v>36</v>
      </c>
      <c r="C133" s="71">
        <v>2025</v>
      </c>
      <c r="D133" s="71">
        <v>3</v>
      </c>
      <c r="E133" s="71" t="s">
        <v>45</v>
      </c>
      <c r="F133" s="71" t="s">
        <v>40</v>
      </c>
      <c r="G133" s="72">
        <v>168.3</v>
      </c>
      <c r="H133" s="73">
        <v>1155</v>
      </c>
      <c r="I133" s="73">
        <v>-249</v>
      </c>
      <c r="J133" s="73">
        <v>-12</v>
      </c>
      <c r="K133" s="73">
        <v>-328</v>
      </c>
      <c r="L133" s="73">
        <v>-83</v>
      </c>
      <c r="M133" s="73">
        <v>-44</v>
      </c>
      <c r="N133" s="73">
        <v>-31</v>
      </c>
      <c r="O133" s="73">
        <v>-17</v>
      </c>
      <c r="P133" s="73">
        <v>-40</v>
      </c>
      <c r="Q133" s="73">
        <v>-23</v>
      </c>
      <c r="R133" s="73">
        <v>0</v>
      </c>
      <c r="S133" s="73">
        <v>0</v>
      </c>
      <c r="T133" s="73">
        <v>0</v>
      </c>
      <c r="U133" s="73">
        <v>0</v>
      </c>
      <c r="V133" s="73">
        <v>0</v>
      </c>
      <c r="W133" s="73">
        <v>0</v>
      </c>
      <c r="X133" s="73">
        <v>0</v>
      </c>
      <c r="Y133" s="73">
        <v>0</v>
      </c>
      <c r="Z133" s="73">
        <v>1214</v>
      </c>
      <c r="AA133" s="73">
        <v>1029</v>
      </c>
      <c r="AB133" s="73">
        <v>0</v>
      </c>
      <c r="AC133" s="73">
        <v>0</v>
      </c>
      <c r="AD133" s="73">
        <v>0</v>
      </c>
      <c r="AE133" s="73">
        <v>0</v>
      </c>
      <c r="AF133" s="74">
        <f>tblData[[#This Row],[Gross Sales]]+tblData[[#This Row],[Trade Discounts]]+tblData[[#This Row],[Returns]]</f>
        <v>894</v>
      </c>
      <c r="AG133" s="74">
        <f>tblData[[#This Row],[Material Cost]]+tblData[[#This Row],[Conversion Cost]]+tblData[[#This Row],[Inbound Freight]]</f>
        <v>-455</v>
      </c>
      <c r="AH133" s="74">
        <f>tblData[[#This Row],[Net Revenue]]+tblData[[#This Row],[COGS]]</f>
        <v>439</v>
      </c>
      <c r="AI133" s="74">
        <f>tblData[[#This Row],[Advertising]]+tblData[[#This Row],[Promotions]]</f>
        <v>-48</v>
      </c>
      <c r="AJ133" s="74">
        <f>tblData[[#This Row],[Outbound Logistics]]+tblData[[#This Row],[Direct Selling]]</f>
        <v>-63</v>
      </c>
      <c r="AK133" s="74">
        <f>tblData[[#This Row],[Gross Profit]]+tblData[[#This Row],[AP Spend]]+tblData[[#This Row],[Cost to Serve]]</f>
        <v>328</v>
      </c>
    </row>
    <row r="134" spans="2:37" x14ac:dyDescent="0.25">
      <c r="B134" s="71" t="s">
        <v>36</v>
      </c>
      <c r="C134" s="71">
        <v>2025</v>
      </c>
      <c r="D134" s="71">
        <v>3</v>
      </c>
      <c r="E134" s="71" t="s">
        <v>45</v>
      </c>
      <c r="F134" s="71" t="s">
        <v>41</v>
      </c>
      <c r="G134" s="72">
        <v>80.5</v>
      </c>
      <c r="H134" s="73">
        <v>868</v>
      </c>
      <c r="I134" s="73">
        <v>-188</v>
      </c>
      <c r="J134" s="73">
        <v>-9</v>
      </c>
      <c r="K134" s="73">
        <v>-203</v>
      </c>
      <c r="L134" s="73">
        <v>-52</v>
      </c>
      <c r="M134" s="73">
        <v>-27</v>
      </c>
      <c r="N134" s="73">
        <v>-67</v>
      </c>
      <c r="O134" s="73">
        <v>-36</v>
      </c>
      <c r="P134" s="73">
        <v>-30</v>
      </c>
      <c r="Q134" s="73">
        <v>-17</v>
      </c>
      <c r="R134" s="73">
        <v>0</v>
      </c>
      <c r="S134" s="73">
        <v>0</v>
      </c>
      <c r="T134" s="73">
        <v>0</v>
      </c>
      <c r="U134" s="73">
        <v>0</v>
      </c>
      <c r="V134" s="73">
        <v>0</v>
      </c>
      <c r="W134" s="73">
        <v>0</v>
      </c>
      <c r="X134" s="73">
        <v>0</v>
      </c>
      <c r="Y134" s="73">
        <v>0</v>
      </c>
      <c r="Z134" s="73">
        <v>927</v>
      </c>
      <c r="AA134" s="73">
        <v>778</v>
      </c>
      <c r="AB134" s="73">
        <v>0</v>
      </c>
      <c r="AC134" s="73">
        <v>0</v>
      </c>
      <c r="AD134" s="73">
        <v>0</v>
      </c>
      <c r="AE134" s="73">
        <v>0</v>
      </c>
      <c r="AF134" s="74">
        <f>tblData[[#This Row],[Gross Sales]]+tblData[[#This Row],[Trade Discounts]]+tblData[[#This Row],[Returns]]</f>
        <v>671</v>
      </c>
      <c r="AG134" s="74">
        <f>tblData[[#This Row],[Material Cost]]+tblData[[#This Row],[Conversion Cost]]+tblData[[#This Row],[Inbound Freight]]</f>
        <v>-282</v>
      </c>
      <c r="AH134" s="74">
        <f>tblData[[#This Row],[Net Revenue]]+tblData[[#This Row],[COGS]]</f>
        <v>389</v>
      </c>
      <c r="AI134" s="74">
        <f>tblData[[#This Row],[Advertising]]+tblData[[#This Row],[Promotions]]</f>
        <v>-103</v>
      </c>
      <c r="AJ134" s="74">
        <f>tblData[[#This Row],[Outbound Logistics]]+tblData[[#This Row],[Direct Selling]]</f>
        <v>-47</v>
      </c>
      <c r="AK134" s="74">
        <f>tblData[[#This Row],[Gross Profit]]+tblData[[#This Row],[AP Spend]]+tblData[[#This Row],[Cost to Serve]]</f>
        <v>239</v>
      </c>
    </row>
    <row r="135" spans="2:37" x14ac:dyDescent="0.25">
      <c r="B135" s="71" t="s">
        <v>36</v>
      </c>
      <c r="C135" s="71">
        <v>2025</v>
      </c>
      <c r="D135" s="71">
        <v>3</v>
      </c>
      <c r="E135" s="71" t="s">
        <v>45</v>
      </c>
      <c r="F135" s="71" t="s">
        <v>42</v>
      </c>
      <c r="G135" s="72">
        <v>105.7</v>
      </c>
      <c r="H135" s="73">
        <v>621</v>
      </c>
      <c r="I135" s="73">
        <v>-134</v>
      </c>
      <c r="J135" s="73">
        <v>-6</v>
      </c>
      <c r="K135" s="73">
        <v>-194</v>
      </c>
      <c r="L135" s="73">
        <v>-49</v>
      </c>
      <c r="M135" s="73">
        <v>-26</v>
      </c>
      <c r="N135" s="73">
        <v>-13</v>
      </c>
      <c r="O135" s="73">
        <v>-7</v>
      </c>
      <c r="P135" s="73">
        <v>-22</v>
      </c>
      <c r="Q135" s="73">
        <v>-12</v>
      </c>
      <c r="R135" s="73">
        <v>0</v>
      </c>
      <c r="S135" s="73">
        <v>0</v>
      </c>
      <c r="T135" s="73">
        <v>0</v>
      </c>
      <c r="U135" s="73">
        <v>0</v>
      </c>
      <c r="V135" s="73">
        <v>0</v>
      </c>
      <c r="W135" s="73">
        <v>0</v>
      </c>
      <c r="X135" s="73">
        <v>0</v>
      </c>
      <c r="Y135" s="73">
        <v>0</v>
      </c>
      <c r="Z135" s="73">
        <v>664</v>
      </c>
      <c r="AA135" s="73">
        <v>908</v>
      </c>
      <c r="AB135" s="73">
        <v>0</v>
      </c>
      <c r="AC135" s="73">
        <v>0</v>
      </c>
      <c r="AD135" s="73">
        <v>0</v>
      </c>
      <c r="AE135" s="73">
        <v>0</v>
      </c>
      <c r="AF135" s="74">
        <f>tblData[[#This Row],[Gross Sales]]+tblData[[#This Row],[Trade Discounts]]+tblData[[#This Row],[Returns]]</f>
        <v>481</v>
      </c>
      <c r="AG135" s="74">
        <f>tblData[[#This Row],[Material Cost]]+tblData[[#This Row],[Conversion Cost]]+tblData[[#This Row],[Inbound Freight]]</f>
        <v>-269</v>
      </c>
      <c r="AH135" s="74">
        <f>tblData[[#This Row],[Net Revenue]]+tblData[[#This Row],[COGS]]</f>
        <v>212</v>
      </c>
      <c r="AI135" s="74">
        <f>tblData[[#This Row],[Advertising]]+tblData[[#This Row],[Promotions]]</f>
        <v>-20</v>
      </c>
      <c r="AJ135" s="74">
        <f>tblData[[#This Row],[Outbound Logistics]]+tblData[[#This Row],[Direct Selling]]</f>
        <v>-34</v>
      </c>
      <c r="AK135" s="74">
        <f>tblData[[#This Row],[Gross Profit]]+tblData[[#This Row],[AP Spend]]+tblData[[#This Row],[Cost to Serve]]</f>
        <v>158</v>
      </c>
    </row>
    <row r="136" spans="2:37" x14ac:dyDescent="0.25">
      <c r="B136" s="71" t="s">
        <v>36</v>
      </c>
      <c r="C136" s="71">
        <v>2025</v>
      </c>
      <c r="D136" s="71">
        <v>3</v>
      </c>
      <c r="E136" s="71" t="s">
        <v>45</v>
      </c>
      <c r="F136" s="71" t="s">
        <v>43</v>
      </c>
      <c r="G136" s="72">
        <v>20.6</v>
      </c>
      <c r="H136" s="73">
        <v>363</v>
      </c>
      <c r="I136" s="73">
        <v>-79</v>
      </c>
      <c r="J136" s="73">
        <v>-4</v>
      </c>
      <c r="K136" s="73">
        <v>-98</v>
      </c>
      <c r="L136" s="73">
        <v>-25</v>
      </c>
      <c r="M136" s="73">
        <v>-13</v>
      </c>
      <c r="N136" s="73">
        <v>-37</v>
      </c>
      <c r="O136" s="73">
        <v>-20</v>
      </c>
      <c r="P136" s="73">
        <v>-13</v>
      </c>
      <c r="Q136" s="73">
        <v>-7</v>
      </c>
      <c r="R136" s="73">
        <v>0</v>
      </c>
      <c r="S136" s="73">
        <v>0</v>
      </c>
      <c r="T136" s="73">
        <v>0</v>
      </c>
      <c r="U136" s="73">
        <v>0</v>
      </c>
      <c r="V136" s="73">
        <v>0</v>
      </c>
      <c r="W136" s="73">
        <v>0</v>
      </c>
      <c r="X136" s="73">
        <v>0</v>
      </c>
      <c r="Y136" s="73">
        <v>0</v>
      </c>
      <c r="Z136" s="73">
        <v>390</v>
      </c>
      <c r="AA136" s="73">
        <v>503</v>
      </c>
      <c r="AB136" s="73">
        <v>0</v>
      </c>
      <c r="AC136" s="73">
        <v>0</v>
      </c>
      <c r="AD136" s="73">
        <v>0</v>
      </c>
      <c r="AE136" s="73">
        <v>0</v>
      </c>
      <c r="AF136" s="74">
        <f>tblData[[#This Row],[Gross Sales]]+tblData[[#This Row],[Trade Discounts]]+tblData[[#This Row],[Returns]]</f>
        <v>280</v>
      </c>
      <c r="AG136" s="74">
        <f>tblData[[#This Row],[Material Cost]]+tblData[[#This Row],[Conversion Cost]]+tblData[[#This Row],[Inbound Freight]]</f>
        <v>-136</v>
      </c>
      <c r="AH136" s="74">
        <f>tblData[[#This Row],[Net Revenue]]+tblData[[#This Row],[COGS]]</f>
        <v>144</v>
      </c>
      <c r="AI136" s="74">
        <f>tblData[[#This Row],[Advertising]]+tblData[[#This Row],[Promotions]]</f>
        <v>-57</v>
      </c>
      <c r="AJ136" s="74">
        <f>tblData[[#This Row],[Outbound Logistics]]+tblData[[#This Row],[Direct Selling]]</f>
        <v>-20</v>
      </c>
      <c r="AK136" s="74">
        <f>tblData[[#This Row],[Gross Profit]]+tblData[[#This Row],[AP Spend]]+tblData[[#This Row],[Cost to Serve]]</f>
        <v>67</v>
      </c>
    </row>
    <row r="137" spans="2:37" x14ac:dyDescent="0.25">
      <c r="B137" s="71" t="s">
        <v>36</v>
      </c>
      <c r="C137" s="71">
        <v>2025</v>
      </c>
      <c r="D137" s="71">
        <v>3</v>
      </c>
      <c r="E137" s="71" t="s">
        <v>46</v>
      </c>
      <c r="F137" s="71" t="s">
        <v>38</v>
      </c>
      <c r="G137" s="72">
        <v>132.30000000000001</v>
      </c>
      <c r="H137" s="73">
        <v>1815</v>
      </c>
      <c r="I137" s="73">
        <v>-192</v>
      </c>
      <c r="J137" s="73">
        <v>-73</v>
      </c>
      <c r="K137" s="73">
        <v>-386</v>
      </c>
      <c r="L137" s="73">
        <v>-98</v>
      </c>
      <c r="M137" s="73">
        <v>-52</v>
      </c>
      <c r="N137" s="73">
        <v>-125</v>
      </c>
      <c r="O137" s="73">
        <v>-68</v>
      </c>
      <c r="P137" s="73">
        <v>-136</v>
      </c>
      <c r="Q137" s="73">
        <v>-36</v>
      </c>
      <c r="R137" s="73">
        <v>0</v>
      </c>
      <c r="S137" s="73">
        <v>0</v>
      </c>
      <c r="T137" s="73">
        <v>0</v>
      </c>
      <c r="U137" s="73">
        <v>0</v>
      </c>
      <c r="V137" s="73">
        <v>0</v>
      </c>
      <c r="W137" s="73">
        <v>0</v>
      </c>
      <c r="X137" s="73">
        <v>0</v>
      </c>
      <c r="Y137" s="73">
        <v>0</v>
      </c>
      <c r="Z137" s="73">
        <v>1164</v>
      </c>
      <c r="AA137" s="73">
        <v>1529</v>
      </c>
      <c r="AB137" s="73">
        <v>0</v>
      </c>
      <c r="AC137" s="73">
        <v>0</v>
      </c>
      <c r="AD137" s="73">
        <v>0</v>
      </c>
      <c r="AE137" s="73">
        <v>0</v>
      </c>
      <c r="AF137" s="74">
        <f>tblData[[#This Row],[Gross Sales]]+tblData[[#This Row],[Trade Discounts]]+tblData[[#This Row],[Returns]]</f>
        <v>1550</v>
      </c>
      <c r="AG137" s="74">
        <f>tblData[[#This Row],[Material Cost]]+tblData[[#This Row],[Conversion Cost]]+tblData[[#This Row],[Inbound Freight]]</f>
        <v>-536</v>
      </c>
      <c r="AH137" s="74">
        <f>tblData[[#This Row],[Net Revenue]]+tblData[[#This Row],[COGS]]</f>
        <v>1014</v>
      </c>
      <c r="AI137" s="74">
        <f>tblData[[#This Row],[Advertising]]+tblData[[#This Row],[Promotions]]</f>
        <v>-193</v>
      </c>
      <c r="AJ137" s="74">
        <f>tblData[[#This Row],[Outbound Logistics]]+tblData[[#This Row],[Direct Selling]]</f>
        <v>-172</v>
      </c>
      <c r="AK137" s="74">
        <f>tblData[[#This Row],[Gross Profit]]+tblData[[#This Row],[AP Spend]]+tblData[[#This Row],[Cost to Serve]]</f>
        <v>649</v>
      </c>
    </row>
    <row r="138" spans="2:37" x14ac:dyDescent="0.25">
      <c r="B138" s="71" t="s">
        <v>36</v>
      </c>
      <c r="C138" s="71">
        <v>2025</v>
      </c>
      <c r="D138" s="71">
        <v>3</v>
      </c>
      <c r="E138" s="71" t="s">
        <v>46</v>
      </c>
      <c r="F138" s="71" t="s">
        <v>39</v>
      </c>
      <c r="G138" s="72">
        <v>178.4</v>
      </c>
      <c r="H138" s="73">
        <v>1574</v>
      </c>
      <c r="I138" s="73">
        <v>-167</v>
      </c>
      <c r="J138" s="73">
        <v>-63</v>
      </c>
      <c r="K138" s="73">
        <v>-402</v>
      </c>
      <c r="L138" s="73">
        <v>-102</v>
      </c>
      <c r="M138" s="73">
        <v>-54</v>
      </c>
      <c r="N138" s="73">
        <v>-72</v>
      </c>
      <c r="O138" s="73">
        <v>-39</v>
      </c>
      <c r="P138" s="73">
        <v>-118</v>
      </c>
      <c r="Q138" s="73">
        <v>-31</v>
      </c>
      <c r="R138" s="73">
        <v>0</v>
      </c>
      <c r="S138" s="73">
        <v>0</v>
      </c>
      <c r="T138" s="73">
        <v>0</v>
      </c>
      <c r="U138" s="73">
        <v>0</v>
      </c>
      <c r="V138" s="73">
        <v>0</v>
      </c>
      <c r="W138" s="73">
        <v>0</v>
      </c>
      <c r="X138" s="73">
        <v>0</v>
      </c>
      <c r="Y138" s="73">
        <v>0</v>
      </c>
      <c r="Z138" s="73">
        <v>1020</v>
      </c>
      <c r="AA138" s="73">
        <v>1354</v>
      </c>
      <c r="AB138" s="73">
        <v>0</v>
      </c>
      <c r="AC138" s="73">
        <v>0</v>
      </c>
      <c r="AD138" s="73">
        <v>0</v>
      </c>
      <c r="AE138" s="73">
        <v>0</v>
      </c>
      <c r="AF138" s="74">
        <f>tblData[[#This Row],[Gross Sales]]+tblData[[#This Row],[Trade Discounts]]+tblData[[#This Row],[Returns]]</f>
        <v>1344</v>
      </c>
      <c r="AG138" s="74">
        <f>tblData[[#This Row],[Material Cost]]+tblData[[#This Row],[Conversion Cost]]+tblData[[#This Row],[Inbound Freight]]</f>
        <v>-558</v>
      </c>
      <c r="AH138" s="74">
        <f>tblData[[#This Row],[Net Revenue]]+tblData[[#This Row],[COGS]]</f>
        <v>786</v>
      </c>
      <c r="AI138" s="74">
        <f>tblData[[#This Row],[Advertising]]+tblData[[#This Row],[Promotions]]</f>
        <v>-111</v>
      </c>
      <c r="AJ138" s="74">
        <f>tblData[[#This Row],[Outbound Logistics]]+tblData[[#This Row],[Direct Selling]]</f>
        <v>-149</v>
      </c>
      <c r="AK138" s="74">
        <f>tblData[[#This Row],[Gross Profit]]+tblData[[#This Row],[AP Spend]]+tblData[[#This Row],[Cost to Serve]]</f>
        <v>526</v>
      </c>
    </row>
    <row r="139" spans="2:37" x14ac:dyDescent="0.25">
      <c r="B139" s="71" t="s">
        <v>36</v>
      </c>
      <c r="C139" s="71">
        <v>2025</v>
      </c>
      <c r="D139" s="71">
        <v>3</v>
      </c>
      <c r="E139" s="71" t="s">
        <v>46</v>
      </c>
      <c r="F139" s="71" t="s">
        <v>40</v>
      </c>
      <c r="G139" s="72">
        <v>168.6</v>
      </c>
      <c r="H139" s="73">
        <v>1157</v>
      </c>
      <c r="I139" s="73">
        <v>-123</v>
      </c>
      <c r="J139" s="73">
        <v>-46</v>
      </c>
      <c r="K139" s="73">
        <v>-328</v>
      </c>
      <c r="L139" s="73">
        <v>-83</v>
      </c>
      <c r="M139" s="73">
        <v>-44</v>
      </c>
      <c r="N139" s="73">
        <v>-36</v>
      </c>
      <c r="O139" s="73">
        <v>-19</v>
      </c>
      <c r="P139" s="73">
        <v>-87</v>
      </c>
      <c r="Q139" s="73">
        <v>-23</v>
      </c>
      <c r="R139" s="73">
        <v>0</v>
      </c>
      <c r="S139" s="73">
        <v>0</v>
      </c>
      <c r="T139" s="73">
        <v>0</v>
      </c>
      <c r="U139" s="73">
        <v>0</v>
      </c>
      <c r="V139" s="73">
        <v>0</v>
      </c>
      <c r="W139" s="73">
        <v>0</v>
      </c>
      <c r="X139" s="73">
        <v>0</v>
      </c>
      <c r="Y139" s="73">
        <v>0</v>
      </c>
      <c r="Z139" s="73">
        <v>752</v>
      </c>
      <c r="AA139" s="73">
        <v>1040</v>
      </c>
      <c r="AB139" s="73">
        <v>0</v>
      </c>
      <c r="AC139" s="73">
        <v>0</v>
      </c>
      <c r="AD139" s="73">
        <v>0</v>
      </c>
      <c r="AE139" s="73">
        <v>0</v>
      </c>
      <c r="AF139" s="74">
        <f>tblData[[#This Row],[Gross Sales]]+tblData[[#This Row],[Trade Discounts]]+tblData[[#This Row],[Returns]]</f>
        <v>988</v>
      </c>
      <c r="AG139" s="74">
        <f>tblData[[#This Row],[Material Cost]]+tblData[[#This Row],[Conversion Cost]]+tblData[[#This Row],[Inbound Freight]]</f>
        <v>-455</v>
      </c>
      <c r="AH139" s="74">
        <f>tblData[[#This Row],[Net Revenue]]+tblData[[#This Row],[COGS]]</f>
        <v>533</v>
      </c>
      <c r="AI139" s="74">
        <f>tblData[[#This Row],[Advertising]]+tblData[[#This Row],[Promotions]]</f>
        <v>-55</v>
      </c>
      <c r="AJ139" s="74">
        <f>tblData[[#This Row],[Outbound Logistics]]+tblData[[#This Row],[Direct Selling]]</f>
        <v>-110</v>
      </c>
      <c r="AK139" s="74">
        <f>tblData[[#This Row],[Gross Profit]]+tblData[[#This Row],[AP Spend]]+tblData[[#This Row],[Cost to Serve]]</f>
        <v>368</v>
      </c>
    </row>
    <row r="140" spans="2:37" x14ac:dyDescent="0.25">
      <c r="B140" s="71" t="s">
        <v>36</v>
      </c>
      <c r="C140" s="71">
        <v>2025</v>
      </c>
      <c r="D140" s="71">
        <v>3</v>
      </c>
      <c r="E140" s="71" t="s">
        <v>46</v>
      </c>
      <c r="F140" s="71" t="s">
        <v>41</v>
      </c>
      <c r="G140" s="72">
        <v>84.7</v>
      </c>
      <c r="H140" s="73">
        <v>913</v>
      </c>
      <c r="I140" s="73">
        <v>-97</v>
      </c>
      <c r="J140" s="73">
        <v>-37</v>
      </c>
      <c r="K140" s="73">
        <v>-214</v>
      </c>
      <c r="L140" s="73">
        <v>-54</v>
      </c>
      <c r="M140" s="73">
        <v>-29</v>
      </c>
      <c r="N140" s="73">
        <v>-77</v>
      </c>
      <c r="O140" s="73">
        <v>-41</v>
      </c>
      <c r="P140" s="73">
        <v>-69</v>
      </c>
      <c r="Q140" s="73">
        <v>-18</v>
      </c>
      <c r="R140" s="73">
        <v>0</v>
      </c>
      <c r="S140" s="73">
        <v>0</v>
      </c>
      <c r="T140" s="73">
        <v>0</v>
      </c>
      <c r="U140" s="73">
        <v>0</v>
      </c>
      <c r="V140" s="73">
        <v>0</v>
      </c>
      <c r="W140" s="73">
        <v>0</v>
      </c>
      <c r="X140" s="73">
        <v>0</v>
      </c>
      <c r="Y140" s="73">
        <v>0</v>
      </c>
      <c r="Z140" s="73">
        <v>580</v>
      </c>
      <c r="AA140" s="73">
        <v>794</v>
      </c>
      <c r="AB140" s="73">
        <v>0</v>
      </c>
      <c r="AC140" s="73">
        <v>0</v>
      </c>
      <c r="AD140" s="73">
        <v>0</v>
      </c>
      <c r="AE140" s="73">
        <v>0</v>
      </c>
      <c r="AF140" s="74">
        <f>tblData[[#This Row],[Gross Sales]]+tblData[[#This Row],[Trade Discounts]]+tblData[[#This Row],[Returns]]</f>
        <v>779</v>
      </c>
      <c r="AG140" s="74">
        <f>tblData[[#This Row],[Material Cost]]+tblData[[#This Row],[Conversion Cost]]+tblData[[#This Row],[Inbound Freight]]</f>
        <v>-297</v>
      </c>
      <c r="AH140" s="74">
        <f>tblData[[#This Row],[Net Revenue]]+tblData[[#This Row],[COGS]]</f>
        <v>482</v>
      </c>
      <c r="AI140" s="74">
        <f>tblData[[#This Row],[Advertising]]+tblData[[#This Row],[Promotions]]</f>
        <v>-118</v>
      </c>
      <c r="AJ140" s="74">
        <f>tblData[[#This Row],[Outbound Logistics]]+tblData[[#This Row],[Direct Selling]]</f>
        <v>-87</v>
      </c>
      <c r="AK140" s="74">
        <f>tblData[[#This Row],[Gross Profit]]+tblData[[#This Row],[AP Spend]]+tblData[[#This Row],[Cost to Serve]]</f>
        <v>277</v>
      </c>
    </row>
    <row r="141" spans="2:37" x14ac:dyDescent="0.25">
      <c r="B141" s="71" t="s">
        <v>36</v>
      </c>
      <c r="C141" s="71">
        <v>2025</v>
      </c>
      <c r="D141" s="71">
        <v>3</v>
      </c>
      <c r="E141" s="71" t="s">
        <v>46</v>
      </c>
      <c r="F141" s="71" t="s">
        <v>42</v>
      </c>
      <c r="G141" s="72">
        <v>113.3</v>
      </c>
      <c r="H141" s="73">
        <v>666</v>
      </c>
      <c r="I141" s="73">
        <v>-71</v>
      </c>
      <c r="J141" s="73">
        <v>-27</v>
      </c>
      <c r="K141" s="73">
        <v>-208</v>
      </c>
      <c r="L141" s="73">
        <v>-53</v>
      </c>
      <c r="M141" s="73">
        <v>-28</v>
      </c>
      <c r="N141" s="73">
        <v>-15</v>
      </c>
      <c r="O141" s="73">
        <v>-8</v>
      </c>
      <c r="P141" s="73">
        <v>-50</v>
      </c>
      <c r="Q141" s="73">
        <v>-13</v>
      </c>
      <c r="R141" s="73">
        <v>0</v>
      </c>
      <c r="S141" s="73">
        <v>0</v>
      </c>
      <c r="T141" s="73">
        <v>0</v>
      </c>
      <c r="U141" s="73">
        <v>0</v>
      </c>
      <c r="V141" s="73">
        <v>0</v>
      </c>
      <c r="W141" s="73">
        <v>0</v>
      </c>
      <c r="X141" s="73">
        <v>0</v>
      </c>
      <c r="Y141" s="73">
        <v>0</v>
      </c>
      <c r="Z141" s="73">
        <v>431</v>
      </c>
      <c r="AA141" s="73">
        <v>962</v>
      </c>
      <c r="AB141" s="73">
        <v>0</v>
      </c>
      <c r="AC141" s="73">
        <v>0</v>
      </c>
      <c r="AD141" s="73">
        <v>0</v>
      </c>
      <c r="AE141" s="73">
        <v>0</v>
      </c>
      <c r="AF141" s="74">
        <f>tblData[[#This Row],[Gross Sales]]+tblData[[#This Row],[Trade Discounts]]+tblData[[#This Row],[Returns]]</f>
        <v>568</v>
      </c>
      <c r="AG141" s="74">
        <f>tblData[[#This Row],[Material Cost]]+tblData[[#This Row],[Conversion Cost]]+tblData[[#This Row],[Inbound Freight]]</f>
        <v>-289</v>
      </c>
      <c r="AH141" s="74">
        <f>tblData[[#This Row],[Net Revenue]]+tblData[[#This Row],[COGS]]</f>
        <v>279</v>
      </c>
      <c r="AI141" s="74">
        <f>tblData[[#This Row],[Advertising]]+tblData[[#This Row],[Promotions]]</f>
        <v>-23</v>
      </c>
      <c r="AJ141" s="74">
        <f>tblData[[#This Row],[Outbound Logistics]]+tblData[[#This Row],[Direct Selling]]</f>
        <v>-63</v>
      </c>
      <c r="AK141" s="74">
        <f>tblData[[#This Row],[Gross Profit]]+tblData[[#This Row],[AP Spend]]+tblData[[#This Row],[Cost to Serve]]</f>
        <v>193</v>
      </c>
    </row>
    <row r="142" spans="2:37" x14ac:dyDescent="0.25">
      <c r="B142" s="71" t="s">
        <v>36</v>
      </c>
      <c r="C142" s="71">
        <v>2025</v>
      </c>
      <c r="D142" s="71">
        <v>3</v>
      </c>
      <c r="E142" s="71" t="s">
        <v>46</v>
      </c>
      <c r="F142" s="71" t="s">
        <v>43</v>
      </c>
      <c r="G142" s="72">
        <v>21.8</v>
      </c>
      <c r="H142" s="73">
        <v>385</v>
      </c>
      <c r="I142" s="73">
        <v>-41</v>
      </c>
      <c r="J142" s="73">
        <v>-15</v>
      </c>
      <c r="K142" s="73">
        <v>-104</v>
      </c>
      <c r="L142" s="73">
        <v>-26</v>
      </c>
      <c r="M142" s="73">
        <v>-14</v>
      </c>
      <c r="N142" s="73">
        <v>-42</v>
      </c>
      <c r="O142" s="73">
        <v>-23</v>
      </c>
      <c r="P142" s="73">
        <v>-29</v>
      </c>
      <c r="Q142" s="73">
        <v>-8</v>
      </c>
      <c r="R142" s="73">
        <v>0</v>
      </c>
      <c r="S142" s="73">
        <v>0</v>
      </c>
      <c r="T142" s="73">
        <v>0</v>
      </c>
      <c r="U142" s="73">
        <v>0</v>
      </c>
      <c r="V142" s="73">
        <v>0</v>
      </c>
      <c r="W142" s="73">
        <v>0</v>
      </c>
      <c r="X142" s="73">
        <v>0</v>
      </c>
      <c r="Y142" s="73">
        <v>0</v>
      </c>
      <c r="Z142" s="73">
        <v>249</v>
      </c>
      <c r="AA142" s="73">
        <v>524</v>
      </c>
      <c r="AB142" s="73">
        <v>0</v>
      </c>
      <c r="AC142" s="73">
        <v>0</v>
      </c>
      <c r="AD142" s="73">
        <v>0</v>
      </c>
      <c r="AE142" s="73">
        <v>0</v>
      </c>
      <c r="AF142" s="74">
        <f>tblData[[#This Row],[Gross Sales]]+tblData[[#This Row],[Trade Discounts]]+tblData[[#This Row],[Returns]]</f>
        <v>329</v>
      </c>
      <c r="AG142" s="74">
        <f>tblData[[#This Row],[Material Cost]]+tblData[[#This Row],[Conversion Cost]]+tblData[[#This Row],[Inbound Freight]]</f>
        <v>-144</v>
      </c>
      <c r="AH142" s="74">
        <f>tblData[[#This Row],[Net Revenue]]+tblData[[#This Row],[COGS]]</f>
        <v>185</v>
      </c>
      <c r="AI142" s="74">
        <f>tblData[[#This Row],[Advertising]]+tblData[[#This Row],[Promotions]]</f>
        <v>-65</v>
      </c>
      <c r="AJ142" s="74">
        <f>tblData[[#This Row],[Outbound Logistics]]+tblData[[#This Row],[Direct Selling]]</f>
        <v>-37</v>
      </c>
      <c r="AK142" s="74">
        <f>tblData[[#This Row],[Gross Profit]]+tblData[[#This Row],[AP Spend]]+tblData[[#This Row],[Cost to Serve]]</f>
        <v>83</v>
      </c>
    </row>
    <row r="143" spans="2:37" x14ac:dyDescent="0.25">
      <c r="B143" s="71" t="s">
        <v>36</v>
      </c>
      <c r="C143" s="71">
        <v>2025</v>
      </c>
      <c r="D143" s="71">
        <v>3</v>
      </c>
      <c r="E143" s="71" t="s">
        <v>47</v>
      </c>
      <c r="F143" s="71" t="s">
        <v>38</v>
      </c>
      <c r="G143" s="72">
        <v>55.7</v>
      </c>
      <c r="H143" s="73">
        <v>764</v>
      </c>
      <c r="I143" s="73">
        <v>-20</v>
      </c>
      <c r="J143" s="73">
        <v>-38</v>
      </c>
      <c r="K143" s="73">
        <v>-163</v>
      </c>
      <c r="L143" s="73">
        <v>-41</v>
      </c>
      <c r="M143" s="73">
        <v>-22</v>
      </c>
      <c r="N143" s="73">
        <v>-47</v>
      </c>
      <c r="O143" s="73">
        <v>-25</v>
      </c>
      <c r="P143" s="73">
        <v>-92</v>
      </c>
      <c r="Q143" s="73">
        <v>-31</v>
      </c>
      <c r="R143" s="73">
        <v>0</v>
      </c>
      <c r="S143" s="73">
        <v>0</v>
      </c>
      <c r="T143" s="73">
        <v>0</v>
      </c>
      <c r="U143" s="73">
        <v>0</v>
      </c>
      <c r="V143" s="73">
        <v>0</v>
      </c>
      <c r="W143" s="73">
        <v>0</v>
      </c>
      <c r="X143" s="73">
        <v>0</v>
      </c>
      <c r="Y143" s="73">
        <v>0</v>
      </c>
      <c r="Z143" s="73">
        <v>63</v>
      </c>
      <c r="AA143" s="73">
        <v>639</v>
      </c>
      <c r="AB143" s="73">
        <v>0</v>
      </c>
      <c r="AC143" s="73">
        <v>0</v>
      </c>
      <c r="AD143" s="73">
        <v>0</v>
      </c>
      <c r="AE143" s="73">
        <v>0</v>
      </c>
      <c r="AF143" s="74">
        <f>tblData[[#This Row],[Gross Sales]]+tblData[[#This Row],[Trade Discounts]]+tblData[[#This Row],[Returns]]</f>
        <v>706</v>
      </c>
      <c r="AG143" s="74">
        <f>tblData[[#This Row],[Material Cost]]+tblData[[#This Row],[Conversion Cost]]+tblData[[#This Row],[Inbound Freight]]</f>
        <v>-226</v>
      </c>
      <c r="AH143" s="74">
        <f>tblData[[#This Row],[Net Revenue]]+tblData[[#This Row],[COGS]]</f>
        <v>480</v>
      </c>
      <c r="AI143" s="74">
        <f>tblData[[#This Row],[Advertising]]+tblData[[#This Row],[Promotions]]</f>
        <v>-72</v>
      </c>
      <c r="AJ143" s="74">
        <f>tblData[[#This Row],[Outbound Logistics]]+tblData[[#This Row],[Direct Selling]]</f>
        <v>-123</v>
      </c>
      <c r="AK143" s="74">
        <f>tblData[[#This Row],[Gross Profit]]+tblData[[#This Row],[AP Spend]]+tblData[[#This Row],[Cost to Serve]]</f>
        <v>285</v>
      </c>
    </row>
    <row r="144" spans="2:37" x14ac:dyDescent="0.25">
      <c r="B144" s="71" t="s">
        <v>36</v>
      </c>
      <c r="C144" s="71">
        <v>2025</v>
      </c>
      <c r="D144" s="71">
        <v>3</v>
      </c>
      <c r="E144" s="71" t="s">
        <v>47</v>
      </c>
      <c r="F144" s="71" t="s">
        <v>39</v>
      </c>
      <c r="G144" s="72">
        <v>70.400000000000006</v>
      </c>
      <c r="H144" s="73">
        <v>621</v>
      </c>
      <c r="I144" s="73">
        <v>-16</v>
      </c>
      <c r="J144" s="73">
        <v>-31</v>
      </c>
      <c r="K144" s="73">
        <v>-159</v>
      </c>
      <c r="L144" s="73">
        <v>-40</v>
      </c>
      <c r="M144" s="73">
        <v>-21</v>
      </c>
      <c r="N144" s="73">
        <v>-27</v>
      </c>
      <c r="O144" s="73">
        <v>-14</v>
      </c>
      <c r="P144" s="73">
        <v>-75</v>
      </c>
      <c r="Q144" s="73">
        <v>-25</v>
      </c>
      <c r="R144" s="73">
        <v>0</v>
      </c>
      <c r="S144" s="73">
        <v>0</v>
      </c>
      <c r="T144" s="73">
        <v>0</v>
      </c>
      <c r="U144" s="73">
        <v>0</v>
      </c>
      <c r="V144" s="73">
        <v>0</v>
      </c>
      <c r="W144" s="73">
        <v>0</v>
      </c>
      <c r="X144" s="73">
        <v>0</v>
      </c>
      <c r="Y144" s="73">
        <v>0</v>
      </c>
      <c r="Z144" s="73">
        <v>53</v>
      </c>
      <c r="AA144" s="73">
        <v>545</v>
      </c>
      <c r="AB144" s="73">
        <v>0</v>
      </c>
      <c r="AC144" s="73">
        <v>0</v>
      </c>
      <c r="AD144" s="73">
        <v>0</v>
      </c>
      <c r="AE144" s="73">
        <v>0</v>
      </c>
      <c r="AF144" s="74">
        <f>tblData[[#This Row],[Gross Sales]]+tblData[[#This Row],[Trade Discounts]]+tblData[[#This Row],[Returns]]</f>
        <v>574</v>
      </c>
      <c r="AG144" s="74">
        <f>tblData[[#This Row],[Material Cost]]+tblData[[#This Row],[Conversion Cost]]+tblData[[#This Row],[Inbound Freight]]</f>
        <v>-220</v>
      </c>
      <c r="AH144" s="74">
        <f>tblData[[#This Row],[Net Revenue]]+tblData[[#This Row],[COGS]]</f>
        <v>354</v>
      </c>
      <c r="AI144" s="74">
        <f>tblData[[#This Row],[Advertising]]+tblData[[#This Row],[Promotions]]</f>
        <v>-41</v>
      </c>
      <c r="AJ144" s="74">
        <f>tblData[[#This Row],[Outbound Logistics]]+tblData[[#This Row],[Direct Selling]]</f>
        <v>-100</v>
      </c>
      <c r="AK144" s="74">
        <f>tblData[[#This Row],[Gross Profit]]+tblData[[#This Row],[AP Spend]]+tblData[[#This Row],[Cost to Serve]]</f>
        <v>213</v>
      </c>
    </row>
    <row r="145" spans="2:37" x14ac:dyDescent="0.25">
      <c r="B145" s="71" t="s">
        <v>36</v>
      </c>
      <c r="C145" s="71">
        <v>2025</v>
      </c>
      <c r="D145" s="71">
        <v>3</v>
      </c>
      <c r="E145" s="71" t="s">
        <v>47</v>
      </c>
      <c r="F145" s="71" t="s">
        <v>40</v>
      </c>
      <c r="G145" s="72">
        <v>72.2</v>
      </c>
      <c r="H145" s="73">
        <v>495</v>
      </c>
      <c r="I145" s="73">
        <v>-13</v>
      </c>
      <c r="J145" s="73">
        <v>-25</v>
      </c>
      <c r="K145" s="73">
        <v>-140</v>
      </c>
      <c r="L145" s="73">
        <v>-36</v>
      </c>
      <c r="M145" s="73">
        <v>-19</v>
      </c>
      <c r="N145" s="73">
        <v>-13</v>
      </c>
      <c r="O145" s="73">
        <v>-7</v>
      </c>
      <c r="P145" s="73">
        <v>-59</v>
      </c>
      <c r="Q145" s="73">
        <v>-20</v>
      </c>
      <c r="R145" s="73">
        <v>0</v>
      </c>
      <c r="S145" s="73">
        <v>0</v>
      </c>
      <c r="T145" s="73">
        <v>0</v>
      </c>
      <c r="U145" s="73">
        <v>0</v>
      </c>
      <c r="V145" s="73">
        <v>0</v>
      </c>
      <c r="W145" s="73">
        <v>0</v>
      </c>
      <c r="X145" s="73">
        <v>0</v>
      </c>
      <c r="Y145" s="73">
        <v>0</v>
      </c>
      <c r="Z145" s="73">
        <v>41</v>
      </c>
      <c r="AA145" s="73">
        <v>433</v>
      </c>
      <c r="AB145" s="73">
        <v>0</v>
      </c>
      <c r="AC145" s="73">
        <v>0</v>
      </c>
      <c r="AD145" s="73">
        <v>0</v>
      </c>
      <c r="AE145" s="73">
        <v>0</v>
      </c>
      <c r="AF145" s="74">
        <f>tblData[[#This Row],[Gross Sales]]+tblData[[#This Row],[Trade Discounts]]+tblData[[#This Row],[Returns]]</f>
        <v>457</v>
      </c>
      <c r="AG145" s="74">
        <f>tblData[[#This Row],[Material Cost]]+tblData[[#This Row],[Conversion Cost]]+tblData[[#This Row],[Inbound Freight]]</f>
        <v>-195</v>
      </c>
      <c r="AH145" s="74">
        <f>tblData[[#This Row],[Net Revenue]]+tblData[[#This Row],[COGS]]</f>
        <v>262</v>
      </c>
      <c r="AI145" s="74">
        <f>tblData[[#This Row],[Advertising]]+tblData[[#This Row],[Promotions]]</f>
        <v>-20</v>
      </c>
      <c r="AJ145" s="74">
        <f>tblData[[#This Row],[Outbound Logistics]]+tblData[[#This Row],[Direct Selling]]</f>
        <v>-79</v>
      </c>
      <c r="AK145" s="74">
        <f>tblData[[#This Row],[Gross Profit]]+tblData[[#This Row],[AP Spend]]+tblData[[#This Row],[Cost to Serve]]</f>
        <v>163</v>
      </c>
    </row>
    <row r="146" spans="2:37" x14ac:dyDescent="0.25">
      <c r="B146" s="71" t="s">
        <v>36</v>
      </c>
      <c r="C146" s="71">
        <v>2025</v>
      </c>
      <c r="D146" s="71">
        <v>3</v>
      </c>
      <c r="E146" s="71" t="s">
        <v>47</v>
      </c>
      <c r="F146" s="71" t="s">
        <v>41</v>
      </c>
      <c r="G146" s="72">
        <v>36.1</v>
      </c>
      <c r="H146" s="73">
        <v>390</v>
      </c>
      <c r="I146" s="73">
        <v>-10</v>
      </c>
      <c r="J146" s="73">
        <v>-19</v>
      </c>
      <c r="K146" s="73">
        <v>-91</v>
      </c>
      <c r="L146" s="73">
        <v>-23</v>
      </c>
      <c r="M146" s="73">
        <v>-12</v>
      </c>
      <c r="N146" s="73">
        <v>-29</v>
      </c>
      <c r="O146" s="73">
        <v>-15</v>
      </c>
      <c r="P146" s="73">
        <v>-47</v>
      </c>
      <c r="Q146" s="73">
        <v>-16</v>
      </c>
      <c r="R146" s="73">
        <v>0</v>
      </c>
      <c r="S146" s="73">
        <v>0</v>
      </c>
      <c r="T146" s="73">
        <v>0</v>
      </c>
      <c r="U146" s="73">
        <v>0</v>
      </c>
      <c r="V146" s="73">
        <v>0</v>
      </c>
      <c r="W146" s="73">
        <v>0</v>
      </c>
      <c r="X146" s="73">
        <v>0</v>
      </c>
      <c r="Y146" s="73">
        <v>0</v>
      </c>
      <c r="Z146" s="73">
        <v>32</v>
      </c>
      <c r="AA146" s="73">
        <v>337</v>
      </c>
      <c r="AB146" s="73">
        <v>0</v>
      </c>
      <c r="AC146" s="73">
        <v>0</v>
      </c>
      <c r="AD146" s="73">
        <v>0</v>
      </c>
      <c r="AE146" s="73">
        <v>0</v>
      </c>
      <c r="AF146" s="74">
        <f>tblData[[#This Row],[Gross Sales]]+tblData[[#This Row],[Trade Discounts]]+tblData[[#This Row],[Returns]]</f>
        <v>361</v>
      </c>
      <c r="AG146" s="74">
        <f>tblData[[#This Row],[Material Cost]]+tblData[[#This Row],[Conversion Cost]]+tblData[[#This Row],[Inbound Freight]]</f>
        <v>-126</v>
      </c>
      <c r="AH146" s="74">
        <f>tblData[[#This Row],[Net Revenue]]+tblData[[#This Row],[COGS]]</f>
        <v>235</v>
      </c>
      <c r="AI146" s="74">
        <f>tblData[[#This Row],[Advertising]]+tblData[[#This Row],[Promotions]]</f>
        <v>-44</v>
      </c>
      <c r="AJ146" s="74">
        <f>tblData[[#This Row],[Outbound Logistics]]+tblData[[#This Row],[Direct Selling]]</f>
        <v>-63</v>
      </c>
      <c r="AK146" s="74">
        <f>tblData[[#This Row],[Gross Profit]]+tblData[[#This Row],[AP Spend]]+tblData[[#This Row],[Cost to Serve]]</f>
        <v>128</v>
      </c>
    </row>
    <row r="147" spans="2:37" x14ac:dyDescent="0.25">
      <c r="B147" s="71" t="s">
        <v>36</v>
      </c>
      <c r="C147" s="71">
        <v>2025</v>
      </c>
      <c r="D147" s="71">
        <v>3</v>
      </c>
      <c r="E147" s="71" t="s">
        <v>47</v>
      </c>
      <c r="F147" s="71" t="s">
        <v>42</v>
      </c>
      <c r="G147" s="72">
        <v>46</v>
      </c>
      <c r="H147" s="73">
        <v>270</v>
      </c>
      <c r="I147" s="73">
        <v>-7</v>
      </c>
      <c r="J147" s="73">
        <v>-14</v>
      </c>
      <c r="K147" s="73">
        <v>-84</v>
      </c>
      <c r="L147" s="73">
        <v>-21</v>
      </c>
      <c r="M147" s="73">
        <v>-11</v>
      </c>
      <c r="N147" s="73">
        <v>-6</v>
      </c>
      <c r="O147" s="73">
        <v>-3</v>
      </c>
      <c r="P147" s="73">
        <v>-32</v>
      </c>
      <c r="Q147" s="73">
        <v>-11</v>
      </c>
      <c r="R147" s="73">
        <v>0</v>
      </c>
      <c r="S147" s="73">
        <v>0</v>
      </c>
      <c r="T147" s="73">
        <v>0</v>
      </c>
      <c r="U147" s="73">
        <v>0</v>
      </c>
      <c r="V147" s="73">
        <v>0</v>
      </c>
      <c r="W147" s="73">
        <v>0</v>
      </c>
      <c r="X147" s="73">
        <v>0</v>
      </c>
      <c r="Y147" s="73">
        <v>0</v>
      </c>
      <c r="Z147" s="73">
        <v>22</v>
      </c>
      <c r="AA147" s="73">
        <v>386</v>
      </c>
      <c r="AB147" s="73">
        <v>0</v>
      </c>
      <c r="AC147" s="73">
        <v>0</v>
      </c>
      <c r="AD147" s="73">
        <v>0</v>
      </c>
      <c r="AE147" s="73">
        <v>0</v>
      </c>
      <c r="AF147" s="74">
        <f>tblData[[#This Row],[Gross Sales]]+tblData[[#This Row],[Trade Discounts]]+tblData[[#This Row],[Returns]]</f>
        <v>249</v>
      </c>
      <c r="AG147" s="74">
        <f>tblData[[#This Row],[Material Cost]]+tblData[[#This Row],[Conversion Cost]]+tblData[[#This Row],[Inbound Freight]]</f>
        <v>-116</v>
      </c>
      <c r="AH147" s="74">
        <f>tblData[[#This Row],[Net Revenue]]+tblData[[#This Row],[COGS]]</f>
        <v>133</v>
      </c>
      <c r="AI147" s="74">
        <f>tblData[[#This Row],[Advertising]]+tblData[[#This Row],[Promotions]]</f>
        <v>-9</v>
      </c>
      <c r="AJ147" s="74">
        <f>tblData[[#This Row],[Outbound Logistics]]+tblData[[#This Row],[Direct Selling]]</f>
        <v>-43</v>
      </c>
      <c r="AK147" s="74">
        <f>tblData[[#This Row],[Gross Profit]]+tblData[[#This Row],[AP Spend]]+tblData[[#This Row],[Cost to Serve]]</f>
        <v>81</v>
      </c>
    </row>
    <row r="148" spans="2:37" x14ac:dyDescent="0.25">
      <c r="B148" s="71" t="s">
        <v>36</v>
      </c>
      <c r="C148" s="71">
        <v>2025</v>
      </c>
      <c r="D148" s="71">
        <v>3</v>
      </c>
      <c r="E148" s="71" t="s">
        <v>47</v>
      </c>
      <c r="F148" s="71" t="s">
        <v>43</v>
      </c>
      <c r="G148" s="72">
        <v>9.1999999999999993</v>
      </c>
      <c r="H148" s="73">
        <v>162</v>
      </c>
      <c r="I148" s="73">
        <v>-4</v>
      </c>
      <c r="J148" s="73">
        <v>-8</v>
      </c>
      <c r="K148" s="73">
        <v>-44</v>
      </c>
      <c r="L148" s="73">
        <v>-11</v>
      </c>
      <c r="M148" s="73">
        <v>-6</v>
      </c>
      <c r="N148" s="73">
        <v>-16</v>
      </c>
      <c r="O148" s="73">
        <v>-8</v>
      </c>
      <c r="P148" s="73">
        <v>-19</v>
      </c>
      <c r="Q148" s="73">
        <v>-6</v>
      </c>
      <c r="R148" s="73">
        <v>0</v>
      </c>
      <c r="S148" s="73">
        <v>0</v>
      </c>
      <c r="T148" s="73">
        <v>0</v>
      </c>
      <c r="U148" s="73">
        <v>0</v>
      </c>
      <c r="V148" s="73">
        <v>0</v>
      </c>
      <c r="W148" s="73">
        <v>0</v>
      </c>
      <c r="X148" s="73">
        <v>0</v>
      </c>
      <c r="Y148" s="73">
        <v>0</v>
      </c>
      <c r="Z148" s="73">
        <v>14</v>
      </c>
      <c r="AA148" s="73">
        <v>220</v>
      </c>
      <c r="AB148" s="73">
        <v>0</v>
      </c>
      <c r="AC148" s="73">
        <v>0</v>
      </c>
      <c r="AD148" s="73">
        <v>0</v>
      </c>
      <c r="AE148" s="73">
        <v>0</v>
      </c>
      <c r="AF148" s="74">
        <f>tblData[[#This Row],[Gross Sales]]+tblData[[#This Row],[Trade Discounts]]+tblData[[#This Row],[Returns]]</f>
        <v>150</v>
      </c>
      <c r="AG148" s="74">
        <f>tblData[[#This Row],[Material Cost]]+tblData[[#This Row],[Conversion Cost]]+tblData[[#This Row],[Inbound Freight]]</f>
        <v>-61</v>
      </c>
      <c r="AH148" s="74">
        <f>tblData[[#This Row],[Net Revenue]]+tblData[[#This Row],[COGS]]</f>
        <v>89</v>
      </c>
      <c r="AI148" s="74">
        <f>tblData[[#This Row],[Advertising]]+tblData[[#This Row],[Promotions]]</f>
        <v>-24</v>
      </c>
      <c r="AJ148" s="74">
        <f>tblData[[#This Row],[Outbound Logistics]]+tblData[[#This Row],[Direct Selling]]</f>
        <v>-25</v>
      </c>
      <c r="AK148" s="74">
        <f>tblData[[#This Row],[Gross Profit]]+tblData[[#This Row],[AP Spend]]+tblData[[#This Row],[Cost to Serve]]</f>
        <v>40</v>
      </c>
    </row>
    <row r="149" spans="2:37" x14ac:dyDescent="0.25">
      <c r="B149" s="71" t="s">
        <v>36</v>
      </c>
      <c r="C149" s="71">
        <v>2025</v>
      </c>
      <c r="D149" s="71">
        <v>3</v>
      </c>
      <c r="E149" s="71" t="s">
        <v>48</v>
      </c>
      <c r="F149" s="71" t="s">
        <v>38</v>
      </c>
      <c r="G149" s="72">
        <v>90.1</v>
      </c>
      <c r="H149" s="73">
        <v>1236</v>
      </c>
      <c r="I149" s="73">
        <v>-106</v>
      </c>
      <c r="J149" s="73">
        <v>-12</v>
      </c>
      <c r="K149" s="73">
        <v>-263</v>
      </c>
      <c r="L149" s="73">
        <v>-67</v>
      </c>
      <c r="M149" s="73">
        <v>-35</v>
      </c>
      <c r="N149" s="73">
        <v>-78</v>
      </c>
      <c r="O149" s="73">
        <v>-42</v>
      </c>
      <c r="P149" s="73">
        <v>-37</v>
      </c>
      <c r="Q149" s="73">
        <v>-19</v>
      </c>
      <c r="R149" s="73">
        <v>0</v>
      </c>
      <c r="S149" s="73">
        <v>0</v>
      </c>
      <c r="T149" s="73">
        <v>0</v>
      </c>
      <c r="U149" s="73">
        <v>0</v>
      </c>
      <c r="V149" s="73">
        <v>0</v>
      </c>
      <c r="W149" s="73">
        <v>0</v>
      </c>
      <c r="X149" s="73">
        <v>0</v>
      </c>
      <c r="Y149" s="73">
        <v>0</v>
      </c>
      <c r="Z149" s="73">
        <v>2366</v>
      </c>
      <c r="AA149" s="73">
        <v>1049</v>
      </c>
      <c r="AB149" s="73">
        <v>0</v>
      </c>
      <c r="AC149" s="73">
        <v>0</v>
      </c>
      <c r="AD149" s="73">
        <v>0</v>
      </c>
      <c r="AE149" s="73">
        <v>0</v>
      </c>
      <c r="AF149" s="74">
        <f>tblData[[#This Row],[Gross Sales]]+tblData[[#This Row],[Trade Discounts]]+tblData[[#This Row],[Returns]]</f>
        <v>1118</v>
      </c>
      <c r="AG149" s="74">
        <f>tblData[[#This Row],[Material Cost]]+tblData[[#This Row],[Conversion Cost]]+tblData[[#This Row],[Inbound Freight]]</f>
        <v>-365</v>
      </c>
      <c r="AH149" s="74">
        <f>tblData[[#This Row],[Net Revenue]]+tblData[[#This Row],[COGS]]</f>
        <v>753</v>
      </c>
      <c r="AI149" s="74">
        <f>tblData[[#This Row],[Advertising]]+tblData[[#This Row],[Promotions]]</f>
        <v>-120</v>
      </c>
      <c r="AJ149" s="74">
        <f>tblData[[#This Row],[Outbound Logistics]]+tblData[[#This Row],[Direct Selling]]</f>
        <v>-56</v>
      </c>
      <c r="AK149" s="74">
        <f>tblData[[#This Row],[Gross Profit]]+tblData[[#This Row],[AP Spend]]+tblData[[#This Row],[Cost to Serve]]</f>
        <v>577</v>
      </c>
    </row>
    <row r="150" spans="2:37" x14ac:dyDescent="0.25">
      <c r="B150" s="71" t="s">
        <v>36</v>
      </c>
      <c r="C150" s="71">
        <v>2025</v>
      </c>
      <c r="D150" s="71">
        <v>3</v>
      </c>
      <c r="E150" s="71" t="s">
        <v>48</v>
      </c>
      <c r="F150" s="71" t="s">
        <v>39</v>
      </c>
      <c r="G150" s="72">
        <v>118.6</v>
      </c>
      <c r="H150" s="73">
        <v>1046</v>
      </c>
      <c r="I150" s="73">
        <v>-90</v>
      </c>
      <c r="J150" s="73">
        <v>-10</v>
      </c>
      <c r="K150" s="73">
        <v>-267</v>
      </c>
      <c r="L150" s="73">
        <v>-68</v>
      </c>
      <c r="M150" s="73">
        <v>-36</v>
      </c>
      <c r="N150" s="73">
        <v>-45</v>
      </c>
      <c r="O150" s="73">
        <v>-24</v>
      </c>
      <c r="P150" s="73">
        <v>-31</v>
      </c>
      <c r="Q150" s="73">
        <v>-16</v>
      </c>
      <c r="R150" s="73">
        <v>0</v>
      </c>
      <c r="S150" s="73">
        <v>0</v>
      </c>
      <c r="T150" s="73">
        <v>0</v>
      </c>
      <c r="U150" s="73">
        <v>0</v>
      </c>
      <c r="V150" s="73">
        <v>0</v>
      </c>
      <c r="W150" s="73">
        <v>0</v>
      </c>
      <c r="X150" s="73">
        <v>0</v>
      </c>
      <c r="Y150" s="73">
        <v>0</v>
      </c>
      <c r="Z150" s="73">
        <v>1996</v>
      </c>
      <c r="AA150" s="73">
        <v>894</v>
      </c>
      <c r="AB150" s="73">
        <v>0</v>
      </c>
      <c r="AC150" s="73">
        <v>0</v>
      </c>
      <c r="AD150" s="73">
        <v>0</v>
      </c>
      <c r="AE150" s="73">
        <v>0</v>
      </c>
      <c r="AF150" s="74">
        <f>tblData[[#This Row],[Gross Sales]]+tblData[[#This Row],[Trade Discounts]]+tblData[[#This Row],[Returns]]</f>
        <v>946</v>
      </c>
      <c r="AG150" s="74">
        <f>tblData[[#This Row],[Material Cost]]+tblData[[#This Row],[Conversion Cost]]+tblData[[#This Row],[Inbound Freight]]</f>
        <v>-371</v>
      </c>
      <c r="AH150" s="74">
        <f>tblData[[#This Row],[Net Revenue]]+tblData[[#This Row],[COGS]]</f>
        <v>575</v>
      </c>
      <c r="AI150" s="74">
        <f>tblData[[#This Row],[Advertising]]+tblData[[#This Row],[Promotions]]</f>
        <v>-69</v>
      </c>
      <c r="AJ150" s="74">
        <f>tblData[[#This Row],[Outbound Logistics]]+tblData[[#This Row],[Direct Selling]]</f>
        <v>-47</v>
      </c>
      <c r="AK150" s="74">
        <f>tblData[[#This Row],[Gross Profit]]+tblData[[#This Row],[AP Spend]]+tblData[[#This Row],[Cost to Serve]]</f>
        <v>459</v>
      </c>
    </row>
    <row r="151" spans="2:37" x14ac:dyDescent="0.25">
      <c r="B151" s="71" t="s">
        <v>36</v>
      </c>
      <c r="C151" s="71">
        <v>2025</v>
      </c>
      <c r="D151" s="71">
        <v>3</v>
      </c>
      <c r="E151" s="71" t="s">
        <v>48</v>
      </c>
      <c r="F151" s="71" t="s">
        <v>40</v>
      </c>
      <c r="G151" s="72">
        <v>114.8</v>
      </c>
      <c r="H151" s="73">
        <v>787</v>
      </c>
      <c r="I151" s="73">
        <v>-68</v>
      </c>
      <c r="J151" s="73">
        <v>-8</v>
      </c>
      <c r="K151" s="73">
        <v>-223</v>
      </c>
      <c r="L151" s="73">
        <v>-57</v>
      </c>
      <c r="M151" s="73">
        <v>-30</v>
      </c>
      <c r="N151" s="73">
        <v>-22</v>
      </c>
      <c r="O151" s="73">
        <v>-12</v>
      </c>
      <c r="P151" s="73">
        <v>-24</v>
      </c>
      <c r="Q151" s="73">
        <v>-12</v>
      </c>
      <c r="R151" s="73">
        <v>0</v>
      </c>
      <c r="S151" s="73">
        <v>0</v>
      </c>
      <c r="T151" s="73">
        <v>0</v>
      </c>
      <c r="U151" s="73">
        <v>0</v>
      </c>
      <c r="V151" s="73">
        <v>0</v>
      </c>
      <c r="W151" s="73">
        <v>0</v>
      </c>
      <c r="X151" s="73">
        <v>0</v>
      </c>
      <c r="Y151" s="73">
        <v>0</v>
      </c>
      <c r="Z151" s="73">
        <v>1507</v>
      </c>
      <c r="AA151" s="73">
        <v>703</v>
      </c>
      <c r="AB151" s="73">
        <v>0</v>
      </c>
      <c r="AC151" s="73">
        <v>0</v>
      </c>
      <c r="AD151" s="73">
        <v>0</v>
      </c>
      <c r="AE151" s="73">
        <v>0</v>
      </c>
      <c r="AF151" s="74">
        <f>tblData[[#This Row],[Gross Sales]]+tblData[[#This Row],[Trade Discounts]]+tblData[[#This Row],[Returns]]</f>
        <v>711</v>
      </c>
      <c r="AG151" s="74">
        <f>tblData[[#This Row],[Material Cost]]+tblData[[#This Row],[Conversion Cost]]+tblData[[#This Row],[Inbound Freight]]</f>
        <v>-310</v>
      </c>
      <c r="AH151" s="74">
        <f>tblData[[#This Row],[Net Revenue]]+tblData[[#This Row],[COGS]]</f>
        <v>401</v>
      </c>
      <c r="AI151" s="74">
        <f>tblData[[#This Row],[Advertising]]+tblData[[#This Row],[Promotions]]</f>
        <v>-34</v>
      </c>
      <c r="AJ151" s="74">
        <f>tblData[[#This Row],[Outbound Logistics]]+tblData[[#This Row],[Direct Selling]]</f>
        <v>-36</v>
      </c>
      <c r="AK151" s="74">
        <f>tblData[[#This Row],[Gross Profit]]+tblData[[#This Row],[AP Spend]]+tblData[[#This Row],[Cost to Serve]]</f>
        <v>331</v>
      </c>
    </row>
    <row r="152" spans="2:37" x14ac:dyDescent="0.25">
      <c r="B152" s="71" t="s">
        <v>36</v>
      </c>
      <c r="C152" s="71">
        <v>2025</v>
      </c>
      <c r="D152" s="71">
        <v>3</v>
      </c>
      <c r="E152" s="71" t="s">
        <v>48</v>
      </c>
      <c r="F152" s="71" t="s">
        <v>41</v>
      </c>
      <c r="G152" s="72">
        <v>59.2</v>
      </c>
      <c r="H152" s="73">
        <v>638</v>
      </c>
      <c r="I152" s="73">
        <v>-55</v>
      </c>
      <c r="J152" s="73">
        <v>-6</v>
      </c>
      <c r="K152" s="73">
        <v>-149</v>
      </c>
      <c r="L152" s="73">
        <v>-38</v>
      </c>
      <c r="M152" s="73">
        <v>-20</v>
      </c>
      <c r="N152" s="73">
        <v>-48</v>
      </c>
      <c r="O152" s="73">
        <v>-26</v>
      </c>
      <c r="P152" s="73">
        <v>-19</v>
      </c>
      <c r="Q152" s="73">
        <v>-10</v>
      </c>
      <c r="R152" s="73">
        <v>0</v>
      </c>
      <c r="S152" s="73">
        <v>0</v>
      </c>
      <c r="T152" s="73">
        <v>0</v>
      </c>
      <c r="U152" s="73">
        <v>0</v>
      </c>
      <c r="V152" s="73">
        <v>0</v>
      </c>
      <c r="W152" s="73">
        <v>0</v>
      </c>
      <c r="X152" s="73">
        <v>0</v>
      </c>
      <c r="Y152" s="73">
        <v>0</v>
      </c>
      <c r="Z152" s="73">
        <v>1209</v>
      </c>
      <c r="AA152" s="73">
        <v>558</v>
      </c>
      <c r="AB152" s="73">
        <v>0</v>
      </c>
      <c r="AC152" s="73">
        <v>0</v>
      </c>
      <c r="AD152" s="73">
        <v>0</v>
      </c>
      <c r="AE152" s="73">
        <v>0</v>
      </c>
      <c r="AF152" s="74">
        <f>tblData[[#This Row],[Gross Sales]]+tblData[[#This Row],[Trade Discounts]]+tblData[[#This Row],[Returns]]</f>
        <v>577</v>
      </c>
      <c r="AG152" s="74">
        <f>tblData[[#This Row],[Material Cost]]+tblData[[#This Row],[Conversion Cost]]+tblData[[#This Row],[Inbound Freight]]</f>
        <v>-207</v>
      </c>
      <c r="AH152" s="74">
        <f>tblData[[#This Row],[Net Revenue]]+tblData[[#This Row],[COGS]]</f>
        <v>370</v>
      </c>
      <c r="AI152" s="74">
        <f>tblData[[#This Row],[Advertising]]+tblData[[#This Row],[Promotions]]</f>
        <v>-74</v>
      </c>
      <c r="AJ152" s="74">
        <f>tblData[[#This Row],[Outbound Logistics]]+tblData[[#This Row],[Direct Selling]]</f>
        <v>-29</v>
      </c>
      <c r="AK152" s="74">
        <f>tblData[[#This Row],[Gross Profit]]+tblData[[#This Row],[AP Spend]]+tblData[[#This Row],[Cost to Serve]]</f>
        <v>267</v>
      </c>
    </row>
    <row r="153" spans="2:37" x14ac:dyDescent="0.25">
      <c r="B153" s="71" t="s">
        <v>36</v>
      </c>
      <c r="C153" s="71">
        <v>2025</v>
      </c>
      <c r="D153" s="71">
        <v>3</v>
      </c>
      <c r="E153" s="71" t="s">
        <v>48</v>
      </c>
      <c r="F153" s="71" t="s">
        <v>42</v>
      </c>
      <c r="G153" s="72">
        <v>76.599999999999994</v>
      </c>
      <c r="H153" s="73">
        <v>450</v>
      </c>
      <c r="I153" s="73">
        <v>-39</v>
      </c>
      <c r="J153" s="73">
        <v>-5</v>
      </c>
      <c r="K153" s="73">
        <v>-140</v>
      </c>
      <c r="L153" s="73">
        <v>-36</v>
      </c>
      <c r="M153" s="73">
        <v>-19</v>
      </c>
      <c r="N153" s="73">
        <v>-9</v>
      </c>
      <c r="O153" s="73">
        <v>-5</v>
      </c>
      <c r="P153" s="73">
        <v>-14</v>
      </c>
      <c r="Q153" s="73">
        <v>-7</v>
      </c>
      <c r="R153" s="73">
        <v>0</v>
      </c>
      <c r="S153" s="73">
        <v>0</v>
      </c>
      <c r="T153" s="73">
        <v>0</v>
      </c>
      <c r="U153" s="73">
        <v>0</v>
      </c>
      <c r="V153" s="73">
        <v>0</v>
      </c>
      <c r="W153" s="73">
        <v>0</v>
      </c>
      <c r="X153" s="73">
        <v>0</v>
      </c>
      <c r="Y153" s="73">
        <v>0</v>
      </c>
      <c r="Z153" s="73">
        <v>855</v>
      </c>
      <c r="AA153" s="73">
        <v>643</v>
      </c>
      <c r="AB153" s="73">
        <v>0</v>
      </c>
      <c r="AC153" s="73">
        <v>0</v>
      </c>
      <c r="AD153" s="73">
        <v>0</v>
      </c>
      <c r="AE153" s="73">
        <v>0</v>
      </c>
      <c r="AF153" s="74">
        <f>tblData[[#This Row],[Gross Sales]]+tblData[[#This Row],[Trade Discounts]]+tblData[[#This Row],[Returns]]</f>
        <v>406</v>
      </c>
      <c r="AG153" s="74">
        <f>tblData[[#This Row],[Material Cost]]+tblData[[#This Row],[Conversion Cost]]+tblData[[#This Row],[Inbound Freight]]</f>
        <v>-195</v>
      </c>
      <c r="AH153" s="74">
        <f>tblData[[#This Row],[Net Revenue]]+tblData[[#This Row],[COGS]]</f>
        <v>211</v>
      </c>
      <c r="AI153" s="74">
        <f>tblData[[#This Row],[Advertising]]+tblData[[#This Row],[Promotions]]</f>
        <v>-14</v>
      </c>
      <c r="AJ153" s="74">
        <f>tblData[[#This Row],[Outbound Logistics]]+tblData[[#This Row],[Direct Selling]]</f>
        <v>-21</v>
      </c>
      <c r="AK153" s="74">
        <f>tblData[[#This Row],[Gross Profit]]+tblData[[#This Row],[AP Spend]]+tblData[[#This Row],[Cost to Serve]]</f>
        <v>176</v>
      </c>
    </row>
    <row r="154" spans="2:37" x14ac:dyDescent="0.25">
      <c r="B154" s="71" t="s">
        <v>36</v>
      </c>
      <c r="C154" s="71">
        <v>2025</v>
      </c>
      <c r="D154" s="71">
        <v>3</v>
      </c>
      <c r="E154" s="71" t="s">
        <v>48</v>
      </c>
      <c r="F154" s="71" t="s">
        <v>43</v>
      </c>
      <c r="G154" s="72">
        <v>15.2</v>
      </c>
      <c r="H154" s="73">
        <v>269</v>
      </c>
      <c r="I154" s="73">
        <v>-23</v>
      </c>
      <c r="J154" s="73">
        <v>-3</v>
      </c>
      <c r="K154" s="73">
        <v>-72</v>
      </c>
      <c r="L154" s="73">
        <v>-18</v>
      </c>
      <c r="M154" s="73">
        <v>-10</v>
      </c>
      <c r="N154" s="73">
        <v>-26</v>
      </c>
      <c r="O154" s="73">
        <v>-14</v>
      </c>
      <c r="P154" s="73">
        <v>-8</v>
      </c>
      <c r="Q154" s="73">
        <v>-4</v>
      </c>
      <c r="R154" s="73">
        <v>0</v>
      </c>
      <c r="S154" s="73">
        <v>0</v>
      </c>
      <c r="T154" s="73">
        <v>0</v>
      </c>
      <c r="U154" s="73">
        <v>0</v>
      </c>
      <c r="V154" s="73">
        <v>0</v>
      </c>
      <c r="W154" s="73">
        <v>0</v>
      </c>
      <c r="X154" s="73">
        <v>0</v>
      </c>
      <c r="Y154" s="73">
        <v>0</v>
      </c>
      <c r="Z154" s="73">
        <v>510</v>
      </c>
      <c r="AA154" s="73">
        <v>362</v>
      </c>
      <c r="AB154" s="73">
        <v>0</v>
      </c>
      <c r="AC154" s="73">
        <v>0</v>
      </c>
      <c r="AD154" s="73">
        <v>0</v>
      </c>
      <c r="AE154" s="73">
        <v>0</v>
      </c>
      <c r="AF154" s="74">
        <f>tblData[[#This Row],[Gross Sales]]+tblData[[#This Row],[Trade Discounts]]+tblData[[#This Row],[Returns]]</f>
        <v>243</v>
      </c>
      <c r="AG154" s="74">
        <f>tblData[[#This Row],[Material Cost]]+tblData[[#This Row],[Conversion Cost]]+tblData[[#This Row],[Inbound Freight]]</f>
        <v>-100</v>
      </c>
      <c r="AH154" s="74">
        <f>tblData[[#This Row],[Net Revenue]]+tblData[[#This Row],[COGS]]</f>
        <v>143</v>
      </c>
      <c r="AI154" s="74">
        <f>tblData[[#This Row],[Advertising]]+tblData[[#This Row],[Promotions]]</f>
        <v>-40</v>
      </c>
      <c r="AJ154" s="74">
        <f>tblData[[#This Row],[Outbound Logistics]]+tblData[[#This Row],[Direct Selling]]</f>
        <v>-12</v>
      </c>
      <c r="AK154" s="74">
        <f>tblData[[#This Row],[Gross Profit]]+tblData[[#This Row],[AP Spend]]+tblData[[#This Row],[Cost to Serve]]</f>
        <v>91</v>
      </c>
    </row>
    <row r="155" spans="2:37" x14ac:dyDescent="0.25">
      <c r="B155" s="71" t="s">
        <v>36</v>
      </c>
      <c r="C155" s="71">
        <v>2025</v>
      </c>
      <c r="D155" s="71">
        <v>3</v>
      </c>
      <c r="E155" s="71" t="s">
        <v>49</v>
      </c>
      <c r="F155" s="71" t="s">
        <v>49</v>
      </c>
      <c r="G155" s="72">
        <v>0</v>
      </c>
      <c r="H155" s="73">
        <v>0</v>
      </c>
      <c r="I155" s="73">
        <v>0</v>
      </c>
      <c r="J155" s="73">
        <v>0</v>
      </c>
      <c r="K155" s="73">
        <v>0</v>
      </c>
      <c r="L155" s="73">
        <v>0</v>
      </c>
      <c r="M155" s="73">
        <v>0</v>
      </c>
      <c r="N155" s="73">
        <v>0</v>
      </c>
      <c r="O155" s="73">
        <v>0</v>
      </c>
      <c r="P155" s="73">
        <v>0</v>
      </c>
      <c r="Q155" s="73">
        <v>0</v>
      </c>
      <c r="R155" s="73">
        <v>-3995</v>
      </c>
      <c r="S155" s="73">
        <v>-974</v>
      </c>
      <c r="T155" s="73">
        <v>-1261</v>
      </c>
      <c r="U155" s="73">
        <v>-1079</v>
      </c>
      <c r="V155" s="73">
        <v>-1413</v>
      </c>
      <c r="W155" s="73">
        <v>-750</v>
      </c>
      <c r="X155" s="73">
        <v>-1202</v>
      </c>
      <c r="Y155" s="73">
        <v>-1130</v>
      </c>
      <c r="Z155" s="73">
        <v>0</v>
      </c>
      <c r="AA155" s="73">
        <v>0</v>
      </c>
      <c r="AB155" s="73">
        <v>29334</v>
      </c>
      <c r="AC155" s="73">
        <v>47716</v>
      </c>
      <c r="AD155" s="73">
        <v>197500</v>
      </c>
      <c r="AE155" s="73">
        <v>1150</v>
      </c>
      <c r="AF155" s="74">
        <f>tblData[[#This Row],[Gross Sales]]+tblData[[#This Row],[Trade Discounts]]+tblData[[#This Row],[Returns]]</f>
        <v>0</v>
      </c>
      <c r="AG155" s="74">
        <f>tblData[[#This Row],[Material Cost]]+tblData[[#This Row],[Conversion Cost]]+tblData[[#This Row],[Inbound Freight]]</f>
        <v>0</v>
      </c>
      <c r="AH155" s="74">
        <f>tblData[[#This Row],[Net Revenue]]+tblData[[#This Row],[COGS]]</f>
        <v>0</v>
      </c>
      <c r="AI155" s="74">
        <f>tblData[[#This Row],[Advertising]]+tblData[[#This Row],[Promotions]]</f>
        <v>0</v>
      </c>
      <c r="AJ155" s="74">
        <f>tblData[[#This Row],[Outbound Logistics]]+tblData[[#This Row],[Direct Selling]]</f>
        <v>0</v>
      </c>
      <c r="AK155" s="74">
        <f>tblData[[#This Row],[Gross Profit]]+tblData[[#This Row],[AP Spend]]+tblData[[#This Row],[Cost to Serve]]</f>
        <v>0</v>
      </c>
    </row>
    <row r="156" spans="2:37" x14ac:dyDescent="0.25">
      <c r="B156" s="71" t="s">
        <v>36</v>
      </c>
      <c r="C156" s="71">
        <v>2025</v>
      </c>
      <c r="D156" s="71">
        <v>4</v>
      </c>
      <c r="E156" s="71" t="s">
        <v>37</v>
      </c>
      <c r="F156" s="71" t="s">
        <v>38</v>
      </c>
      <c r="G156" s="72">
        <v>278.5</v>
      </c>
      <c r="H156" s="73">
        <v>3821</v>
      </c>
      <c r="I156" s="73">
        <v>-711</v>
      </c>
      <c r="J156" s="73">
        <v>-57</v>
      </c>
      <c r="K156" s="73">
        <v>-813</v>
      </c>
      <c r="L156" s="73">
        <v>-206</v>
      </c>
      <c r="M156" s="73">
        <v>-109</v>
      </c>
      <c r="N156" s="73">
        <v>-241</v>
      </c>
      <c r="O156" s="73">
        <v>-130</v>
      </c>
      <c r="P156" s="73">
        <v>-153</v>
      </c>
      <c r="Q156" s="73">
        <v>-115</v>
      </c>
      <c r="R156" s="73">
        <v>0</v>
      </c>
      <c r="S156" s="73">
        <v>0</v>
      </c>
      <c r="T156" s="73">
        <v>0</v>
      </c>
      <c r="U156" s="73">
        <v>0</v>
      </c>
      <c r="V156" s="73">
        <v>0</v>
      </c>
      <c r="W156" s="73">
        <v>0</v>
      </c>
      <c r="X156" s="73">
        <v>0</v>
      </c>
      <c r="Y156" s="73">
        <v>0</v>
      </c>
      <c r="Z156" s="73">
        <v>5236</v>
      </c>
      <c r="AA156" s="73">
        <v>3342</v>
      </c>
      <c r="AB156" s="73">
        <v>0</v>
      </c>
      <c r="AC156" s="73">
        <v>0</v>
      </c>
      <c r="AD156" s="73">
        <v>0</v>
      </c>
      <c r="AE156" s="73">
        <v>0</v>
      </c>
      <c r="AF156" s="74">
        <f>tblData[[#This Row],[Gross Sales]]+tblData[[#This Row],[Trade Discounts]]+tblData[[#This Row],[Returns]]</f>
        <v>3053</v>
      </c>
      <c r="AG156" s="74">
        <f>tblData[[#This Row],[Material Cost]]+tblData[[#This Row],[Conversion Cost]]+tblData[[#This Row],[Inbound Freight]]</f>
        <v>-1128</v>
      </c>
      <c r="AH156" s="74">
        <f>tblData[[#This Row],[Net Revenue]]+tblData[[#This Row],[COGS]]</f>
        <v>1925</v>
      </c>
      <c r="AI156" s="74">
        <f>tblData[[#This Row],[Advertising]]+tblData[[#This Row],[Promotions]]</f>
        <v>-371</v>
      </c>
      <c r="AJ156" s="74">
        <f>tblData[[#This Row],[Outbound Logistics]]+tblData[[#This Row],[Direct Selling]]</f>
        <v>-268</v>
      </c>
      <c r="AK156" s="74">
        <f>tblData[[#This Row],[Gross Profit]]+tblData[[#This Row],[AP Spend]]+tblData[[#This Row],[Cost to Serve]]</f>
        <v>1286</v>
      </c>
    </row>
    <row r="157" spans="2:37" x14ac:dyDescent="0.25">
      <c r="B157" s="71" t="s">
        <v>36</v>
      </c>
      <c r="C157" s="71">
        <v>2025</v>
      </c>
      <c r="D157" s="71">
        <v>4</v>
      </c>
      <c r="E157" s="71" t="s">
        <v>37</v>
      </c>
      <c r="F157" s="71" t="s">
        <v>39</v>
      </c>
      <c r="G157" s="72">
        <v>381.3</v>
      </c>
      <c r="H157" s="73">
        <v>3363</v>
      </c>
      <c r="I157" s="73">
        <v>-625</v>
      </c>
      <c r="J157" s="73">
        <v>-50</v>
      </c>
      <c r="K157" s="73">
        <v>-859</v>
      </c>
      <c r="L157" s="73">
        <v>-218</v>
      </c>
      <c r="M157" s="73">
        <v>-115</v>
      </c>
      <c r="N157" s="73">
        <v>-138</v>
      </c>
      <c r="O157" s="73">
        <v>-74</v>
      </c>
      <c r="P157" s="73">
        <v>-135</v>
      </c>
      <c r="Q157" s="73">
        <v>-101</v>
      </c>
      <c r="R157" s="73">
        <v>0</v>
      </c>
      <c r="S157" s="73">
        <v>0</v>
      </c>
      <c r="T157" s="73">
        <v>0</v>
      </c>
      <c r="U157" s="73">
        <v>0</v>
      </c>
      <c r="V157" s="73">
        <v>0</v>
      </c>
      <c r="W157" s="73">
        <v>0</v>
      </c>
      <c r="X157" s="73">
        <v>0</v>
      </c>
      <c r="Y157" s="73">
        <v>0</v>
      </c>
      <c r="Z157" s="73">
        <v>4530</v>
      </c>
      <c r="AA157" s="73">
        <v>2922</v>
      </c>
      <c r="AB157" s="73">
        <v>0</v>
      </c>
      <c r="AC157" s="73">
        <v>0</v>
      </c>
      <c r="AD157" s="73">
        <v>0</v>
      </c>
      <c r="AE157" s="73">
        <v>0</v>
      </c>
      <c r="AF157" s="74">
        <f>tblData[[#This Row],[Gross Sales]]+tblData[[#This Row],[Trade Discounts]]+tblData[[#This Row],[Returns]]</f>
        <v>2688</v>
      </c>
      <c r="AG157" s="74">
        <f>tblData[[#This Row],[Material Cost]]+tblData[[#This Row],[Conversion Cost]]+tblData[[#This Row],[Inbound Freight]]</f>
        <v>-1192</v>
      </c>
      <c r="AH157" s="74">
        <f>tblData[[#This Row],[Net Revenue]]+tblData[[#This Row],[COGS]]</f>
        <v>1496</v>
      </c>
      <c r="AI157" s="74">
        <f>tblData[[#This Row],[Advertising]]+tblData[[#This Row],[Promotions]]</f>
        <v>-212</v>
      </c>
      <c r="AJ157" s="74">
        <f>tblData[[#This Row],[Outbound Logistics]]+tblData[[#This Row],[Direct Selling]]</f>
        <v>-236</v>
      </c>
      <c r="AK157" s="74">
        <f>tblData[[#This Row],[Gross Profit]]+tblData[[#This Row],[AP Spend]]+tblData[[#This Row],[Cost to Serve]]</f>
        <v>1048</v>
      </c>
    </row>
    <row r="158" spans="2:37" x14ac:dyDescent="0.25">
      <c r="B158" s="71" t="s">
        <v>36</v>
      </c>
      <c r="C158" s="71">
        <v>2025</v>
      </c>
      <c r="D158" s="71">
        <v>4</v>
      </c>
      <c r="E158" s="71" t="s">
        <v>37</v>
      </c>
      <c r="F158" s="71" t="s">
        <v>40</v>
      </c>
      <c r="G158" s="72">
        <v>366.9</v>
      </c>
      <c r="H158" s="73">
        <v>2517</v>
      </c>
      <c r="I158" s="73">
        <v>-468</v>
      </c>
      <c r="J158" s="73">
        <v>-38</v>
      </c>
      <c r="K158" s="73">
        <v>-714</v>
      </c>
      <c r="L158" s="73">
        <v>-181</v>
      </c>
      <c r="M158" s="73">
        <v>-96</v>
      </c>
      <c r="N158" s="73">
        <v>-69</v>
      </c>
      <c r="O158" s="73">
        <v>-37</v>
      </c>
      <c r="P158" s="73">
        <v>-101</v>
      </c>
      <c r="Q158" s="73">
        <v>-76</v>
      </c>
      <c r="R158" s="73">
        <v>0</v>
      </c>
      <c r="S158" s="73">
        <v>0</v>
      </c>
      <c r="T158" s="73">
        <v>0</v>
      </c>
      <c r="U158" s="73">
        <v>0</v>
      </c>
      <c r="V158" s="73">
        <v>0</v>
      </c>
      <c r="W158" s="73">
        <v>0</v>
      </c>
      <c r="X158" s="73">
        <v>0</v>
      </c>
      <c r="Y158" s="73">
        <v>0</v>
      </c>
      <c r="Z158" s="73">
        <v>3375</v>
      </c>
      <c r="AA158" s="73">
        <v>2267</v>
      </c>
      <c r="AB158" s="73">
        <v>0</v>
      </c>
      <c r="AC158" s="73">
        <v>0</v>
      </c>
      <c r="AD158" s="73">
        <v>0</v>
      </c>
      <c r="AE158" s="73">
        <v>0</v>
      </c>
      <c r="AF158" s="74">
        <f>tblData[[#This Row],[Gross Sales]]+tblData[[#This Row],[Trade Discounts]]+tblData[[#This Row],[Returns]]</f>
        <v>2011</v>
      </c>
      <c r="AG158" s="74">
        <f>tblData[[#This Row],[Material Cost]]+tblData[[#This Row],[Conversion Cost]]+tblData[[#This Row],[Inbound Freight]]</f>
        <v>-991</v>
      </c>
      <c r="AH158" s="74">
        <f>tblData[[#This Row],[Net Revenue]]+tblData[[#This Row],[COGS]]</f>
        <v>1020</v>
      </c>
      <c r="AI158" s="74">
        <f>tblData[[#This Row],[Advertising]]+tblData[[#This Row],[Promotions]]</f>
        <v>-106</v>
      </c>
      <c r="AJ158" s="74">
        <f>tblData[[#This Row],[Outbound Logistics]]+tblData[[#This Row],[Direct Selling]]</f>
        <v>-177</v>
      </c>
      <c r="AK158" s="74">
        <f>tblData[[#This Row],[Gross Profit]]+tblData[[#This Row],[AP Spend]]+tblData[[#This Row],[Cost to Serve]]</f>
        <v>737</v>
      </c>
    </row>
    <row r="159" spans="2:37" x14ac:dyDescent="0.25">
      <c r="B159" s="71" t="s">
        <v>36</v>
      </c>
      <c r="C159" s="71">
        <v>2025</v>
      </c>
      <c r="D159" s="71">
        <v>4</v>
      </c>
      <c r="E159" s="71" t="s">
        <v>37</v>
      </c>
      <c r="F159" s="71" t="s">
        <v>41</v>
      </c>
      <c r="G159" s="72">
        <v>181.3</v>
      </c>
      <c r="H159" s="73">
        <v>1955</v>
      </c>
      <c r="I159" s="73">
        <v>-364</v>
      </c>
      <c r="J159" s="73">
        <v>-29</v>
      </c>
      <c r="K159" s="73">
        <v>-457</v>
      </c>
      <c r="L159" s="73">
        <v>-116</v>
      </c>
      <c r="M159" s="73">
        <v>-61</v>
      </c>
      <c r="N159" s="73">
        <v>-148</v>
      </c>
      <c r="O159" s="73">
        <v>-79</v>
      </c>
      <c r="P159" s="73">
        <v>-78</v>
      </c>
      <c r="Q159" s="73">
        <v>-59</v>
      </c>
      <c r="R159" s="73">
        <v>0</v>
      </c>
      <c r="S159" s="73">
        <v>0</v>
      </c>
      <c r="T159" s="73">
        <v>0</v>
      </c>
      <c r="U159" s="73">
        <v>0</v>
      </c>
      <c r="V159" s="73">
        <v>0</v>
      </c>
      <c r="W159" s="73">
        <v>0</v>
      </c>
      <c r="X159" s="73">
        <v>0</v>
      </c>
      <c r="Y159" s="73">
        <v>0</v>
      </c>
      <c r="Z159" s="73">
        <v>2697</v>
      </c>
      <c r="AA159" s="73">
        <v>1794</v>
      </c>
      <c r="AB159" s="73">
        <v>0</v>
      </c>
      <c r="AC159" s="73">
        <v>0</v>
      </c>
      <c r="AD159" s="73">
        <v>0</v>
      </c>
      <c r="AE159" s="73">
        <v>0</v>
      </c>
      <c r="AF159" s="74">
        <f>tblData[[#This Row],[Gross Sales]]+tblData[[#This Row],[Trade Discounts]]+tblData[[#This Row],[Returns]]</f>
        <v>1562</v>
      </c>
      <c r="AG159" s="74">
        <f>tblData[[#This Row],[Material Cost]]+tblData[[#This Row],[Conversion Cost]]+tblData[[#This Row],[Inbound Freight]]</f>
        <v>-634</v>
      </c>
      <c r="AH159" s="74">
        <f>tblData[[#This Row],[Net Revenue]]+tblData[[#This Row],[COGS]]</f>
        <v>928</v>
      </c>
      <c r="AI159" s="74">
        <f>tblData[[#This Row],[Advertising]]+tblData[[#This Row],[Promotions]]</f>
        <v>-227</v>
      </c>
      <c r="AJ159" s="74">
        <f>tblData[[#This Row],[Outbound Logistics]]+tblData[[#This Row],[Direct Selling]]</f>
        <v>-137</v>
      </c>
      <c r="AK159" s="74">
        <f>tblData[[#This Row],[Gross Profit]]+tblData[[#This Row],[AP Spend]]+tblData[[#This Row],[Cost to Serve]]</f>
        <v>564</v>
      </c>
    </row>
    <row r="160" spans="2:37" x14ac:dyDescent="0.25">
      <c r="B160" s="71" t="s">
        <v>36</v>
      </c>
      <c r="C160" s="71">
        <v>2025</v>
      </c>
      <c r="D160" s="71">
        <v>4</v>
      </c>
      <c r="E160" s="71" t="s">
        <v>37</v>
      </c>
      <c r="F160" s="71" t="s">
        <v>42</v>
      </c>
      <c r="G160" s="72">
        <v>234.6</v>
      </c>
      <c r="H160" s="73">
        <v>1379</v>
      </c>
      <c r="I160" s="73">
        <v>-257</v>
      </c>
      <c r="J160" s="73">
        <v>-21</v>
      </c>
      <c r="K160" s="73">
        <v>-430</v>
      </c>
      <c r="L160" s="73">
        <v>-109</v>
      </c>
      <c r="M160" s="73">
        <v>-58</v>
      </c>
      <c r="N160" s="73">
        <v>-29</v>
      </c>
      <c r="O160" s="73">
        <v>-15</v>
      </c>
      <c r="P160" s="73">
        <v>-55</v>
      </c>
      <c r="Q160" s="73">
        <v>-41</v>
      </c>
      <c r="R160" s="73">
        <v>0</v>
      </c>
      <c r="S160" s="73">
        <v>0</v>
      </c>
      <c r="T160" s="73">
        <v>0</v>
      </c>
      <c r="U160" s="73">
        <v>0</v>
      </c>
      <c r="V160" s="73">
        <v>0</v>
      </c>
      <c r="W160" s="73">
        <v>0</v>
      </c>
      <c r="X160" s="73">
        <v>0</v>
      </c>
      <c r="Y160" s="73">
        <v>0</v>
      </c>
      <c r="Z160" s="73">
        <v>1894</v>
      </c>
      <c r="AA160" s="73">
        <v>2053</v>
      </c>
      <c r="AB160" s="73">
        <v>0</v>
      </c>
      <c r="AC160" s="73">
        <v>0</v>
      </c>
      <c r="AD160" s="73">
        <v>0</v>
      </c>
      <c r="AE160" s="73">
        <v>0</v>
      </c>
      <c r="AF160" s="74">
        <f>tblData[[#This Row],[Gross Sales]]+tblData[[#This Row],[Trade Discounts]]+tblData[[#This Row],[Returns]]</f>
        <v>1101</v>
      </c>
      <c r="AG160" s="74">
        <f>tblData[[#This Row],[Material Cost]]+tblData[[#This Row],[Conversion Cost]]+tblData[[#This Row],[Inbound Freight]]</f>
        <v>-597</v>
      </c>
      <c r="AH160" s="74">
        <f>tblData[[#This Row],[Net Revenue]]+tblData[[#This Row],[COGS]]</f>
        <v>504</v>
      </c>
      <c r="AI160" s="74">
        <f>tblData[[#This Row],[Advertising]]+tblData[[#This Row],[Promotions]]</f>
        <v>-44</v>
      </c>
      <c r="AJ160" s="74">
        <f>tblData[[#This Row],[Outbound Logistics]]+tblData[[#This Row],[Direct Selling]]</f>
        <v>-96</v>
      </c>
      <c r="AK160" s="74">
        <f>tblData[[#This Row],[Gross Profit]]+tblData[[#This Row],[AP Spend]]+tblData[[#This Row],[Cost to Serve]]</f>
        <v>364</v>
      </c>
    </row>
    <row r="161" spans="2:37" x14ac:dyDescent="0.25">
      <c r="B161" s="71" t="s">
        <v>36</v>
      </c>
      <c r="C161" s="71">
        <v>2025</v>
      </c>
      <c r="D161" s="71">
        <v>4</v>
      </c>
      <c r="E161" s="71" t="s">
        <v>37</v>
      </c>
      <c r="F161" s="71" t="s">
        <v>43</v>
      </c>
      <c r="G161" s="72">
        <v>46.9</v>
      </c>
      <c r="H161" s="73">
        <v>827</v>
      </c>
      <c r="I161" s="73">
        <v>-154</v>
      </c>
      <c r="J161" s="73">
        <v>-12</v>
      </c>
      <c r="K161" s="73">
        <v>-223</v>
      </c>
      <c r="L161" s="73">
        <v>-57</v>
      </c>
      <c r="M161" s="73">
        <v>-30</v>
      </c>
      <c r="N161" s="73">
        <v>-80</v>
      </c>
      <c r="O161" s="73">
        <v>-43</v>
      </c>
      <c r="P161" s="73">
        <v>-33</v>
      </c>
      <c r="Q161" s="73">
        <v>-25</v>
      </c>
      <c r="R161" s="73">
        <v>0</v>
      </c>
      <c r="S161" s="73">
        <v>0</v>
      </c>
      <c r="T161" s="73">
        <v>0</v>
      </c>
      <c r="U161" s="73">
        <v>0</v>
      </c>
      <c r="V161" s="73">
        <v>0</v>
      </c>
      <c r="W161" s="73">
        <v>0</v>
      </c>
      <c r="X161" s="73">
        <v>0</v>
      </c>
      <c r="Y161" s="73">
        <v>0</v>
      </c>
      <c r="Z161" s="73">
        <v>1136</v>
      </c>
      <c r="AA161" s="73">
        <v>1160</v>
      </c>
      <c r="AB161" s="73">
        <v>0</v>
      </c>
      <c r="AC161" s="73">
        <v>0</v>
      </c>
      <c r="AD161" s="73">
        <v>0</v>
      </c>
      <c r="AE161" s="73">
        <v>0</v>
      </c>
      <c r="AF161" s="74">
        <f>tblData[[#This Row],[Gross Sales]]+tblData[[#This Row],[Trade Discounts]]+tblData[[#This Row],[Returns]]</f>
        <v>661</v>
      </c>
      <c r="AG161" s="74">
        <f>tblData[[#This Row],[Material Cost]]+tblData[[#This Row],[Conversion Cost]]+tblData[[#This Row],[Inbound Freight]]</f>
        <v>-310</v>
      </c>
      <c r="AH161" s="74">
        <f>tblData[[#This Row],[Net Revenue]]+tblData[[#This Row],[COGS]]</f>
        <v>351</v>
      </c>
      <c r="AI161" s="74">
        <f>tblData[[#This Row],[Advertising]]+tblData[[#This Row],[Promotions]]</f>
        <v>-123</v>
      </c>
      <c r="AJ161" s="74">
        <f>tblData[[#This Row],[Outbound Logistics]]+tblData[[#This Row],[Direct Selling]]</f>
        <v>-58</v>
      </c>
      <c r="AK161" s="74">
        <f>tblData[[#This Row],[Gross Profit]]+tblData[[#This Row],[AP Spend]]+tblData[[#This Row],[Cost to Serve]]</f>
        <v>170</v>
      </c>
    </row>
    <row r="162" spans="2:37" x14ac:dyDescent="0.25">
      <c r="B162" s="71" t="s">
        <v>36</v>
      </c>
      <c r="C162" s="71">
        <v>2025</v>
      </c>
      <c r="D162" s="71">
        <v>4</v>
      </c>
      <c r="E162" s="71" t="s">
        <v>44</v>
      </c>
      <c r="F162" s="71" t="s">
        <v>38</v>
      </c>
      <c r="G162" s="72">
        <v>227.7</v>
      </c>
      <c r="H162" s="73">
        <v>3124</v>
      </c>
      <c r="I162" s="73">
        <v>-487</v>
      </c>
      <c r="J162" s="73">
        <v>-37</v>
      </c>
      <c r="K162" s="73">
        <v>-665</v>
      </c>
      <c r="L162" s="73">
        <v>-169</v>
      </c>
      <c r="M162" s="73">
        <v>-89</v>
      </c>
      <c r="N162" s="73">
        <v>-193</v>
      </c>
      <c r="O162" s="73">
        <v>-104</v>
      </c>
      <c r="P162" s="73">
        <v>-125</v>
      </c>
      <c r="Q162" s="73">
        <v>-94</v>
      </c>
      <c r="R162" s="73">
        <v>0</v>
      </c>
      <c r="S162" s="73">
        <v>0</v>
      </c>
      <c r="T162" s="73">
        <v>0</v>
      </c>
      <c r="U162" s="73">
        <v>0</v>
      </c>
      <c r="V162" s="73">
        <v>0</v>
      </c>
      <c r="W162" s="73">
        <v>0</v>
      </c>
      <c r="X162" s="73">
        <v>0</v>
      </c>
      <c r="Y162" s="73">
        <v>0</v>
      </c>
      <c r="Z162" s="73">
        <v>4000</v>
      </c>
      <c r="AA162" s="73">
        <v>2697</v>
      </c>
      <c r="AB162" s="73">
        <v>0</v>
      </c>
      <c r="AC162" s="73">
        <v>0</v>
      </c>
      <c r="AD162" s="73">
        <v>0</v>
      </c>
      <c r="AE162" s="73">
        <v>0</v>
      </c>
      <c r="AF162" s="74">
        <f>tblData[[#This Row],[Gross Sales]]+tblData[[#This Row],[Trade Discounts]]+tblData[[#This Row],[Returns]]</f>
        <v>2600</v>
      </c>
      <c r="AG162" s="74">
        <f>tblData[[#This Row],[Material Cost]]+tblData[[#This Row],[Conversion Cost]]+tblData[[#This Row],[Inbound Freight]]</f>
        <v>-923</v>
      </c>
      <c r="AH162" s="74">
        <f>tblData[[#This Row],[Net Revenue]]+tblData[[#This Row],[COGS]]</f>
        <v>1677</v>
      </c>
      <c r="AI162" s="74">
        <f>tblData[[#This Row],[Advertising]]+tblData[[#This Row],[Promotions]]</f>
        <v>-297</v>
      </c>
      <c r="AJ162" s="74">
        <f>tblData[[#This Row],[Outbound Logistics]]+tblData[[#This Row],[Direct Selling]]</f>
        <v>-219</v>
      </c>
      <c r="AK162" s="74">
        <f>tblData[[#This Row],[Gross Profit]]+tblData[[#This Row],[AP Spend]]+tblData[[#This Row],[Cost to Serve]]</f>
        <v>1161</v>
      </c>
    </row>
    <row r="163" spans="2:37" x14ac:dyDescent="0.25">
      <c r="B163" s="71" t="s">
        <v>36</v>
      </c>
      <c r="C163" s="71">
        <v>2025</v>
      </c>
      <c r="D163" s="71">
        <v>4</v>
      </c>
      <c r="E163" s="71" t="s">
        <v>44</v>
      </c>
      <c r="F163" s="71" t="s">
        <v>39</v>
      </c>
      <c r="G163" s="72">
        <v>305.3</v>
      </c>
      <c r="H163" s="73">
        <v>2693</v>
      </c>
      <c r="I163" s="73">
        <v>-420</v>
      </c>
      <c r="J163" s="73">
        <v>-32</v>
      </c>
      <c r="K163" s="73">
        <v>-688</v>
      </c>
      <c r="L163" s="73">
        <v>-174</v>
      </c>
      <c r="M163" s="73">
        <v>-92</v>
      </c>
      <c r="N163" s="73">
        <v>-110</v>
      </c>
      <c r="O163" s="73">
        <v>-59</v>
      </c>
      <c r="P163" s="73">
        <v>-108</v>
      </c>
      <c r="Q163" s="73">
        <v>-81</v>
      </c>
      <c r="R163" s="73">
        <v>0</v>
      </c>
      <c r="S163" s="73">
        <v>0</v>
      </c>
      <c r="T163" s="73">
        <v>0</v>
      </c>
      <c r="U163" s="73">
        <v>0</v>
      </c>
      <c r="V163" s="73">
        <v>0</v>
      </c>
      <c r="W163" s="73">
        <v>0</v>
      </c>
      <c r="X163" s="73">
        <v>0</v>
      </c>
      <c r="Y163" s="73">
        <v>0</v>
      </c>
      <c r="Z163" s="73">
        <v>3430</v>
      </c>
      <c r="AA163" s="73">
        <v>2337</v>
      </c>
      <c r="AB163" s="73">
        <v>0</v>
      </c>
      <c r="AC163" s="73">
        <v>0</v>
      </c>
      <c r="AD163" s="73">
        <v>0</v>
      </c>
      <c r="AE163" s="73">
        <v>0</v>
      </c>
      <c r="AF163" s="74">
        <f>tblData[[#This Row],[Gross Sales]]+tblData[[#This Row],[Trade Discounts]]+tblData[[#This Row],[Returns]]</f>
        <v>2241</v>
      </c>
      <c r="AG163" s="74">
        <f>tblData[[#This Row],[Material Cost]]+tblData[[#This Row],[Conversion Cost]]+tblData[[#This Row],[Inbound Freight]]</f>
        <v>-954</v>
      </c>
      <c r="AH163" s="74">
        <f>tblData[[#This Row],[Net Revenue]]+tblData[[#This Row],[COGS]]</f>
        <v>1287</v>
      </c>
      <c r="AI163" s="74">
        <f>tblData[[#This Row],[Advertising]]+tblData[[#This Row],[Promotions]]</f>
        <v>-169</v>
      </c>
      <c r="AJ163" s="74">
        <f>tblData[[#This Row],[Outbound Logistics]]+tblData[[#This Row],[Direct Selling]]</f>
        <v>-189</v>
      </c>
      <c r="AK163" s="74">
        <f>tblData[[#This Row],[Gross Profit]]+tblData[[#This Row],[AP Spend]]+tblData[[#This Row],[Cost to Serve]]</f>
        <v>929</v>
      </c>
    </row>
    <row r="164" spans="2:37" x14ac:dyDescent="0.25">
      <c r="B164" s="71" t="s">
        <v>36</v>
      </c>
      <c r="C164" s="71">
        <v>2025</v>
      </c>
      <c r="D164" s="71">
        <v>4</v>
      </c>
      <c r="E164" s="71" t="s">
        <v>44</v>
      </c>
      <c r="F164" s="71" t="s">
        <v>40</v>
      </c>
      <c r="G164" s="72">
        <v>281.39999999999998</v>
      </c>
      <c r="H164" s="73">
        <v>1931</v>
      </c>
      <c r="I164" s="73">
        <v>-301</v>
      </c>
      <c r="J164" s="73">
        <v>-23</v>
      </c>
      <c r="K164" s="73">
        <v>-548</v>
      </c>
      <c r="L164" s="73">
        <v>-139</v>
      </c>
      <c r="M164" s="73">
        <v>-73</v>
      </c>
      <c r="N164" s="73">
        <v>-55</v>
      </c>
      <c r="O164" s="73">
        <v>-30</v>
      </c>
      <c r="P164" s="73">
        <v>-77</v>
      </c>
      <c r="Q164" s="73">
        <v>-58</v>
      </c>
      <c r="R164" s="73">
        <v>0</v>
      </c>
      <c r="S164" s="73">
        <v>0</v>
      </c>
      <c r="T164" s="73">
        <v>0</v>
      </c>
      <c r="U164" s="73">
        <v>0</v>
      </c>
      <c r="V164" s="73">
        <v>0</v>
      </c>
      <c r="W164" s="73">
        <v>0</v>
      </c>
      <c r="X164" s="73">
        <v>0</v>
      </c>
      <c r="Y164" s="73">
        <v>0</v>
      </c>
      <c r="Z164" s="73">
        <v>2567</v>
      </c>
      <c r="AA164" s="73">
        <v>1822</v>
      </c>
      <c r="AB164" s="73">
        <v>0</v>
      </c>
      <c r="AC164" s="73">
        <v>0</v>
      </c>
      <c r="AD164" s="73">
        <v>0</v>
      </c>
      <c r="AE164" s="73">
        <v>0</v>
      </c>
      <c r="AF164" s="74">
        <f>tblData[[#This Row],[Gross Sales]]+tblData[[#This Row],[Trade Discounts]]+tblData[[#This Row],[Returns]]</f>
        <v>1607</v>
      </c>
      <c r="AG164" s="74">
        <f>tblData[[#This Row],[Material Cost]]+tblData[[#This Row],[Conversion Cost]]+tblData[[#This Row],[Inbound Freight]]</f>
        <v>-760</v>
      </c>
      <c r="AH164" s="74">
        <f>tblData[[#This Row],[Net Revenue]]+tblData[[#This Row],[COGS]]</f>
        <v>847</v>
      </c>
      <c r="AI164" s="74">
        <f>tblData[[#This Row],[Advertising]]+tblData[[#This Row],[Promotions]]</f>
        <v>-85</v>
      </c>
      <c r="AJ164" s="74">
        <f>tblData[[#This Row],[Outbound Logistics]]+tblData[[#This Row],[Direct Selling]]</f>
        <v>-135</v>
      </c>
      <c r="AK164" s="74">
        <f>tblData[[#This Row],[Gross Profit]]+tblData[[#This Row],[AP Spend]]+tblData[[#This Row],[Cost to Serve]]</f>
        <v>627</v>
      </c>
    </row>
    <row r="165" spans="2:37" x14ac:dyDescent="0.25">
      <c r="B165" s="71" t="s">
        <v>36</v>
      </c>
      <c r="C165" s="71">
        <v>2025</v>
      </c>
      <c r="D165" s="71">
        <v>4</v>
      </c>
      <c r="E165" s="71" t="s">
        <v>44</v>
      </c>
      <c r="F165" s="71" t="s">
        <v>41</v>
      </c>
      <c r="G165" s="72">
        <v>144.6</v>
      </c>
      <c r="H165" s="73">
        <v>1558</v>
      </c>
      <c r="I165" s="73">
        <v>-243</v>
      </c>
      <c r="J165" s="73">
        <v>-19</v>
      </c>
      <c r="K165" s="73">
        <v>-365</v>
      </c>
      <c r="L165" s="73">
        <v>-93</v>
      </c>
      <c r="M165" s="73">
        <v>-49</v>
      </c>
      <c r="N165" s="73">
        <v>-118</v>
      </c>
      <c r="O165" s="73">
        <v>-64</v>
      </c>
      <c r="P165" s="73">
        <v>-62</v>
      </c>
      <c r="Q165" s="73">
        <v>-47</v>
      </c>
      <c r="R165" s="73">
        <v>0</v>
      </c>
      <c r="S165" s="73">
        <v>0</v>
      </c>
      <c r="T165" s="73">
        <v>0</v>
      </c>
      <c r="U165" s="73">
        <v>0</v>
      </c>
      <c r="V165" s="73">
        <v>0</v>
      </c>
      <c r="W165" s="73">
        <v>0</v>
      </c>
      <c r="X165" s="73">
        <v>0</v>
      </c>
      <c r="Y165" s="73">
        <v>0</v>
      </c>
      <c r="Z165" s="73">
        <v>2022</v>
      </c>
      <c r="AA165" s="73">
        <v>1421</v>
      </c>
      <c r="AB165" s="73">
        <v>0</v>
      </c>
      <c r="AC165" s="73">
        <v>0</v>
      </c>
      <c r="AD165" s="73">
        <v>0</v>
      </c>
      <c r="AE165" s="73">
        <v>0</v>
      </c>
      <c r="AF165" s="74">
        <f>tblData[[#This Row],[Gross Sales]]+tblData[[#This Row],[Trade Discounts]]+tblData[[#This Row],[Returns]]</f>
        <v>1296</v>
      </c>
      <c r="AG165" s="74">
        <f>tblData[[#This Row],[Material Cost]]+tblData[[#This Row],[Conversion Cost]]+tblData[[#This Row],[Inbound Freight]]</f>
        <v>-507</v>
      </c>
      <c r="AH165" s="74">
        <f>tblData[[#This Row],[Net Revenue]]+tblData[[#This Row],[COGS]]</f>
        <v>789</v>
      </c>
      <c r="AI165" s="74">
        <f>tblData[[#This Row],[Advertising]]+tblData[[#This Row],[Promotions]]</f>
        <v>-182</v>
      </c>
      <c r="AJ165" s="74">
        <f>tblData[[#This Row],[Outbound Logistics]]+tblData[[#This Row],[Direct Selling]]</f>
        <v>-109</v>
      </c>
      <c r="AK165" s="74">
        <f>tblData[[#This Row],[Gross Profit]]+tblData[[#This Row],[AP Spend]]+tblData[[#This Row],[Cost to Serve]]</f>
        <v>498</v>
      </c>
    </row>
    <row r="166" spans="2:37" x14ac:dyDescent="0.25">
      <c r="B166" s="71" t="s">
        <v>36</v>
      </c>
      <c r="C166" s="71">
        <v>2025</v>
      </c>
      <c r="D166" s="71">
        <v>4</v>
      </c>
      <c r="E166" s="71" t="s">
        <v>44</v>
      </c>
      <c r="F166" s="71" t="s">
        <v>42</v>
      </c>
      <c r="G166" s="72">
        <v>189.3</v>
      </c>
      <c r="H166" s="73">
        <v>1113</v>
      </c>
      <c r="I166" s="73">
        <v>-174</v>
      </c>
      <c r="J166" s="73">
        <v>-13</v>
      </c>
      <c r="K166" s="73">
        <v>-347</v>
      </c>
      <c r="L166" s="73">
        <v>-88</v>
      </c>
      <c r="M166" s="73">
        <v>-47</v>
      </c>
      <c r="N166" s="73">
        <v>-23</v>
      </c>
      <c r="O166" s="73">
        <v>-12</v>
      </c>
      <c r="P166" s="73">
        <v>-45</v>
      </c>
      <c r="Q166" s="73">
        <v>-33</v>
      </c>
      <c r="R166" s="73">
        <v>0</v>
      </c>
      <c r="S166" s="73">
        <v>0</v>
      </c>
      <c r="T166" s="73">
        <v>0</v>
      </c>
      <c r="U166" s="73">
        <v>0</v>
      </c>
      <c r="V166" s="73">
        <v>0</v>
      </c>
      <c r="W166" s="73">
        <v>0</v>
      </c>
      <c r="X166" s="73">
        <v>0</v>
      </c>
      <c r="Y166" s="73">
        <v>0</v>
      </c>
      <c r="Z166" s="73">
        <v>1443</v>
      </c>
      <c r="AA166" s="73">
        <v>1653</v>
      </c>
      <c r="AB166" s="73">
        <v>0</v>
      </c>
      <c r="AC166" s="73">
        <v>0</v>
      </c>
      <c r="AD166" s="73">
        <v>0</v>
      </c>
      <c r="AE166" s="73">
        <v>0</v>
      </c>
      <c r="AF166" s="74">
        <f>tblData[[#This Row],[Gross Sales]]+tblData[[#This Row],[Trade Discounts]]+tblData[[#This Row],[Returns]]</f>
        <v>926</v>
      </c>
      <c r="AG166" s="74">
        <f>tblData[[#This Row],[Material Cost]]+tblData[[#This Row],[Conversion Cost]]+tblData[[#This Row],[Inbound Freight]]</f>
        <v>-482</v>
      </c>
      <c r="AH166" s="74">
        <f>tblData[[#This Row],[Net Revenue]]+tblData[[#This Row],[COGS]]</f>
        <v>444</v>
      </c>
      <c r="AI166" s="74">
        <f>tblData[[#This Row],[Advertising]]+tblData[[#This Row],[Promotions]]</f>
        <v>-35</v>
      </c>
      <c r="AJ166" s="74">
        <f>tblData[[#This Row],[Outbound Logistics]]+tblData[[#This Row],[Direct Selling]]</f>
        <v>-78</v>
      </c>
      <c r="AK166" s="74">
        <f>tblData[[#This Row],[Gross Profit]]+tblData[[#This Row],[AP Spend]]+tblData[[#This Row],[Cost to Serve]]</f>
        <v>331</v>
      </c>
    </row>
    <row r="167" spans="2:37" x14ac:dyDescent="0.25">
      <c r="B167" s="71" t="s">
        <v>36</v>
      </c>
      <c r="C167" s="71">
        <v>2025</v>
      </c>
      <c r="D167" s="71">
        <v>4</v>
      </c>
      <c r="E167" s="71" t="s">
        <v>44</v>
      </c>
      <c r="F167" s="71" t="s">
        <v>43</v>
      </c>
      <c r="G167" s="72">
        <v>37.1</v>
      </c>
      <c r="H167" s="73">
        <v>654</v>
      </c>
      <c r="I167" s="73">
        <v>-102</v>
      </c>
      <c r="J167" s="73">
        <v>-8</v>
      </c>
      <c r="K167" s="73">
        <v>-176</v>
      </c>
      <c r="L167" s="73">
        <v>-45</v>
      </c>
      <c r="M167" s="73">
        <v>-24</v>
      </c>
      <c r="N167" s="73">
        <v>-64</v>
      </c>
      <c r="O167" s="73">
        <v>-35</v>
      </c>
      <c r="P167" s="73">
        <v>-26</v>
      </c>
      <c r="Q167" s="73">
        <v>-20</v>
      </c>
      <c r="R167" s="73">
        <v>0</v>
      </c>
      <c r="S167" s="73">
        <v>0</v>
      </c>
      <c r="T167" s="73">
        <v>0</v>
      </c>
      <c r="U167" s="73">
        <v>0</v>
      </c>
      <c r="V167" s="73">
        <v>0</v>
      </c>
      <c r="W167" s="73">
        <v>0</v>
      </c>
      <c r="X167" s="73">
        <v>0</v>
      </c>
      <c r="Y167" s="73">
        <v>0</v>
      </c>
      <c r="Z167" s="73">
        <v>858</v>
      </c>
      <c r="AA167" s="73">
        <v>926</v>
      </c>
      <c r="AB167" s="73">
        <v>0</v>
      </c>
      <c r="AC167" s="73">
        <v>0</v>
      </c>
      <c r="AD167" s="73">
        <v>0</v>
      </c>
      <c r="AE167" s="73">
        <v>0</v>
      </c>
      <c r="AF167" s="74">
        <f>tblData[[#This Row],[Gross Sales]]+tblData[[#This Row],[Trade Discounts]]+tblData[[#This Row],[Returns]]</f>
        <v>544</v>
      </c>
      <c r="AG167" s="74">
        <f>tblData[[#This Row],[Material Cost]]+tblData[[#This Row],[Conversion Cost]]+tblData[[#This Row],[Inbound Freight]]</f>
        <v>-245</v>
      </c>
      <c r="AH167" s="74">
        <f>tblData[[#This Row],[Net Revenue]]+tblData[[#This Row],[COGS]]</f>
        <v>299</v>
      </c>
      <c r="AI167" s="74">
        <f>tblData[[#This Row],[Advertising]]+tblData[[#This Row],[Promotions]]</f>
        <v>-99</v>
      </c>
      <c r="AJ167" s="74">
        <f>tblData[[#This Row],[Outbound Logistics]]+tblData[[#This Row],[Direct Selling]]</f>
        <v>-46</v>
      </c>
      <c r="AK167" s="74">
        <f>tblData[[#This Row],[Gross Profit]]+tblData[[#This Row],[AP Spend]]+tblData[[#This Row],[Cost to Serve]]</f>
        <v>154</v>
      </c>
    </row>
    <row r="168" spans="2:37" x14ac:dyDescent="0.25">
      <c r="B168" s="71" t="s">
        <v>36</v>
      </c>
      <c r="C168" s="71">
        <v>2025</v>
      </c>
      <c r="D168" s="71">
        <v>4</v>
      </c>
      <c r="E168" s="71" t="s">
        <v>45</v>
      </c>
      <c r="F168" s="71" t="s">
        <v>38</v>
      </c>
      <c r="G168" s="72">
        <v>134.1</v>
      </c>
      <c r="H168" s="73">
        <v>1840</v>
      </c>
      <c r="I168" s="73">
        <v>-397</v>
      </c>
      <c r="J168" s="73">
        <v>-18</v>
      </c>
      <c r="K168" s="73">
        <v>-391</v>
      </c>
      <c r="L168" s="73">
        <v>-99</v>
      </c>
      <c r="M168" s="73">
        <v>-52</v>
      </c>
      <c r="N168" s="73">
        <v>-113</v>
      </c>
      <c r="O168" s="73">
        <v>-61</v>
      </c>
      <c r="P168" s="73">
        <v>-64</v>
      </c>
      <c r="Q168" s="73">
        <v>-37</v>
      </c>
      <c r="R168" s="73">
        <v>0</v>
      </c>
      <c r="S168" s="73">
        <v>0</v>
      </c>
      <c r="T168" s="73">
        <v>0</v>
      </c>
      <c r="U168" s="73">
        <v>0</v>
      </c>
      <c r="V168" s="73">
        <v>0</v>
      </c>
      <c r="W168" s="73">
        <v>0</v>
      </c>
      <c r="X168" s="73">
        <v>0</v>
      </c>
      <c r="Y168" s="73">
        <v>0</v>
      </c>
      <c r="Z168" s="73">
        <v>1943</v>
      </c>
      <c r="AA168" s="73">
        <v>1565</v>
      </c>
      <c r="AB168" s="73">
        <v>0</v>
      </c>
      <c r="AC168" s="73">
        <v>0</v>
      </c>
      <c r="AD168" s="73">
        <v>0</v>
      </c>
      <c r="AE168" s="73">
        <v>0</v>
      </c>
      <c r="AF168" s="74">
        <f>tblData[[#This Row],[Gross Sales]]+tblData[[#This Row],[Trade Discounts]]+tblData[[#This Row],[Returns]]</f>
        <v>1425</v>
      </c>
      <c r="AG168" s="74">
        <f>tblData[[#This Row],[Material Cost]]+tblData[[#This Row],[Conversion Cost]]+tblData[[#This Row],[Inbound Freight]]</f>
        <v>-542</v>
      </c>
      <c r="AH168" s="74">
        <f>tblData[[#This Row],[Net Revenue]]+tblData[[#This Row],[COGS]]</f>
        <v>883</v>
      </c>
      <c r="AI168" s="74">
        <f>tblData[[#This Row],[Advertising]]+tblData[[#This Row],[Promotions]]</f>
        <v>-174</v>
      </c>
      <c r="AJ168" s="74">
        <f>tblData[[#This Row],[Outbound Logistics]]+tblData[[#This Row],[Direct Selling]]</f>
        <v>-101</v>
      </c>
      <c r="AK168" s="74">
        <f>tblData[[#This Row],[Gross Profit]]+tblData[[#This Row],[AP Spend]]+tblData[[#This Row],[Cost to Serve]]</f>
        <v>608</v>
      </c>
    </row>
    <row r="169" spans="2:37" x14ac:dyDescent="0.25">
      <c r="B169" s="71" t="s">
        <v>36</v>
      </c>
      <c r="C169" s="71">
        <v>2025</v>
      </c>
      <c r="D169" s="71">
        <v>4</v>
      </c>
      <c r="E169" s="71" t="s">
        <v>45</v>
      </c>
      <c r="F169" s="71" t="s">
        <v>39</v>
      </c>
      <c r="G169" s="72">
        <v>172.9</v>
      </c>
      <c r="H169" s="73">
        <v>1525</v>
      </c>
      <c r="I169" s="73">
        <v>-329</v>
      </c>
      <c r="J169" s="73">
        <v>-15</v>
      </c>
      <c r="K169" s="73">
        <v>-389</v>
      </c>
      <c r="L169" s="73">
        <v>-99</v>
      </c>
      <c r="M169" s="73">
        <v>-52</v>
      </c>
      <c r="N169" s="73">
        <v>-64</v>
      </c>
      <c r="O169" s="73">
        <v>-35</v>
      </c>
      <c r="P169" s="73">
        <v>-53</v>
      </c>
      <c r="Q169" s="73">
        <v>-31</v>
      </c>
      <c r="R169" s="73">
        <v>0</v>
      </c>
      <c r="S169" s="73">
        <v>0</v>
      </c>
      <c r="T169" s="73">
        <v>0</v>
      </c>
      <c r="U169" s="73">
        <v>0</v>
      </c>
      <c r="V169" s="73">
        <v>0</v>
      </c>
      <c r="W169" s="73">
        <v>0</v>
      </c>
      <c r="X169" s="73">
        <v>0</v>
      </c>
      <c r="Y169" s="73">
        <v>0</v>
      </c>
      <c r="Z169" s="73">
        <v>1684</v>
      </c>
      <c r="AA169" s="73">
        <v>1370</v>
      </c>
      <c r="AB169" s="73">
        <v>0</v>
      </c>
      <c r="AC169" s="73">
        <v>0</v>
      </c>
      <c r="AD169" s="73">
        <v>0</v>
      </c>
      <c r="AE169" s="73">
        <v>0</v>
      </c>
      <c r="AF169" s="74">
        <f>tblData[[#This Row],[Gross Sales]]+tblData[[#This Row],[Trade Discounts]]+tblData[[#This Row],[Returns]]</f>
        <v>1181</v>
      </c>
      <c r="AG169" s="74">
        <f>tblData[[#This Row],[Material Cost]]+tblData[[#This Row],[Conversion Cost]]+tblData[[#This Row],[Inbound Freight]]</f>
        <v>-540</v>
      </c>
      <c r="AH169" s="74">
        <f>tblData[[#This Row],[Net Revenue]]+tblData[[#This Row],[COGS]]</f>
        <v>641</v>
      </c>
      <c r="AI169" s="74">
        <f>tblData[[#This Row],[Advertising]]+tblData[[#This Row],[Promotions]]</f>
        <v>-99</v>
      </c>
      <c r="AJ169" s="74">
        <f>tblData[[#This Row],[Outbound Logistics]]+tblData[[#This Row],[Direct Selling]]</f>
        <v>-84</v>
      </c>
      <c r="AK169" s="74">
        <f>tblData[[#This Row],[Gross Profit]]+tblData[[#This Row],[AP Spend]]+tblData[[#This Row],[Cost to Serve]]</f>
        <v>458</v>
      </c>
    </row>
    <row r="170" spans="2:37" x14ac:dyDescent="0.25">
      <c r="B170" s="71" t="s">
        <v>36</v>
      </c>
      <c r="C170" s="71">
        <v>2025</v>
      </c>
      <c r="D170" s="71">
        <v>4</v>
      </c>
      <c r="E170" s="71" t="s">
        <v>45</v>
      </c>
      <c r="F170" s="71" t="s">
        <v>40</v>
      </c>
      <c r="G170" s="72">
        <v>166.9</v>
      </c>
      <c r="H170" s="73">
        <v>1145</v>
      </c>
      <c r="I170" s="73">
        <v>-247</v>
      </c>
      <c r="J170" s="73">
        <v>-11</v>
      </c>
      <c r="K170" s="73">
        <v>-325</v>
      </c>
      <c r="L170" s="73">
        <v>-82</v>
      </c>
      <c r="M170" s="73">
        <v>-44</v>
      </c>
      <c r="N170" s="73">
        <v>-32</v>
      </c>
      <c r="O170" s="73">
        <v>-17</v>
      </c>
      <c r="P170" s="73">
        <v>-40</v>
      </c>
      <c r="Q170" s="73">
        <v>-23</v>
      </c>
      <c r="R170" s="73">
        <v>0</v>
      </c>
      <c r="S170" s="73">
        <v>0</v>
      </c>
      <c r="T170" s="73">
        <v>0</v>
      </c>
      <c r="U170" s="73">
        <v>0</v>
      </c>
      <c r="V170" s="73">
        <v>0</v>
      </c>
      <c r="W170" s="73">
        <v>0</v>
      </c>
      <c r="X170" s="73">
        <v>0</v>
      </c>
      <c r="Y170" s="73">
        <v>0</v>
      </c>
      <c r="Z170" s="73">
        <v>1266</v>
      </c>
      <c r="AA170" s="73">
        <v>1074</v>
      </c>
      <c r="AB170" s="73">
        <v>0</v>
      </c>
      <c r="AC170" s="73">
        <v>0</v>
      </c>
      <c r="AD170" s="73">
        <v>0</v>
      </c>
      <c r="AE170" s="73">
        <v>0</v>
      </c>
      <c r="AF170" s="74">
        <f>tblData[[#This Row],[Gross Sales]]+tblData[[#This Row],[Trade Discounts]]+tblData[[#This Row],[Returns]]</f>
        <v>887</v>
      </c>
      <c r="AG170" s="74">
        <f>tblData[[#This Row],[Material Cost]]+tblData[[#This Row],[Conversion Cost]]+tblData[[#This Row],[Inbound Freight]]</f>
        <v>-451</v>
      </c>
      <c r="AH170" s="74">
        <f>tblData[[#This Row],[Net Revenue]]+tblData[[#This Row],[COGS]]</f>
        <v>436</v>
      </c>
      <c r="AI170" s="74">
        <f>tblData[[#This Row],[Advertising]]+tblData[[#This Row],[Promotions]]</f>
        <v>-49</v>
      </c>
      <c r="AJ170" s="74">
        <f>tblData[[#This Row],[Outbound Logistics]]+tblData[[#This Row],[Direct Selling]]</f>
        <v>-63</v>
      </c>
      <c r="AK170" s="74">
        <f>tblData[[#This Row],[Gross Profit]]+tblData[[#This Row],[AP Spend]]+tblData[[#This Row],[Cost to Serve]]</f>
        <v>324</v>
      </c>
    </row>
    <row r="171" spans="2:37" x14ac:dyDescent="0.25">
      <c r="B171" s="71" t="s">
        <v>36</v>
      </c>
      <c r="C171" s="71">
        <v>2025</v>
      </c>
      <c r="D171" s="71">
        <v>4</v>
      </c>
      <c r="E171" s="71" t="s">
        <v>45</v>
      </c>
      <c r="F171" s="71" t="s">
        <v>41</v>
      </c>
      <c r="G171" s="72">
        <v>82.4</v>
      </c>
      <c r="H171" s="73">
        <v>888</v>
      </c>
      <c r="I171" s="73">
        <v>-192</v>
      </c>
      <c r="J171" s="73">
        <v>-9</v>
      </c>
      <c r="K171" s="73">
        <v>-208</v>
      </c>
      <c r="L171" s="73">
        <v>-53</v>
      </c>
      <c r="M171" s="73">
        <v>-28</v>
      </c>
      <c r="N171" s="73">
        <v>-69</v>
      </c>
      <c r="O171" s="73">
        <v>-37</v>
      </c>
      <c r="P171" s="73">
        <v>-31</v>
      </c>
      <c r="Q171" s="73">
        <v>-18</v>
      </c>
      <c r="R171" s="73">
        <v>0</v>
      </c>
      <c r="S171" s="73">
        <v>0</v>
      </c>
      <c r="T171" s="73">
        <v>0</v>
      </c>
      <c r="U171" s="73">
        <v>0</v>
      </c>
      <c r="V171" s="73">
        <v>0</v>
      </c>
      <c r="W171" s="73">
        <v>0</v>
      </c>
      <c r="X171" s="73">
        <v>0</v>
      </c>
      <c r="Y171" s="73">
        <v>0</v>
      </c>
      <c r="Z171" s="73">
        <v>973</v>
      </c>
      <c r="AA171" s="73">
        <v>816</v>
      </c>
      <c r="AB171" s="73">
        <v>0</v>
      </c>
      <c r="AC171" s="73">
        <v>0</v>
      </c>
      <c r="AD171" s="73">
        <v>0</v>
      </c>
      <c r="AE171" s="73">
        <v>0</v>
      </c>
      <c r="AF171" s="74">
        <f>tblData[[#This Row],[Gross Sales]]+tblData[[#This Row],[Trade Discounts]]+tblData[[#This Row],[Returns]]</f>
        <v>687</v>
      </c>
      <c r="AG171" s="74">
        <f>tblData[[#This Row],[Material Cost]]+tblData[[#This Row],[Conversion Cost]]+tblData[[#This Row],[Inbound Freight]]</f>
        <v>-289</v>
      </c>
      <c r="AH171" s="74">
        <f>tblData[[#This Row],[Net Revenue]]+tblData[[#This Row],[COGS]]</f>
        <v>398</v>
      </c>
      <c r="AI171" s="74">
        <f>tblData[[#This Row],[Advertising]]+tblData[[#This Row],[Promotions]]</f>
        <v>-106</v>
      </c>
      <c r="AJ171" s="74">
        <f>tblData[[#This Row],[Outbound Logistics]]+tblData[[#This Row],[Direct Selling]]</f>
        <v>-49</v>
      </c>
      <c r="AK171" s="74">
        <f>tblData[[#This Row],[Gross Profit]]+tblData[[#This Row],[AP Spend]]+tblData[[#This Row],[Cost to Serve]]</f>
        <v>243</v>
      </c>
    </row>
    <row r="172" spans="2:37" x14ac:dyDescent="0.25">
      <c r="B172" s="71" t="s">
        <v>36</v>
      </c>
      <c r="C172" s="71">
        <v>2025</v>
      </c>
      <c r="D172" s="71">
        <v>4</v>
      </c>
      <c r="E172" s="71" t="s">
        <v>45</v>
      </c>
      <c r="F172" s="71" t="s">
        <v>42</v>
      </c>
      <c r="G172" s="72">
        <v>111.7</v>
      </c>
      <c r="H172" s="73">
        <v>657</v>
      </c>
      <c r="I172" s="73">
        <v>-142</v>
      </c>
      <c r="J172" s="73">
        <v>-7</v>
      </c>
      <c r="K172" s="73">
        <v>-205</v>
      </c>
      <c r="L172" s="73">
        <v>-52</v>
      </c>
      <c r="M172" s="73">
        <v>-27</v>
      </c>
      <c r="N172" s="73">
        <v>-13</v>
      </c>
      <c r="O172" s="73">
        <v>-7</v>
      </c>
      <c r="P172" s="73">
        <v>-23</v>
      </c>
      <c r="Q172" s="73">
        <v>-13</v>
      </c>
      <c r="R172" s="73">
        <v>0</v>
      </c>
      <c r="S172" s="73">
        <v>0</v>
      </c>
      <c r="T172" s="73">
        <v>0</v>
      </c>
      <c r="U172" s="73">
        <v>0</v>
      </c>
      <c r="V172" s="73">
        <v>0</v>
      </c>
      <c r="W172" s="73">
        <v>0</v>
      </c>
      <c r="X172" s="73">
        <v>0</v>
      </c>
      <c r="Y172" s="73">
        <v>0</v>
      </c>
      <c r="Z172" s="73">
        <v>708</v>
      </c>
      <c r="AA172" s="73">
        <v>969</v>
      </c>
      <c r="AB172" s="73">
        <v>0</v>
      </c>
      <c r="AC172" s="73">
        <v>0</v>
      </c>
      <c r="AD172" s="73">
        <v>0</v>
      </c>
      <c r="AE172" s="73">
        <v>0</v>
      </c>
      <c r="AF172" s="74">
        <f>tblData[[#This Row],[Gross Sales]]+tblData[[#This Row],[Trade Discounts]]+tblData[[#This Row],[Returns]]</f>
        <v>508</v>
      </c>
      <c r="AG172" s="74">
        <f>tblData[[#This Row],[Material Cost]]+tblData[[#This Row],[Conversion Cost]]+tblData[[#This Row],[Inbound Freight]]</f>
        <v>-284</v>
      </c>
      <c r="AH172" s="74">
        <f>tblData[[#This Row],[Net Revenue]]+tblData[[#This Row],[COGS]]</f>
        <v>224</v>
      </c>
      <c r="AI172" s="74">
        <f>tblData[[#This Row],[Advertising]]+tblData[[#This Row],[Promotions]]</f>
        <v>-20</v>
      </c>
      <c r="AJ172" s="74">
        <f>tblData[[#This Row],[Outbound Logistics]]+tblData[[#This Row],[Direct Selling]]</f>
        <v>-36</v>
      </c>
      <c r="AK172" s="74">
        <f>tblData[[#This Row],[Gross Profit]]+tblData[[#This Row],[AP Spend]]+tblData[[#This Row],[Cost to Serve]]</f>
        <v>168</v>
      </c>
    </row>
    <row r="173" spans="2:37" x14ac:dyDescent="0.25">
      <c r="B173" s="71" t="s">
        <v>36</v>
      </c>
      <c r="C173" s="71">
        <v>2025</v>
      </c>
      <c r="D173" s="71">
        <v>4</v>
      </c>
      <c r="E173" s="71" t="s">
        <v>45</v>
      </c>
      <c r="F173" s="71" t="s">
        <v>43</v>
      </c>
      <c r="G173" s="72">
        <v>21.9</v>
      </c>
      <c r="H173" s="73">
        <v>387</v>
      </c>
      <c r="I173" s="73">
        <v>-83</v>
      </c>
      <c r="J173" s="73">
        <v>-4</v>
      </c>
      <c r="K173" s="73">
        <v>-104</v>
      </c>
      <c r="L173" s="73">
        <v>-26</v>
      </c>
      <c r="M173" s="73">
        <v>-14</v>
      </c>
      <c r="N173" s="73">
        <v>-38</v>
      </c>
      <c r="O173" s="73">
        <v>-20</v>
      </c>
      <c r="P173" s="73">
        <v>-14</v>
      </c>
      <c r="Q173" s="73">
        <v>-8</v>
      </c>
      <c r="R173" s="73">
        <v>0</v>
      </c>
      <c r="S173" s="73">
        <v>0</v>
      </c>
      <c r="T173" s="73">
        <v>0</v>
      </c>
      <c r="U173" s="73">
        <v>0</v>
      </c>
      <c r="V173" s="73">
        <v>0</v>
      </c>
      <c r="W173" s="73">
        <v>0</v>
      </c>
      <c r="X173" s="73">
        <v>0</v>
      </c>
      <c r="Y173" s="73">
        <v>0</v>
      </c>
      <c r="Z173" s="73">
        <v>413</v>
      </c>
      <c r="AA173" s="73">
        <v>532</v>
      </c>
      <c r="AB173" s="73">
        <v>0</v>
      </c>
      <c r="AC173" s="73">
        <v>0</v>
      </c>
      <c r="AD173" s="73">
        <v>0</v>
      </c>
      <c r="AE173" s="73">
        <v>0</v>
      </c>
      <c r="AF173" s="74">
        <f>tblData[[#This Row],[Gross Sales]]+tblData[[#This Row],[Trade Discounts]]+tblData[[#This Row],[Returns]]</f>
        <v>300</v>
      </c>
      <c r="AG173" s="74">
        <f>tblData[[#This Row],[Material Cost]]+tblData[[#This Row],[Conversion Cost]]+tblData[[#This Row],[Inbound Freight]]</f>
        <v>-144</v>
      </c>
      <c r="AH173" s="74">
        <f>tblData[[#This Row],[Net Revenue]]+tblData[[#This Row],[COGS]]</f>
        <v>156</v>
      </c>
      <c r="AI173" s="74">
        <f>tblData[[#This Row],[Advertising]]+tblData[[#This Row],[Promotions]]</f>
        <v>-58</v>
      </c>
      <c r="AJ173" s="74">
        <f>tblData[[#This Row],[Outbound Logistics]]+tblData[[#This Row],[Direct Selling]]</f>
        <v>-22</v>
      </c>
      <c r="AK173" s="74">
        <f>tblData[[#This Row],[Gross Profit]]+tblData[[#This Row],[AP Spend]]+tblData[[#This Row],[Cost to Serve]]</f>
        <v>76</v>
      </c>
    </row>
    <row r="174" spans="2:37" x14ac:dyDescent="0.25">
      <c r="B174" s="71" t="s">
        <v>36</v>
      </c>
      <c r="C174" s="71">
        <v>2025</v>
      </c>
      <c r="D174" s="71">
        <v>4</v>
      </c>
      <c r="E174" s="71" t="s">
        <v>46</v>
      </c>
      <c r="F174" s="71" t="s">
        <v>38</v>
      </c>
      <c r="G174" s="72">
        <v>135</v>
      </c>
      <c r="H174" s="73">
        <v>1853</v>
      </c>
      <c r="I174" s="73">
        <v>-196</v>
      </c>
      <c r="J174" s="73">
        <v>-74</v>
      </c>
      <c r="K174" s="73">
        <v>-394</v>
      </c>
      <c r="L174" s="73">
        <v>-100</v>
      </c>
      <c r="M174" s="73">
        <v>-53</v>
      </c>
      <c r="N174" s="73">
        <v>-129</v>
      </c>
      <c r="O174" s="73">
        <v>-69</v>
      </c>
      <c r="P174" s="73">
        <v>-139</v>
      </c>
      <c r="Q174" s="73">
        <v>-37</v>
      </c>
      <c r="R174" s="73">
        <v>0</v>
      </c>
      <c r="S174" s="73">
        <v>0</v>
      </c>
      <c r="T174" s="73">
        <v>0</v>
      </c>
      <c r="U174" s="73">
        <v>0</v>
      </c>
      <c r="V174" s="73">
        <v>0</v>
      </c>
      <c r="W174" s="73">
        <v>0</v>
      </c>
      <c r="X174" s="73">
        <v>0</v>
      </c>
      <c r="Y174" s="73">
        <v>0</v>
      </c>
      <c r="Z174" s="73">
        <v>1229</v>
      </c>
      <c r="AA174" s="73">
        <v>1615</v>
      </c>
      <c r="AB174" s="73">
        <v>0</v>
      </c>
      <c r="AC174" s="73">
        <v>0</v>
      </c>
      <c r="AD174" s="73">
        <v>0</v>
      </c>
      <c r="AE174" s="73">
        <v>0</v>
      </c>
      <c r="AF174" s="74">
        <f>tblData[[#This Row],[Gross Sales]]+tblData[[#This Row],[Trade Discounts]]+tblData[[#This Row],[Returns]]</f>
        <v>1583</v>
      </c>
      <c r="AG174" s="74">
        <f>tblData[[#This Row],[Material Cost]]+tblData[[#This Row],[Conversion Cost]]+tblData[[#This Row],[Inbound Freight]]</f>
        <v>-547</v>
      </c>
      <c r="AH174" s="74">
        <f>tblData[[#This Row],[Net Revenue]]+tblData[[#This Row],[COGS]]</f>
        <v>1036</v>
      </c>
      <c r="AI174" s="74">
        <f>tblData[[#This Row],[Advertising]]+tblData[[#This Row],[Promotions]]</f>
        <v>-198</v>
      </c>
      <c r="AJ174" s="74">
        <f>tblData[[#This Row],[Outbound Logistics]]+tblData[[#This Row],[Direct Selling]]</f>
        <v>-176</v>
      </c>
      <c r="AK174" s="74">
        <f>tblData[[#This Row],[Gross Profit]]+tblData[[#This Row],[AP Spend]]+tblData[[#This Row],[Cost to Serve]]</f>
        <v>662</v>
      </c>
    </row>
    <row r="175" spans="2:37" x14ac:dyDescent="0.25">
      <c r="B175" s="71" t="s">
        <v>36</v>
      </c>
      <c r="C175" s="71">
        <v>2025</v>
      </c>
      <c r="D175" s="71">
        <v>4</v>
      </c>
      <c r="E175" s="71" t="s">
        <v>46</v>
      </c>
      <c r="F175" s="71" t="s">
        <v>39</v>
      </c>
      <c r="G175" s="72">
        <v>176.5</v>
      </c>
      <c r="H175" s="73">
        <v>1556</v>
      </c>
      <c r="I175" s="73">
        <v>-165</v>
      </c>
      <c r="J175" s="73">
        <v>-62</v>
      </c>
      <c r="K175" s="73">
        <v>-397</v>
      </c>
      <c r="L175" s="73">
        <v>-101</v>
      </c>
      <c r="M175" s="73">
        <v>-53</v>
      </c>
      <c r="N175" s="73">
        <v>-74</v>
      </c>
      <c r="O175" s="73">
        <v>-40</v>
      </c>
      <c r="P175" s="73">
        <v>-117</v>
      </c>
      <c r="Q175" s="73">
        <v>-31</v>
      </c>
      <c r="R175" s="73">
        <v>0</v>
      </c>
      <c r="S175" s="73">
        <v>0</v>
      </c>
      <c r="T175" s="73">
        <v>0</v>
      </c>
      <c r="U175" s="73">
        <v>0</v>
      </c>
      <c r="V175" s="73">
        <v>0</v>
      </c>
      <c r="W175" s="73">
        <v>0</v>
      </c>
      <c r="X175" s="73">
        <v>0</v>
      </c>
      <c r="Y175" s="73">
        <v>0</v>
      </c>
      <c r="Z175" s="73">
        <v>1066</v>
      </c>
      <c r="AA175" s="73">
        <v>1415</v>
      </c>
      <c r="AB175" s="73">
        <v>0</v>
      </c>
      <c r="AC175" s="73">
        <v>0</v>
      </c>
      <c r="AD175" s="73">
        <v>0</v>
      </c>
      <c r="AE175" s="73">
        <v>0</v>
      </c>
      <c r="AF175" s="74">
        <f>tblData[[#This Row],[Gross Sales]]+tblData[[#This Row],[Trade Discounts]]+tblData[[#This Row],[Returns]]</f>
        <v>1329</v>
      </c>
      <c r="AG175" s="74">
        <f>tblData[[#This Row],[Material Cost]]+tblData[[#This Row],[Conversion Cost]]+tblData[[#This Row],[Inbound Freight]]</f>
        <v>-551</v>
      </c>
      <c r="AH175" s="74">
        <f>tblData[[#This Row],[Net Revenue]]+tblData[[#This Row],[COGS]]</f>
        <v>778</v>
      </c>
      <c r="AI175" s="74">
        <f>tblData[[#This Row],[Advertising]]+tblData[[#This Row],[Promotions]]</f>
        <v>-114</v>
      </c>
      <c r="AJ175" s="74">
        <f>tblData[[#This Row],[Outbound Logistics]]+tblData[[#This Row],[Direct Selling]]</f>
        <v>-148</v>
      </c>
      <c r="AK175" s="74">
        <f>tblData[[#This Row],[Gross Profit]]+tblData[[#This Row],[AP Spend]]+tblData[[#This Row],[Cost to Serve]]</f>
        <v>516</v>
      </c>
    </row>
    <row r="176" spans="2:37" x14ac:dyDescent="0.25">
      <c r="B176" s="71" t="s">
        <v>36</v>
      </c>
      <c r="C176" s="71">
        <v>2025</v>
      </c>
      <c r="D176" s="71">
        <v>4</v>
      </c>
      <c r="E176" s="71" t="s">
        <v>46</v>
      </c>
      <c r="F176" s="71" t="s">
        <v>40</v>
      </c>
      <c r="G176" s="72">
        <v>174.3</v>
      </c>
      <c r="H176" s="73">
        <v>1196</v>
      </c>
      <c r="I176" s="73">
        <v>-127</v>
      </c>
      <c r="J176" s="73">
        <v>-48</v>
      </c>
      <c r="K176" s="73">
        <v>-339</v>
      </c>
      <c r="L176" s="73">
        <v>-86</v>
      </c>
      <c r="M176" s="73">
        <v>-45</v>
      </c>
      <c r="N176" s="73">
        <v>-37</v>
      </c>
      <c r="O176" s="73">
        <v>-20</v>
      </c>
      <c r="P176" s="73">
        <v>-90</v>
      </c>
      <c r="Q176" s="73">
        <v>-24</v>
      </c>
      <c r="R176" s="73">
        <v>0</v>
      </c>
      <c r="S176" s="73">
        <v>0</v>
      </c>
      <c r="T176" s="73">
        <v>0</v>
      </c>
      <c r="U176" s="73">
        <v>0</v>
      </c>
      <c r="V176" s="73">
        <v>0</v>
      </c>
      <c r="W176" s="73">
        <v>0</v>
      </c>
      <c r="X176" s="73">
        <v>0</v>
      </c>
      <c r="Y176" s="73">
        <v>0</v>
      </c>
      <c r="Z176" s="73">
        <v>795</v>
      </c>
      <c r="AA176" s="73">
        <v>1099</v>
      </c>
      <c r="AB176" s="73">
        <v>0</v>
      </c>
      <c r="AC176" s="73">
        <v>0</v>
      </c>
      <c r="AD176" s="73">
        <v>0</v>
      </c>
      <c r="AE176" s="73">
        <v>0</v>
      </c>
      <c r="AF176" s="74">
        <f>tblData[[#This Row],[Gross Sales]]+tblData[[#This Row],[Trade Discounts]]+tblData[[#This Row],[Returns]]</f>
        <v>1021</v>
      </c>
      <c r="AG176" s="74">
        <f>tblData[[#This Row],[Material Cost]]+tblData[[#This Row],[Conversion Cost]]+tblData[[#This Row],[Inbound Freight]]</f>
        <v>-470</v>
      </c>
      <c r="AH176" s="74">
        <f>tblData[[#This Row],[Net Revenue]]+tblData[[#This Row],[COGS]]</f>
        <v>551</v>
      </c>
      <c r="AI176" s="74">
        <f>tblData[[#This Row],[Advertising]]+tblData[[#This Row],[Promotions]]</f>
        <v>-57</v>
      </c>
      <c r="AJ176" s="74">
        <f>tblData[[#This Row],[Outbound Logistics]]+tblData[[#This Row],[Direct Selling]]</f>
        <v>-114</v>
      </c>
      <c r="AK176" s="74">
        <f>tblData[[#This Row],[Gross Profit]]+tblData[[#This Row],[AP Spend]]+tblData[[#This Row],[Cost to Serve]]</f>
        <v>380</v>
      </c>
    </row>
    <row r="177" spans="2:37" x14ac:dyDescent="0.25">
      <c r="B177" s="71" t="s">
        <v>36</v>
      </c>
      <c r="C177" s="71">
        <v>2025</v>
      </c>
      <c r="D177" s="71">
        <v>4</v>
      </c>
      <c r="E177" s="71" t="s">
        <v>46</v>
      </c>
      <c r="F177" s="71" t="s">
        <v>41</v>
      </c>
      <c r="G177" s="72">
        <v>85.8</v>
      </c>
      <c r="H177" s="73">
        <v>925</v>
      </c>
      <c r="I177" s="73">
        <v>-98</v>
      </c>
      <c r="J177" s="73">
        <v>-37</v>
      </c>
      <c r="K177" s="73">
        <v>-216</v>
      </c>
      <c r="L177" s="73">
        <v>-55</v>
      </c>
      <c r="M177" s="73">
        <v>-29</v>
      </c>
      <c r="N177" s="73">
        <v>-79</v>
      </c>
      <c r="O177" s="73">
        <v>-42</v>
      </c>
      <c r="P177" s="73">
        <v>-69</v>
      </c>
      <c r="Q177" s="73">
        <v>-18</v>
      </c>
      <c r="R177" s="73">
        <v>0</v>
      </c>
      <c r="S177" s="73">
        <v>0</v>
      </c>
      <c r="T177" s="73">
        <v>0</v>
      </c>
      <c r="U177" s="73">
        <v>0</v>
      </c>
      <c r="V177" s="73">
        <v>0</v>
      </c>
      <c r="W177" s="73">
        <v>0</v>
      </c>
      <c r="X177" s="73">
        <v>0</v>
      </c>
      <c r="Y177" s="73">
        <v>0</v>
      </c>
      <c r="Z177" s="73">
        <v>613</v>
      </c>
      <c r="AA177" s="73">
        <v>840</v>
      </c>
      <c r="AB177" s="73">
        <v>0</v>
      </c>
      <c r="AC177" s="73">
        <v>0</v>
      </c>
      <c r="AD177" s="73">
        <v>0</v>
      </c>
      <c r="AE177" s="73">
        <v>0</v>
      </c>
      <c r="AF177" s="74">
        <f>tblData[[#This Row],[Gross Sales]]+tblData[[#This Row],[Trade Discounts]]+tblData[[#This Row],[Returns]]</f>
        <v>790</v>
      </c>
      <c r="AG177" s="74">
        <f>tblData[[#This Row],[Material Cost]]+tblData[[#This Row],[Conversion Cost]]+tblData[[#This Row],[Inbound Freight]]</f>
        <v>-300</v>
      </c>
      <c r="AH177" s="74">
        <f>tblData[[#This Row],[Net Revenue]]+tblData[[#This Row],[COGS]]</f>
        <v>490</v>
      </c>
      <c r="AI177" s="74">
        <f>tblData[[#This Row],[Advertising]]+tblData[[#This Row],[Promotions]]</f>
        <v>-121</v>
      </c>
      <c r="AJ177" s="74">
        <f>tblData[[#This Row],[Outbound Logistics]]+tblData[[#This Row],[Direct Selling]]</f>
        <v>-87</v>
      </c>
      <c r="AK177" s="74">
        <f>tblData[[#This Row],[Gross Profit]]+tblData[[#This Row],[AP Spend]]+tblData[[#This Row],[Cost to Serve]]</f>
        <v>282</v>
      </c>
    </row>
    <row r="178" spans="2:37" x14ac:dyDescent="0.25">
      <c r="B178" s="71" t="s">
        <v>36</v>
      </c>
      <c r="C178" s="71">
        <v>2025</v>
      </c>
      <c r="D178" s="71">
        <v>4</v>
      </c>
      <c r="E178" s="71" t="s">
        <v>46</v>
      </c>
      <c r="F178" s="71" t="s">
        <v>42</v>
      </c>
      <c r="G178" s="72">
        <v>112.3</v>
      </c>
      <c r="H178" s="73">
        <v>660</v>
      </c>
      <c r="I178" s="73">
        <v>-70</v>
      </c>
      <c r="J178" s="73">
        <v>-26</v>
      </c>
      <c r="K178" s="73">
        <v>-206</v>
      </c>
      <c r="L178" s="73">
        <v>-52</v>
      </c>
      <c r="M178" s="73">
        <v>-28</v>
      </c>
      <c r="N178" s="73">
        <v>-15</v>
      </c>
      <c r="O178" s="73">
        <v>-8</v>
      </c>
      <c r="P178" s="73">
        <v>-50</v>
      </c>
      <c r="Q178" s="73">
        <v>-13</v>
      </c>
      <c r="R178" s="73">
        <v>0</v>
      </c>
      <c r="S178" s="73">
        <v>0</v>
      </c>
      <c r="T178" s="73">
        <v>0</v>
      </c>
      <c r="U178" s="73">
        <v>0</v>
      </c>
      <c r="V178" s="73">
        <v>0</v>
      </c>
      <c r="W178" s="73">
        <v>0</v>
      </c>
      <c r="X178" s="73">
        <v>0</v>
      </c>
      <c r="Y178" s="73">
        <v>0</v>
      </c>
      <c r="Z178" s="73">
        <v>447</v>
      </c>
      <c r="AA178" s="73">
        <v>997</v>
      </c>
      <c r="AB178" s="73">
        <v>0</v>
      </c>
      <c r="AC178" s="73">
        <v>0</v>
      </c>
      <c r="AD178" s="73">
        <v>0</v>
      </c>
      <c r="AE178" s="73">
        <v>0</v>
      </c>
      <c r="AF178" s="74">
        <f>tblData[[#This Row],[Gross Sales]]+tblData[[#This Row],[Trade Discounts]]+tblData[[#This Row],[Returns]]</f>
        <v>564</v>
      </c>
      <c r="AG178" s="74">
        <f>tblData[[#This Row],[Material Cost]]+tblData[[#This Row],[Conversion Cost]]+tblData[[#This Row],[Inbound Freight]]</f>
        <v>-286</v>
      </c>
      <c r="AH178" s="74">
        <f>tblData[[#This Row],[Net Revenue]]+tblData[[#This Row],[COGS]]</f>
        <v>278</v>
      </c>
      <c r="AI178" s="74">
        <f>tblData[[#This Row],[Advertising]]+tblData[[#This Row],[Promotions]]</f>
        <v>-23</v>
      </c>
      <c r="AJ178" s="74">
        <f>tblData[[#This Row],[Outbound Logistics]]+tblData[[#This Row],[Direct Selling]]</f>
        <v>-63</v>
      </c>
      <c r="AK178" s="74">
        <f>tblData[[#This Row],[Gross Profit]]+tblData[[#This Row],[AP Spend]]+tblData[[#This Row],[Cost to Serve]]</f>
        <v>192</v>
      </c>
    </row>
    <row r="179" spans="2:37" x14ac:dyDescent="0.25">
      <c r="B179" s="71" t="s">
        <v>36</v>
      </c>
      <c r="C179" s="71">
        <v>2025</v>
      </c>
      <c r="D179" s="71">
        <v>4</v>
      </c>
      <c r="E179" s="71" t="s">
        <v>46</v>
      </c>
      <c r="F179" s="71" t="s">
        <v>43</v>
      </c>
      <c r="G179" s="72">
        <v>22.9</v>
      </c>
      <c r="H179" s="73">
        <v>405</v>
      </c>
      <c r="I179" s="73">
        <v>-43</v>
      </c>
      <c r="J179" s="73">
        <v>-16</v>
      </c>
      <c r="K179" s="73">
        <v>-109</v>
      </c>
      <c r="L179" s="73">
        <v>-28</v>
      </c>
      <c r="M179" s="73">
        <v>-15</v>
      </c>
      <c r="N179" s="73">
        <v>-43</v>
      </c>
      <c r="O179" s="73">
        <v>-23</v>
      </c>
      <c r="P179" s="73">
        <v>-30</v>
      </c>
      <c r="Q179" s="73">
        <v>-8</v>
      </c>
      <c r="R179" s="73">
        <v>0</v>
      </c>
      <c r="S179" s="73">
        <v>0</v>
      </c>
      <c r="T179" s="73">
        <v>0</v>
      </c>
      <c r="U179" s="73">
        <v>0</v>
      </c>
      <c r="V179" s="73">
        <v>0</v>
      </c>
      <c r="W179" s="73">
        <v>0</v>
      </c>
      <c r="X179" s="73">
        <v>0</v>
      </c>
      <c r="Y179" s="73">
        <v>0</v>
      </c>
      <c r="Z179" s="73">
        <v>266</v>
      </c>
      <c r="AA179" s="73">
        <v>558</v>
      </c>
      <c r="AB179" s="73">
        <v>0</v>
      </c>
      <c r="AC179" s="73">
        <v>0</v>
      </c>
      <c r="AD179" s="73">
        <v>0</v>
      </c>
      <c r="AE179" s="73">
        <v>0</v>
      </c>
      <c r="AF179" s="74">
        <f>tblData[[#This Row],[Gross Sales]]+tblData[[#This Row],[Trade Discounts]]+tblData[[#This Row],[Returns]]</f>
        <v>346</v>
      </c>
      <c r="AG179" s="74">
        <f>tblData[[#This Row],[Material Cost]]+tblData[[#This Row],[Conversion Cost]]+tblData[[#This Row],[Inbound Freight]]</f>
        <v>-152</v>
      </c>
      <c r="AH179" s="74">
        <f>tblData[[#This Row],[Net Revenue]]+tblData[[#This Row],[COGS]]</f>
        <v>194</v>
      </c>
      <c r="AI179" s="74">
        <f>tblData[[#This Row],[Advertising]]+tblData[[#This Row],[Promotions]]</f>
        <v>-66</v>
      </c>
      <c r="AJ179" s="74">
        <f>tblData[[#This Row],[Outbound Logistics]]+tblData[[#This Row],[Direct Selling]]</f>
        <v>-38</v>
      </c>
      <c r="AK179" s="74">
        <f>tblData[[#This Row],[Gross Profit]]+tblData[[#This Row],[AP Spend]]+tblData[[#This Row],[Cost to Serve]]</f>
        <v>90</v>
      </c>
    </row>
    <row r="180" spans="2:37" x14ac:dyDescent="0.25">
      <c r="B180" s="71" t="s">
        <v>36</v>
      </c>
      <c r="C180" s="71">
        <v>2025</v>
      </c>
      <c r="D180" s="71">
        <v>4</v>
      </c>
      <c r="E180" s="71" t="s">
        <v>47</v>
      </c>
      <c r="F180" s="71" t="s">
        <v>38</v>
      </c>
      <c r="G180" s="72">
        <v>57.7</v>
      </c>
      <c r="H180" s="73">
        <v>791</v>
      </c>
      <c r="I180" s="73">
        <v>-21</v>
      </c>
      <c r="J180" s="73">
        <v>-40</v>
      </c>
      <c r="K180" s="73">
        <v>-168</v>
      </c>
      <c r="L180" s="73">
        <v>-43</v>
      </c>
      <c r="M180" s="73">
        <v>-23</v>
      </c>
      <c r="N180" s="73">
        <v>-48</v>
      </c>
      <c r="O180" s="73">
        <v>-26</v>
      </c>
      <c r="P180" s="73">
        <v>-95</v>
      </c>
      <c r="Q180" s="73">
        <v>-32</v>
      </c>
      <c r="R180" s="73">
        <v>0</v>
      </c>
      <c r="S180" s="73">
        <v>0</v>
      </c>
      <c r="T180" s="73">
        <v>0</v>
      </c>
      <c r="U180" s="73">
        <v>0</v>
      </c>
      <c r="V180" s="73">
        <v>0</v>
      </c>
      <c r="W180" s="73">
        <v>0</v>
      </c>
      <c r="X180" s="73">
        <v>0</v>
      </c>
      <c r="Y180" s="73">
        <v>0</v>
      </c>
      <c r="Z180" s="73">
        <v>68</v>
      </c>
      <c r="AA180" s="73">
        <v>685</v>
      </c>
      <c r="AB180" s="73">
        <v>0</v>
      </c>
      <c r="AC180" s="73">
        <v>0</v>
      </c>
      <c r="AD180" s="73">
        <v>0</v>
      </c>
      <c r="AE180" s="73">
        <v>0</v>
      </c>
      <c r="AF180" s="74">
        <f>tblData[[#This Row],[Gross Sales]]+tblData[[#This Row],[Trade Discounts]]+tblData[[#This Row],[Returns]]</f>
        <v>730</v>
      </c>
      <c r="AG180" s="74">
        <f>tblData[[#This Row],[Material Cost]]+tblData[[#This Row],[Conversion Cost]]+tblData[[#This Row],[Inbound Freight]]</f>
        <v>-234</v>
      </c>
      <c r="AH180" s="74">
        <f>tblData[[#This Row],[Net Revenue]]+tblData[[#This Row],[COGS]]</f>
        <v>496</v>
      </c>
      <c r="AI180" s="74">
        <f>tblData[[#This Row],[Advertising]]+tblData[[#This Row],[Promotions]]</f>
        <v>-74</v>
      </c>
      <c r="AJ180" s="74">
        <f>tblData[[#This Row],[Outbound Logistics]]+tblData[[#This Row],[Direct Selling]]</f>
        <v>-127</v>
      </c>
      <c r="AK180" s="74">
        <f>tblData[[#This Row],[Gross Profit]]+tblData[[#This Row],[AP Spend]]+tblData[[#This Row],[Cost to Serve]]</f>
        <v>295</v>
      </c>
    </row>
    <row r="181" spans="2:37" x14ac:dyDescent="0.25">
      <c r="B181" s="71" t="s">
        <v>36</v>
      </c>
      <c r="C181" s="71">
        <v>2025</v>
      </c>
      <c r="D181" s="71">
        <v>4</v>
      </c>
      <c r="E181" s="71" t="s">
        <v>47</v>
      </c>
      <c r="F181" s="71" t="s">
        <v>39</v>
      </c>
      <c r="G181" s="72">
        <v>75.8</v>
      </c>
      <c r="H181" s="73">
        <v>668</v>
      </c>
      <c r="I181" s="73">
        <v>-17</v>
      </c>
      <c r="J181" s="73">
        <v>-33</v>
      </c>
      <c r="K181" s="73">
        <v>-171</v>
      </c>
      <c r="L181" s="73">
        <v>-43</v>
      </c>
      <c r="M181" s="73">
        <v>-23</v>
      </c>
      <c r="N181" s="73">
        <v>-28</v>
      </c>
      <c r="O181" s="73">
        <v>-15</v>
      </c>
      <c r="P181" s="73">
        <v>-80</v>
      </c>
      <c r="Q181" s="73">
        <v>-27</v>
      </c>
      <c r="R181" s="73">
        <v>0</v>
      </c>
      <c r="S181" s="73">
        <v>0</v>
      </c>
      <c r="T181" s="73">
        <v>0</v>
      </c>
      <c r="U181" s="73">
        <v>0</v>
      </c>
      <c r="V181" s="73">
        <v>0</v>
      </c>
      <c r="W181" s="73">
        <v>0</v>
      </c>
      <c r="X181" s="73">
        <v>0</v>
      </c>
      <c r="Y181" s="73">
        <v>0</v>
      </c>
      <c r="Z181" s="73">
        <v>57</v>
      </c>
      <c r="AA181" s="73">
        <v>581</v>
      </c>
      <c r="AB181" s="73">
        <v>0</v>
      </c>
      <c r="AC181" s="73">
        <v>0</v>
      </c>
      <c r="AD181" s="73">
        <v>0</v>
      </c>
      <c r="AE181" s="73">
        <v>0</v>
      </c>
      <c r="AF181" s="74">
        <f>tblData[[#This Row],[Gross Sales]]+tblData[[#This Row],[Trade Discounts]]+tblData[[#This Row],[Returns]]</f>
        <v>618</v>
      </c>
      <c r="AG181" s="74">
        <f>tblData[[#This Row],[Material Cost]]+tblData[[#This Row],[Conversion Cost]]+tblData[[#This Row],[Inbound Freight]]</f>
        <v>-237</v>
      </c>
      <c r="AH181" s="74">
        <f>tblData[[#This Row],[Net Revenue]]+tblData[[#This Row],[COGS]]</f>
        <v>381</v>
      </c>
      <c r="AI181" s="74">
        <f>tblData[[#This Row],[Advertising]]+tblData[[#This Row],[Promotions]]</f>
        <v>-43</v>
      </c>
      <c r="AJ181" s="74">
        <f>tblData[[#This Row],[Outbound Logistics]]+tblData[[#This Row],[Direct Selling]]</f>
        <v>-107</v>
      </c>
      <c r="AK181" s="74">
        <f>tblData[[#This Row],[Gross Profit]]+tblData[[#This Row],[AP Spend]]+tblData[[#This Row],[Cost to Serve]]</f>
        <v>231</v>
      </c>
    </row>
    <row r="182" spans="2:37" x14ac:dyDescent="0.25">
      <c r="B182" s="71" t="s">
        <v>36</v>
      </c>
      <c r="C182" s="71">
        <v>2025</v>
      </c>
      <c r="D182" s="71">
        <v>4</v>
      </c>
      <c r="E182" s="71" t="s">
        <v>47</v>
      </c>
      <c r="F182" s="71" t="s">
        <v>40</v>
      </c>
      <c r="G182" s="72">
        <v>69.8</v>
      </c>
      <c r="H182" s="73">
        <v>479</v>
      </c>
      <c r="I182" s="73">
        <v>-12</v>
      </c>
      <c r="J182" s="73">
        <v>-24</v>
      </c>
      <c r="K182" s="73">
        <v>-136</v>
      </c>
      <c r="L182" s="73">
        <v>-34</v>
      </c>
      <c r="M182" s="73">
        <v>-18</v>
      </c>
      <c r="N182" s="73">
        <v>-14</v>
      </c>
      <c r="O182" s="73">
        <v>-7</v>
      </c>
      <c r="P182" s="73">
        <v>-57</v>
      </c>
      <c r="Q182" s="73">
        <v>-19</v>
      </c>
      <c r="R182" s="73">
        <v>0</v>
      </c>
      <c r="S182" s="73">
        <v>0</v>
      </c>
      <c r="T182" s="73">
        <v>0</v>
      </c>
      <c r="U182" s="73">
        <v>0</v>
      </c>
      <c r="V182" s="73">
        <v>0</v>
      </c>
      <c r="W182" s="73">
        <v>0</v>
      </c>
      <c r="X182" s="73">
        <v>0</v>
      </c>
      <c r="Y182" s="73">
        <v>0</v>
      </c>
      <c r="Z182" s="73">
        <v>43</v>
      </c>
      <c r="AA182" s="73">
        <v>456</v>
      </c>
      <c r="AB182" s="73">
        <v>0</v>
      </c>
      <c r="AC182" s="73">
        <v>0</v>
      </c>
      <c r="AD182" s="73">
        <v>0</v>
      </c>
      <c r="AE182" s="73">
        <v>0</v>
      </c>
      <c r="AF182" s="74">
        <f>tblData[[#This Row],[Gross Sales]]+tblData[[#This Row],[Trade Discounts]]+tblData[[#This Row],[Returns]]</f>
        <v>443</v>
      </c>
      <c r="AG182" s="74">
        <f>tblData[[#This Row],[Material Cost]]+tblData[[#This Row],[Conversion Cost]]+tblData[[#This Row],[Inbound Freight]]</f>
        <v>-188</v>
      </c>
      <c r="AH182" s="74">
        <f>tblData[[#This Row],[Net Revenue]]+tblData[[#This Row],[COGS]]</f>
        <v>255</v>
      </c>
      <c r="AI182" s="74">
        <f>tblData[[#This Row],[Advertising]]+tblData[[#This Row],[Promotions]]</f>
        <v>-21</v>
      </c>
      <c r="AJ182" s="74">
        <f>tblData[[#This Row],[Outbound Logistics]]+tblData[[#This Row],[Direct Selling]]</f>
        <v>-76</v>
      </c>
      <c r="AK182" s="74">
        <f>tblData[[#This Row],[Gross Profit]]+tblData[[#This Row],[AP Spend]]+tblData[[#This Row],[Cost to Serve]]</f>
        <v>158</v>
      </c>
    </row>
    <row r="183" spans="2:37" x14ac:dyDescent="0.25">
      <c r="B183" s="71" t="s">
        <v>36</v>
      </c>
      <c r="C183" s="71">
        <v>2025</v>
      </c>
      <c r="D183" s="71">
        <v>4</v>
      </c>
      <c r="E183" s="71" t="s">
        <v>47</v>
      </c>
      <c r="F183" s="71" t="s">
        <v>41</v>
      </c>
      <c r="G183" s="72">
        <v>35.4</v>
      </c>
      <c r="H183" s="73">
        <v>382</v>
      </c>
      <c r="I183" s="73">
        <v>-10</v>
      </c>
      <c r="J183" s="73">
        <v>-19</v>
      </c>
      <c r="K183" s="73">
        <v>-89</v>
      </c>
      <c r="L183" s="73">
        <v>-23</v>
      </c>
      <c r="M183" s="73">
        <v>-12</v>
      </c>
      <c r="N183" s="73">
        <v>-30</v>
      </c>
      <c r="O183" s="73">
        <v>-16</v>
      </c>
      <c r="P183" s="73">
        <v>-46</v>
      </c>
      <c r="Q183" s="73">
        <v>-15</v>
      </c>
      <c r="R183" s="73">
        <v>0</v>
      </c>
      <c r="S183" s="73">
        <v>0</v>
      </c>
      <c r="T183" s="73">
        <v>0</v>
      </c>
      <c r="U183" s="73">
        <v>0</v>
      </c>
      <c r="V183" s="73">
        <v>0</v>
      </c>
      <c r="W183" s="73">
        <v>0</v>
      </c>
      <c r="X183" s="73">
        <v>0</v>
      </c>
      <c r="Y183" s="73">
        <v>0</v>
      </c>
      <c r="Z183" s="73">
        <v>34</v>
      </c>
      <c r="AA183" s="73">
        <v>356</v>
      </c>
      <c r="AB183" s="73">
        <v>0</v>
      </c>
      <c r="AC183" s="73">
        <v>0</v>
      </c>
      <c r="AD183" s="73">
        <v>0</v>
      </c>
      <c r="AE183" s="73">
        <v>0</v>
      </c>
      <c r="AF183" s="74">
        <f>tblData[[#This Row],[Gross Sales]]+tblData[[#This Row],[Trade Discounts]]+tblData[[#This Row],[Returns]]</f>
        <v>353</v>
      </c>
      <c r="AG183" s="74">
        <f>tblData[[#This Row],[Material Cost]]+tblData[[#This Row],[Conversion Cost]]+tblData[[#This Row],[Inbound Freight]]</f>
        <v>-124</v>
      </c>
      <c r="AH183" s="74">
        <f>tblData[[#This Row],[Net Revenue]]+tblData[[#This Row],[COGS]]</f>
        <v>229</v>
      </c>
      <c r="AI183" s="74">
        <f>tblData[[#This Row],[Advertising]]+tblData[[#This Row],[Promotions]]</f>
        <v>-46</v>
      </c>
      <c r="AJ183" s="74">
        <f>tblData[[#This Row],[Outbound Logistics]]+tblData[[#This Row],[Direct Selling]]</f>
        <v>-61</v>
      </c>
      <c r="AK183" s="74">
        <f>tblData[[#This Row],[Gross Profit]]+tblData[[#This Row],[AP Spend]]+tblData[[#This Row],[Cost to Serve]]</f>
        <v>122</v>
      </c>
    </row>
    <row r="184" spans="2:37" x14ac:dyDescent="0.25">
      <c r="B184" s="71" t="s">
        <v>36</v>
      </c>
      <c r="C184" s="71">
        <v>2025</v>
      </c>
      <c r="D184" s="71">
        <v>4</v>
      </c>
      <c r="E184" s="71" t="s">
        <v>47</v>
      </c>
      <c r="F184" s="71" t="s">
        <v>42</v>
      </c>
      <c r="G184" s="72">
        <v>46.6</v>
      </c>
      <c r="H184" s="73">
        <v>274</v>
      </c>
      <c r="I184" s="73">
        <v>-7</v>
      </c>
      <c r="J184" s="73">
        <v>-14</v>
      </c>
      <c r="K184" s="73">
        <v>-85</v>
      </c>
      <c r="L184" s="73">
        <v>-22</v>
      </c>
      <c r="M184" s="73">
        <v>-11</v>
      </c>
      <c r="N184" s="73">
        <v>-6</v>
      </c>
      <c r="O184" s="73">
        <v>-3</v>
      </c>
      <c r="P184" s="73">
        <v>-33</v>
      </c>
      <c r="Q184" s="73">
        <v>-11</v>
      </c>
      <c r="R184" s="73">
        <v>0</v>
      </c>
      <c r="S184" s="73">
        <v>0</v>
      </c>
      <c r="T184" s="73">
        <v>0</v>
      </c>
      <c r="U184" s="73">
        <v>0</v>
      </c>
      <c r="V184" s="73">
        <v>0</v>
      </c>
      <c r="W184" s="73">
        <v>0</v>
      </c>
      <c r="X184" s="73">
        <v>0</v>
      </c>
      <c r="Y184" s="73">
        <v>0</v>
      </c>
      <c r="Z184" s="73">
        <v>24</v>
      </c>
      <c r="AA184" s="73">
        <v>408</v>
      </c>
      <c r="AB184" s="73">
        <v>0</v>
      </c>
      <c r="AC184" s="73">
        <v>0</v>
      </c>
      <c r="AD184" s="73">
        <v>0</v>
      </c>
      <c r="AE184" s="73">
        <v>0</v>
      </c>
      <c r="AF184" s="74">
        <f>tblData[[#This Row],[Gross Sales]]+tblData[[#This Row],[Trade Discounts]]+tblData[[#This Row],[Returns]]</f>
        <v>253</v>
      </c>
      <c r="AG184" s="74">
        <f>tblData[[#This Row],[Material Cost]]+tblData[[#This Row],[Conversion Cost]]+tblData[[#This Row],[Inbound Freight]]</f>
        <v>-118</v>
      </c>
      <c r="AH184" s="74">
        <f>tblData[[#This Row],[Net Revenue]]+tblData[[#This Row],[COGS]]</f>
        <v>135</v>
      </c>
      <c r="AI184" s="74">
        <f>tblData[[#This Row],[Advertising]]+tblData[[#This Row],[Promotions]]</f>
        <v>-9</v>
      </c>
      <c r="AJ184" s="74">
        <f>tblData[[#This Row],[Outbound Logistics]]+tblData[[#This Row],[Direct Selling]]</f>
        <v>-44</v>
      </c>
      <c r="AK184" s="74">
        <f>tblData[[#This Row],[Gross Profit]]+tblData[[#This Row],[AP Spend]]+tblData[[#This Row],[Cost to Serve]]</f>
        <v>82</v>
      </c>
    </row>
    <row r="185" spans="2:37" x14ac:dyDescent="0.25">
      <c r="B185" s="71" t="s">
        <v>36</v>
      </c>
      <c r="C185" s="71">
        <v>2025</v>
      </c>
      <c r="D185" s="71">
        <v>4</v>
      </c>
      <c r="E185" s="71" t="s">
        <v>47</v>
      </c>
      <c r="F185" s="71" t="s">
        <v>43</v>
      </c>
      <c r="G185" s="72">
        <v>9</v>
      </c>
      <c r="H185" s="73">
        <v>160</v>
      </c>
      <c r="I185" s="73">
        <v>-4</v>
      </c>
      <c r="J185" s="73">
        <v>-8</v>
      </c>
      <c r="K185" s="73">
        <v>-43</v>
      </c>
      <c r="L185" s="73">
        <v>-11</v>
      </c>
      <c r="M185" s="73">
        <v>-6</v>
      </c>
      <c r="N185" s="73">
        <v>-16</v>
      </c>
      <c r="O185" s="73">
        <v>-9</v>
      </c>
      <c r="P185" s="73">
        <v>-19</v>
      </c>
      <c r="Q185" s="73">
        <v>-6</v>
      </c>
      <c r="R185" s="73">
        <v>0</v>
      </c>
      <c r="S185" s="73">
        <v>0</v>
      </c>
      <c r="T185" s="73">
        <v>0</v>
      </c>
      <c r="U185" s="73">
        <v>0</v>
      </c>
      <c r="V185" s="73">
        <v>0</v>
      </c>
      <c r="W185" s="73">
        <v>0</v>
      </c>
      <c r="X185" s="73">
        <v>0</v>
      </c>
      <c r="Y185" s="73">
        <v>0</v>
      </c>
      <c r="Z185" s="73">
        <v>14</v>
      </c>
      <c r="AA185" s="73">
        <v>229</v>
      </c>
      <c r="AB185" s="73">
        <v>0</v>
      </c>
      <c r="AC185" s="73">
        <v>0</v>
      </c>
      <c r="AD185" s="73">
        <v>0</v>
      </c>
      <c r="AE185" s="73">
        <v>0</v>
      </c>
      <c r="AF185" s="74">
        <f>tblData[[#This Row],[Gross Sales]]+tblData[[#This Row],[Trade Discounts]]+tblData[[#This Row],[Returns]]</f>
        <v>148</v>
      </c>
      <c r="AG185" s="74">
        <f>tblData[[#This Row],[Material Cost]]+tblData[[#This Row],[Conversion Cost]]+tblData[[#This Row],[Inbound Freight]]</f>
        <v>-60</v>
      </c>
      <c r="AH185" s="74">
        <f>tblData[[#This Row],[Net Revenue]]+tblData[[#This Row],[COGS]]</f>
        <v>88</v>
      </c>
      <c r="AI185" s="74">
        <f>tblData[[#This Row],[Advertising]]+tblData[[#This Row],[Promotions]]</f>
        <v>-25</v>
      </c>
      <c r="AJ185" s="74">
        <f>tblData[[#This Row],[Outbound Logistics]]+tblData[[#This Row],[Direct Selling]]</f>
        <v>-25</v>
      </c>
      <c r="AK185" s="74">
        <f>tblData[[#This Row],[Gross Profit]]+tblData[[#This Row],[AP Spend]]+tblData[[#This Row],[Cost to Serve]]</f>
        <v>38</v>
      </c>
    </row>
    <row r="186" spans="2:37" x14ac:dyDescent="0.25">
      <c r="B186" s="71" t="s">
        <v>36</v>
      </c>
      <c r="C186" s="71">
        <v>2025</v>
      </c>
      <c r="D186" s="71">
        <v>4</v>
      </c>
      <c r="E186" s="71" t="s">
        <v>48</v>
      </c>
      <c r="F186" s="71" t="s">
        <v>38</v>
      </c>
      <c r="G186" s="72">
        <v>93.4</v>
      </c>
      <c r="H186" s="73">
        <v>1281</v>
      </c>
      <c r="I186" s="73">
        <v>-110</v>
      </c>
      <c r="J186" s="73">
        <v>-13</v>
      </c>
      <c r="K186" s="73">
        <v>-273</v>
      </c>
      <c r="L186" s="73">
        <v>-69</v>
      </c>
      <c r="M186" s="73">
        <v>-37</v>
      </c>
      <c r="N186" s="73">
        <v>-80</v>
      </c>
      <c r="O186" s="73">
        <v>-43</v>
      </c>
      <c r="P186" s="73">
        <v>-38</v>
      </c>
      <c r="Q186" s="73">
        <v>-19</v>
      </c>
      <c r="R186" s="73">
        <v>0</v>
      </c>
      <c r="S186" s="73">
        <v>0</v>
      </c>
      <c r="T186" s="73">
        <v>0</v>
      </c>
      <c r="U186" s="73">
        <v>0</v>
      </c>
      <c r="V186" s="73">
        <v>0</v>
      </c>
      <c r="W186" s="73">
        <v>0</v>
      </c>
      <c r="X186" s="73">
        <v>0</v>
      </c>
      <c r="Y186" s="73">
        <v>0</v>
      </c>
      <c r="Z186" s="73">
        <v>2513</v>
      </c>
      <c r="AA186" s="73">
        <v>1114</v>
      </c>
      <c r="AB186" s="73">
        <v>0</v>
      </c>
      <c r="AC186" s="73">
        <v>0</v>
      </c>
      <c r="AD186" s="73">
        <v>0</v>
      </c>
      <c r="AE186" s="73">
        <v>0</v>
      </c>
      <c r="AF186" s="74">
        <f>tblData[[#This Row],[Gross Sales]]+tblData[[#This Row],[Trade Discounts]]+tblData[[#This Row],[Returns]]</f>
        <v>1158</v>
      </c>
      <c r="AG186" s="74">
        <f>tblData[[#This Row],[Material Cost]]+tblData[[#This Row],[Conversion Cost]]+tblData[[#This Row],[Inbound Freight]]</f>
        <v>-379</v>
      </c>
      <c r="AH186" s="74">
        <f>tblData[[#This Row],[Net Revenue]]+tblData[[#This Row],[COGS]]</f>
        <v>779</v>
      </c>
      <c r="AI186" s="74">
        <f>tblData[[#This Row],[Advertising]]+tblData[[#This Row],[Promotions]]</f>
        <v>-123</v>
      </c>
      <c r="AJ186" s="74">
        <f>tblData[[#This Row],[Outbound Logistics]]+tblData[[#This Row],[Direct Selling]]</f>
        <v>-57</v>
      </c>
      <c r="AK186" s="74">
        <f>tblData[[#This Row],[Gross Profit]]+tblData[[#This Row],[AP Spend]]+tblData[[#This Row],[Cost to Serve]]</f>
        <v>599</v>
      </c>
    </row>
    <row r="187" spans="2:37" x14ac:dyDescent="0.25">
      <c r="B187" s="71" t="s">
        <v>36</v>
      </c>
      <c r="C187" s="71">
        <v>2025</v>
      </c>
      <c r="D187" s="71">
        <v>4</v>
      </c>
      <c r="E187" s="71" t="s">
        <v>48</v>
      </c>
      <c r="F187" s="71" t="s">
        <v>39</v>
      </c>
      <c r="G187" s="72">
        <v>127</v>
      </c>
      <c r="H187" s="73">
        <v>1120</v>
      </c>
      <c r="I187" s="73">
        <v>-96</v>
      </c>
      <c r="J187" s="73">
        <v>-11</v>
      </c>
      <c r="K187" s="73">
        <v>-286</v>
      </c>
      <c r="L187" s="73">
        <v>-73</v>
      </c>
      <c r="M187" s="73">
        <v>-38</v>
      </c>
      <c r="N187" s="73">
        <v>-46</v>
      </c>
      <c r="O187" s="73">
        <v>-25</v>
      </c>
      <c r="P187" s="73">
        <v>-34</v>
      </c>
      <c r="Q187" s="73">
        <v>-17</v>
      </c>
      <c r="R187" s="73">
        <v>0</v>
      </c>
      <c r="S187" s="73">
        <v>0</v>
      </c>
      <c r="T187" s="73">
        <v>0</v>
      </c>
      <c r="U187" s="73">
        <v>0</v>
      </c>
      <c r="V187" s="73">
        <v>0</v>
      </c>
      <c r="W187" s="73">
        <v>0</v>
      </c>
      <c r="X187" s="73">
        <v>0</v>
      </c>
      <c r="Y187" s="73">
        <v>0</v>
      </c>
      <c r="Z187" s="73">
        <v>2135</v>
      </c>
      <c r="AA187" s="73">
        <v>956</v>
      </c>
      <c r="AB187" s="73">
        <v>0</v>
      </c>
      <c r="AC187" s="73">
        <v>0</v>
      </c>
      <c r="AD187" s="73">
        <v>0</v>
      </c>
      <c r="AE187" s="73">
        <v>0</v>
      </c>
      <c r="AF187" s="74">
        <f>tblData[[#This Row],[Gross Sales]]+tblData[[#This Row],[Trade Discounts]]+tblData[[#This Row],[Returns]]</f>
        <v>1013</v>
      </c>
      <c r="AG187" s="74">
        <f>tblData[[#This Row],[Material Cost]]+tblData[[#This Row],[Conversion Cost]]+tblData[[#This Row],[Inbound Freight]]</f>
        <v>-397</v>
      </c>
      <c r="AH187" s="74">
        <f>tblData[[#This Row],[Net Revenue]]+tblData[[#This Row],[COGS]]</f>
        <v>616</v>
      </c>
      <c r="AI187" s="74">
        <f>tblData[[#This Row],[Advertising]]+tblData[[#This Row],[Promotions]]</f>
        <v>-71</v>
      </c>
      <c r="AJ187" s="74">
        <f>tblData[[#This Row],[Outbound Logistics]]+tblData[[#This Row],[Direct Selling]]</f>
        <v>-51</v>
      </c>
      <c r="AK187" s="74">
        <f>tblData[[#This Row],[Gross Profit]]+tblData[[#This Row],[AP Spend]]+tblData[[#This Row],[Cost to Serve]]</f>
        <v>494</v>
      </c>
    </row>
    <row r="188" spans="2:37" x14ac:dyDescent="0.25">
      <c r="B188" s="71" t="s">
        <v>36</v>
      </c>
      <c r="C188" s="71">
        <v>2025</v>
      </c>
      <c r="D188" s="71">
        <v>4</v>
      </c>
      <c r="E188" s="71" t="s">
        <v>48</v>
      </c>
      <c r="F188" s="71" t="s">
        <v>40</v>
      </c>
      <c r="G188" s="72">
        <v>118.5</v>
      </c>
      <c r="H188" s="73">
        <v>813</v>
      </c>
      <c r="I188" s="73">
        <v>-70</v>
      </c>
      <c r="J188" s="73">
        <v>-8</v>
      </c>
      <c r="K188" s="73">
        <v>-231</v>
      </c>
      <c r="L188" s="73">
        <v>-59</v>
      </c>
      <c r="M188" s="73">
        <v>-31</v>
      </c>
      <c r="N188" s="73">
        <v>-23</v>
      </c>
      <c r="O188" s="73">
        <v>-12</v>
      </c>
      <c r="P188" s="73">
        <v>-24</v>
      </c>
      <c r="Q188" s="73">
        <v>-12</v>
      </c>
      <c r="R188" s="73">
        <v>0</v>
      </c>
      <c r="S188" s="73">
        <v>0</v>
      </c>
      <c r="T188" s="73">
        <v>0</v>
      </c>
      <c r="U188" s="73">
        <v>0</v>
      </c>
      <c r="V188" s="73">
        <v>0</v>
      </c>
      <c r="W188" s="73">
        <v>0</v>
      </c>
      <c r="X188" s="73">
        <v>0</v>
      </c>
      <c r="Y188" s="73">
        <v>0</v>
      </c>
      <c r="Z188" s="73">
        <v>1590</v>
      </c>
      <c r="AA188" s="73">
        <v>742</v>
      </c>
      <c r="AB188" s="73">
        <v>0</v>
      </c>
      <c r="AC188" s="73">
        <v>0</v>
      </c>
      <c r="AD188" s="73">
        <v>0</v>
      </c>
      <c r="AE188" s="73">
        <v>0</v>
      </c>
      <c r="AF188" s="74">
        <f>tblData[[#This Row],[Gross Sales]]+tblData[[#This Row],[Trade Discounts]]+tblData[[#This Row],[Returns]]</f>
        <v>735</v>
      </c>
      <c r="AG188" s="74">
        <f>tblData[[#This Row],[Material Cost]]+tblData[[#This Row],[Conversion Cost]]+tblData[[#This Row],[Inbound Freight]]</f>
        <v>-321</v>
      </c>
      <c r="AH188" s="74">
        <f>tblData[[#This Row],[Net Revenue]]+tblData[[#This Row],[COGS]]</f>
        <v>414</v>
      </c>
      <c r="AI188" s="74">
        <f>tblData[[#This Row],[Advertising]]+tblData[[#This Row],[Promotions]]</f>
        <v>-35</v>
      </c>
      <c r="AJ188" s="74">
        <f>tblData[[#This Row],[Outbound Logistics]]+tblData[[#This Row],[Direct Selling]]</f>
        <v>-36</v>
      </c>
      <c r="AK188" s="74">
        <f>tblData[[#This Row],[Gross Profit]]+tblData[[#This Row],[AP Spend]]+tblData[[#This Row],[Cost to Serve]]</f>
        <v>343</v>
      </c>
    </row>
    <row r="189" spans="2:37" x14ac:dyDescent="0.25">
      <c r="B189" s="71" t="s">
        <v>36</v>
      </c>
      <c r="C189" s="71">
        <v>2025</v>
      </c>
      <c r="D189" s="71">
        <v>4</v>
      </c>
      <c r="E189" s="71" t="s">
        <v>48</v>
      </c>
      <c r="F189" s="71" t="s">
        <v>41</v>
      </c>
      <c r="G189" s="72">
        <v>59.7</v>
      </c>
      <c r="H189" s="73">
        <v>644</v>
      </c>
      <c r="I189" s="73">
        <v>-55</v>
      </c>
      <c r="J189" s="73">
        <v>-6</v>
      </c>
      <c r="K189" s="73">
        <v>-151</v>
      </c>
      <c r="L189" s="73">
        <v>-38</v>
      </c>
      <c r="M189" s="73">
        <v>-20</v>
      </c>
      <c r="N189" s="73">
        <v>-49</v>
      </c>
      <c r="O189" s="73">
        <v>-26</v>
      </c>
      <c r="P189" s="73">
        <v>-19</v>
      </c>
      <c r="Q189" s="73">
        <v>-10</v>
      </c>
      <c r="R189" s="73">
        <v>0</v>
      </c>
      <c r="S189" s="73">
        <v>0</v>
      </c>
      <c r="T189" s="73">
        <v>0</v>
      </c>
      <c r="U189" s="73">
        <v>0</v>
      </c>
      <c r="V189" s="73">
        <v>0</v>
      </c>
      <c r="W189" s="73">
        <v>0</v>
      </c>
      <c r="X189" s="73">
        <v>0</v>
      </c>
      <c r="Y189" s="73">
        <v>0</v>
      </c>
      <c r="Z189" s="73">
        <v>1280</v>
      </c>
      <c r="AA189" s="73">
        <v>591</v>
      </c>
      <c r="AB189" s="73">
        <v>0</v>
      </c>
      <c r="AC189" s="73">
        <v>0</v>
      </c>
      <c r="AD189" s="73">
        <v>0</v>
      </c>
      <c r="AE189" s="73">
        <v>0</v>
      </c>
      <c r="AF189" s="74">
        <f>tblData[[#This Row],[Gross Sales]]+tblData[[#This Row],[Trade Discounts]]+tblData[[#This Row],[Returns]]</f>
        <v>583</v>
      </c>
      <c r="AG189" s="74">
        <f>tblData[[#This Row],[Material Cost]]+tblData[[#This Row],[Conversion Cost]]+tblData[[#This Row],[Inbound Freight]]</f>
        <v>-209</v>
      </c>
      <c r="AH189" s="74">
        <f>tblData[[#This Row],[Net Revenue]]+tblData[[#This Row],[COGS]]</f>
        <v>374</v>
      </c>
      <c r="AI189" s="74">
        <f>tblData[[#This Row],[Advertising]]+tblData[[#This Row],[Promotions]]</f>
        <v>-75</v>
      </c>
      <c r="AJ189" s="74">
        <f>tblData[[#This Row],[Outbound Logistics]]+tblData[[#This Row],[Direct Selling]]</f>
        <v>-29</v>
      </c>
      <c r="AK189" s="74">
        <f>tblData[[#This Row],[Gross Profit]]+tblData[[#This Row],[AP Spend]]+tblData[[#This Row],[Cost to Serve]]</f>
        <v>270</v>
      </c>
    </row>
    <row r="190" spans="2:37" x14ac:dyDescent="0.25">
      <c r="B190" s="71" t="s">
        <v>36</v>
      </c>
      <c r="C190" s="71">
        <v>2025</v>
      </c>
      <c r="D190" s="71">
        <v>4</v>
      </c>
      <c r="E190" s="71" t="s">
        <v>48</v>
      </c>
      <c r="F190" s="71" t="s">
        <v>42</v>
      </c>
      <c r="G190" s="72">
        <v>81</v>
      </c>
      <c r="H190" s="73">
        <v>476</v>
      </c>
      <c r="I190" s="73">
        <v>-41</v>
      </c>
      <c r="J190" s="73">
        <v>-5</v>
      </c>
      <c r="K190" s="73">
        <v>-149</v>
      </c>
      <c r="L190" s="73">
        <v>-38</v>
      </c>
      <c r="M190" s="73">
        <v>-20</v>
      </c>
      <c r="N190" s="73">
        <v>-10</v>
      </c>
      <c r="O190" s="73">
        <v>-5</v>
      </c>
      <c r="P190" s="73">
        <v>-14</v>
      </c>
      <c r="Q190" s="73">
        <v>-7</v>
      </c>
      <c r="R190" s="73">
        <v>0</v>
      </c>
      <c r="S190" s="73">
        <v>0</v>
      </c>
      <c r="T190" s="73">
        <v>0</v>
      </c>
      <c r="U190" s="73">
        <v>0</v>
      </c>
      <c r="V190" s="73">
        <v>0</v>
      </c>
      <c r="W190" s="73">
        <v>0</v>
      </c>
      <c r="X190" s="73">
        <v>0</v>
      </c>
      <c r="Y190" s="73">
        <v>0</v>
      </c>
      <c r="Z190" s="73">
        <v>912</v>
      </c>
      <c r="AA190" s="73">
        <v>687</v>
      </c>
      <c r="AB190" s="73">
        <v>0</v>
      </c>
      <c r="AC190" s="73">
        <v>0</v>
      </c>
      <c r="AD190" s="73">
        <v>0</v>
      </c>
      <c r="AE190" s="73">
        <v>0</v>
      </c>
      <c r="AF190" s="74">
        <f>tblData[[#This Row],[Gross Sales]]+tblData[[#This Row],[Trade Discounts]]+tblData[[#This Row],[Returns]]</f>
        <v>430</v>
      </c>
      <c r="AG190" s="74">
        <f>tblData[[#This Row],[Material Cost]]+tblData[[#This Row],[Conversion Cost]]+tblData[[#This Row],[Inbound Freight]]</f>
        <v>-207</v>
      </c>
      <c r="AH190" s="74">
        <f>tblData[[#This Row],[Net Revenue]]+tblData[[#This Row],[COGS]]</f>
        <v>223</v>
      </c>
      <c r="AI190" s="74">
        <f>tblData[[#This Row],[Advertising]]+tblData[[#This Row],[Promotions]]</f>
        <v>-15</v>
      </c>
      <c r="AJ190" s="74">
        <f>tblData[[#This Row],[Outbound Logistics]]+tblData[[#This Row],[Direct Selling]]</f>
        <v>-21</v>
      </c>
      <c r="AK190" s="74">
        <f>tblData[[#This Row],[Gross Profit]]+tblData[[#This Row],[AP Spend]]+tblData[[#This Row],[Cost to Serve]]</f>
        <v>187</v>
      </c>
    </row>
    <row r="191" spans="2:37" x14ac:dyDescent="0.25">
      <c r="B191" s="71" t="s">
        <v>36</v>
      </c>
      <c r="C191" s="71">
        <v>2025</v>
      </c>
      <c r="D191" s="71">
        <v>4</v>
      </c>
      <c r="E191" s="71" t="s">
        <v>48</v>
      </c>
      <c r="F191" s="71" t="s">
        <v>43</v>
      </c>
      <c r="G191" s="72">
        <v>15.5</v>
      </c>
      <c r="H191" s="73">
        <v>273</v>
      </c>
      <c r="I191" s="73">
        <v>-23</v>
      </c>
      <c r="J191" s="73">
        <v>-3</v>
      </c>
      <c r="K191" s="73">
        <v>-74</v>
      </c>
      <c r="L191" s="73">
        <v>-19</v>
      </c>
      <c r="M191" s="73">
        <v>-10</v>
      </c>
      <c r="N191" s="73">
        <v>-27</v>
      </c>
      <c r="O191" s="73">
        <v>-14</v>
      </c>
      <c r="P191" s="73">
        <v>-8</v>
      </c>
      <c r="Q191" s="73">
        <v>-4</v>
      </c>
      <c r="R191" s="73">
        <v>0</v>
      </c>
      <c r="S191" s="73">
        <v>0</v>
      </c>
      <c r="T191" s="73">
        <v>0</v>
      </c>
      <c r="U191" s="73">
        <v>0</v>
      </c>
      <c r="V191" s="73">
        <v>0</v>
      </c>
      <c r="W191" s="73">
        <v>0</v>
      </c>
      <c r="X191" s="73">
        <v>0</v>
      </c>
      <c r="Y191" s="73">
        <v>0</v>
      </c>
      <c r="Z191" s="73">
        <v>543</v>
      </c>
      <c r="AA191" s="73">
        <v>385</v>
      </c>
      <c r="AB191" s="73">
        <v>0</v>
      </c>
      <c r="AC191" s="73">
        <v>0</v>
      </c>
      <c r="AD191" s="73">
        <v>0</v>
      </c>
      <c r="AE191" s="73">
        <v>0</v>
      </c>
      <c r="AF191" s="74">
        <f>tblData[[#This Row],[Gross Sales]]+tblData[[#This Row],[Trade Discounts]]+tblData[[#This Row],[Returns]]</f>
        <v>247</v>
      </c>
      <c r="AG191" s="74">
        <f>tblData[[#This Row],[Material Cost]]+tblData[[#This Row],[Conversion Cost]]+tblData[[#This Row],[Inbound Freight]]</f>
        <v>-103</v>
      </c>
      <c r="AH191" s="74">
        <f>tblData[[#This Row],[Net Revenue]]+tblData[[#This Row],[COGS]]</f>
        <v>144</v>
      </c>
      <c r="AI191" s="74">
        <f>tblData[[#This Row],[Advertising]]+tblData[[#This Row],[Promotions]]</f>
        <v>-41</v>
      </c>
      <c r="AJ191" s="74">
        <f>tblData[[#This Row],[Outbound Logistics]]+tblData[[#This Row],[Direct Selling]]</f>
        <v>-12</v>
      </c>
      <c r="AK191" s="74">
        <f>tblData[[#This Row],[Gross Profit]]+tblData[[#This Row],[AP Spend]]+tblData[[#This Row],[Cost to Serve]]</f>
        <v>91</v>
      </c>
    </row>
    <row r="192" spans="2:37" x14ac:dyDescent="0.25">
      <c r="B192" s="71" t="s">
        <v>36</v>
      </c>
      <c r="C192" s="71">
        <v>2025</v>
      </c>
      <c r="D192" s="71">
        <v>4</v>
      </c>
      <c r="E192" s="71" t="s">
        <v>49</v>
      </c>
      <c r="F192" s="71" t="s">
        <v>49</v>
      </c>
      <c r="G192" s="72">
        <v>0</v>
      </c>
      <c r="H192" s="73">
        <v>0</v>
      </c>
      <c r="I192" s="73">
        <v>0</v>
      </c>
      <c r="J192" s="73">
        <v>0</v>
      </c>
      <c r="K192" s="73">
        <v>0</v>
      </c>
      <c r="L192" s="73">
        <v>0</v>
      </c>
      <c r="M192" s="73">
        <v>0</v>
      </c>
      <c r="N192" s="73">
        <v>0</v>
      </c>
      <c r="O192" s="73">
        <v>0</v>
      </c>
      <c r="P192" s="73">
        <v>0</v>
      </c>
      <c r="Q192" s="73">
        <v>0</v>
      </c>
      <c r="R192" s="73">
        <v>-4011</v>
      </c>
      <c r="S192" s="73">
        <v>-974</v>
      </c>
      <c r="T192" s="73">
        <v>-1261</v>
      </c>
      <c r="U192" s="73">
        <v>-1079</v>
      </c>
      <c r="V192" s="73">
        <v>-1413</v>
      </c>
      <c r="W192" s="73">
        <v>-741</v>
      </c>
      <c r="X192" s="73">
        <v>-1323</v>
      </c>
      <c r="Y192" s="73">
        <v>-1166</v>
      </c>
      <c r="Z192" s="73">
        <v>0</v>
      </c>
      <c r="AA192" s="73">
        <v>0</v>
      </c>
      <c r="AB192" s="73">
        <v>30247</v>
      </c>
      <c r="AC192" s="73">
        <v>47388</v>
      </c>
      <c r="AD192" s="73">
        <v>197500</v>
      </c>
      <c r="AE192" s="73">
        <v>1151</v>
      </c>
      <c r="AF192" s="74">
        <f>tblData[[#This Row],[Gross Sales]]+tblData[[#This Row],[Trade Discounts]]+tblData[[#This Row],[Returns]]</f>
        <v>0</v>
      </c>
      <c r="AG192" s="74">
        <f>tblData[[#This Row],[Material Cost]]+tblData[[#This Row],[Conversion Cost]]+tblData[[#This Row],[Inbound Freight]]</f>
        <v>0</v>
      </c>
      <c r="AH192" s="74">
        <f>tblData[[#This Row],[Net Revenue]]+tblData[[#This Row],[COGS]]</f>
        <v>0</v>
      </c>
      <c r="AI192" s="74">
        <f>tblData[[#This Row],[Advertising]]+tblData[[#This Row],[Promotions]]</f>
        <v>0</v>
      </c>
      <c r="AJ192" s="74">
        <f>tblData[[#This Row],[Outbound Logistics]]+tblData[[#This Row],[Direct Selling]]</f>
        <v>0</v>
      </c>
      <c r="AK192" s="74">
        <f>tblData[[#This Row],[Gross Profit]]+tblData[[#This Row],[AP Spend]]+tblData[[#This Row],[Cost to Serve]]</f>
        <v>0</v>
      </c>
    </row>
    <row r="193" spans="2:37" x14ac:dyDescent="0.25">
      <c r="B193" s="71" t="s">
        <v>36</v>
      </c>
      <c r="C193" s="71">
        <v>2025</v>
      </c>
      <c r="D193" s="71">
        <v>5</v>
      </c>
      <c r="E193" s="71" t="s">
        <v>37</v>
      </c>
      <c r="F193" s="71" t="s">
        <v>38</v>
      </c>
      <c r="G193" s="72">
        <v>286.39999999999998</v>
      </c>
      <c r="H193" s="73">
        <v>3929</v>
      </c>
      <c r="I193" s="73">
        <v>-731</v>
      </c>
      <c r="J193" s="73">
        <v>-59</v>
      </c>
      <c r="K193" s="73">
        <v>-836</v>
      </c>
      <c r="L193" s="73">
        <v>-212</v>
      </c>
      <c r="M193" s="73">
        <v>-112</v>
      </c>
      <c r="N193" s="73">
        <v>-248</v>
      </c>
      <c r="O193" s="73">
        <v>-133</v>
      </c>
      <c r="P193" s="73">
        <v>-157</v>
      </c>
      <c r="Q193" s="73">
        <v>-118</v>
      </c>
      <c r="R193" s="73">
        <v>0</v>
      </c>
      <c r="S193" s="73">
        <v>0</v>
      </c>
      <c r="T193" s="73">
        <v>0</v>
      </c>
      <c r="U193" s="73">
        <v>0</v>
      </c>
      <c r="V193" s="73">
        <v>0</v>
      </c>
      <c r="W193" s="73">
        <v>0</v>
      </c>
      <c r="X193" s="73">
        <v>0</v>
      </c>
      <c r="Y193" s="73">
        <v>0</v>
      </c>
      <c r="Z193" s="73">
        <v>5549</v>
      </c>
      <c r="AA193" s="73">
        <v>3542</v>
      </c>
      <c r="AB193" s="73">
        <v>0</v>
      </c>
      <c r="AC193" s="73">
        <v>0</v>
      </c>
      <c r="AD193" s="73">
        <v>0</v>
      </c>
      <c r="AE193" s="73">
        <v>0</v>
      </c>
      <c r="AF193" s="74">
        <f>tblData[[#This Row],[Gross Sales]]+tblData[[#This Row],[Trade Discounts]]+tblData[[#This Row],[Returns]]</f>
        <v>3139</v>
      </c>
      <c r="AG193" s="74">
        <f>tblData[[#This Row],[Material Cost]]+tblData[[#This Row],[Conversion Cost]]+tblData[[#This Row],[Inbound Freight]]</f>
        <v>-1160</v>
      </c>
      <c r="AH193" s="74">
        <f>tblData[[#This Row],[Net Revenue]]+tblData[[#This Row],[COGS]]</f>
        <v>1979</v>
      </c>
      <c r="AI193" s="74">
        <f>tblData[[#This Row],[Advertising]]+tblData[[#This Row],[Promotions]]</f>
        <v>-381</v>
      </c>
      <c r="AJ193" s="74">
        <f>tblData[[#This Row],[Outbound Logistics]]+tblData[[#This Row],[Direct Selling]]</f>
        <v>-275</v>
      </c>
      <c r="AK193" s="74">
        <f>tblData[[#This Row],[Gross Profit]]+tblData[[#This Row],[AP Spend]]+tblData[[#This Row],[Cost to Serve]]</f>
        <v>1323</v>
      </c>
    </row>
    <row r="194" spans="2:37" x14ac:dyDescent="0.25">
      <c r="B194" s="71" t="s">
        <v>36</v>
      </c>
      <c r="C194" s="71">
        <v>2025</v>
      </c>
      <c r="D194" s="71">
        <v>5</v>
      </c>
      <c r="E194" s="71" t="s">
        <v>37</v>
      </c>
      <c r="F194" s="71" t="s">
        <v>39</v>
      </c>
      <c r="G194" s="72">
        <v>395.5</v>
      </c>
      <c r="H194" s="73">
        <v>3489</v>
      </c>
      <c r="I194" s="73">
        <v>-649</v>
      </c>
      <c r="J194" s="73">
        <v>-52</v>
      </c>
      <c r="K194" s="73">
        <v>-891</v>
      </c>
      <c r="L194" s="73">
        <v>-226</v>
      </c>
      <c r="M194" s="73">
        <v>-119</v>
      </c>
      <c r="N194" s="73">
        <v>-142</v>
      </c>
      <c r="O194" s="73">
        <v>-76</v>
      </c>
      <c r="P194" s="73">
        <v>-140</v>
      </c>
      <c r="Q194" s="73">
        <v>-105</v>
      </c>
      <c r="R194" s="73">
        <v>0</v>
      </c>
      <c r="S194" s="73">
        <v>0</v>
      </c>
      <c r="T194" s="73">
        <v>0</v>
      </c>
      <c r="U194" s="73">
        <v>0</v>
      </c>
      <c r="V194" s="73">
        <v>0</v>
      </c>
      <c r="W194" s="73">
        <v>0</v>
      </c>
      <c r="X194" s="73">
        <v>0</v>
      </c>
      <c r="Y194" s="73">
        <v>0</v>
      </c>
      <c r="Z194" s="73">
        <v>4836</v>
      </c>
      <c r="AA194" s="73">
        <v>3119</v>
      </c>
      <c r="AB194" s="73">
        <v>0</v>
      </c>
      <c r="AC194" s="73">
        <v>0</v>
      </c>
      <c r="AD194" s="73">
        <v>0</v>
      </c>
      <c r="AE194" s="73">
        <v>0</v>
      </c>
      <c r="AF194" s="74">
        <f>tblData[[#This Row],[Gross Sales]]+tblData[[#This Row],[Trade Discounts]]+tblData[[#This Row],[Returns]]</f>
        <v>2788</v>
      </c>
      <c r="AG194" s="74">
        <f>tblData[[#This Row],[Material Cost]]+tblData[[#This Row],[Conversion Cost]]+tblData[[#This Row],[Inbound Freight]]</f>
        <v>-1236</v>
      </c>
      <c r="AH194" s="74">
        <f>tblData[[#This Row],[Net Revenue]]+tblData[[#This Row],[COGS]]</f>
        <v>1552</v>
      </c>
      <c r="AI194" s="74">
        <f>tblData[[#This Row],[Advertising]]+tblData[[#This Row],[Promotions]]</f>
        <v>-218</v>
      </c>
      <c r="AJ194" s="74">
        <f>tblData[[#This Row],[Outbound Logistics]]+tblData[[#This Row],[Direct Selling]]</f>
        <v>-245</v>
      </c>
      <c r="AK194" s="74">
        <f>tblData[[#This Row],[Gross Profit]]+tblData[[#This Row],[AP Spend]]+tblData[[#This Row],[Cost to Serve]]</f>
        <v>1089</v>
      </c>
    </row>
    <row r="195" spans="2:37" x14ac:dyDescent="0.25">
      <c r="B195" s="71" t="s">
        <v>36</v>
      </c>
      <c r="C195" s="71">
        <v>2025</v>
      </c>
      <c r="D195" s="71">
        <v>5</v>
      </c>
      <c r="E195" s="71" t="s">
        <v>37</v>
      </c>
      <c r="F195" s="71" t="s">
        <v>40</v>
      </c>
      <c r="G195" s="72">
        <v>363.7</v>
      </c>
      <c r="H195" s="73">
        <v>2495</v>
      </c>
      <c r="I195" s="73">
        <v>-464</v>
      </c>
      <c r="J195" s="73">
        <v>-37</v>
      </c>
      <c r="K195" s="73">
        <v>-708</v>
      </c>
      <c r="L195" s="73">
        <v>-180</v>
      </c>
      <c r="M195" s="73">
        <v>-95</v>
      </c>
      <c r="N195" s="73">
        <v>-71</v>
      </c>
      <c r="O195" s="73">
        <v>-38</v>
      </c>
      <c r="P195" s="73">
        <v>-100</v>
      </c>
      <c r="Q195" s="73">
        <v>-75</v>
      </c>
      <c r="R195" s="73">
        <v>0</v>
      </c>
      <c r="S195" s="73">
        <v>0</v>
      </c>
      <c r="T195" s="73">
        <v>0</v>
      </c>
      <c r="U195" s="73">
        <v>0</v>
      </c>
      <c r="V195" s="73">
        <v>0</v>
      </c>
      <c r="W195" s="73">
        <v>0</v>
      </c>
      <c r="X195" s="73">
        <v>0</v>
      </c>
      <c r="Y195" s="73">
        <v>0</v>
      </c>
      <c r="Z195" s="73">
        <v>3558</v>
      </c>
      <c r="AA195" s="73">
        <v>2391</v>
      </c>
      <c r="AB195" s="73">
        <v>0</v>
      </c>
      <c r="AC195" s="73">
        <v>0</v>
      </c>
      <c r="AD195" s="73">
        <v>0</v>
      </c>
      <c r="AE195" s="73">
        <v>0</v>
      </c>
      <c r="AF195" s="74">
        <f>tblData[[#This Row],[Gross Sales]]+tblData[[#This Row],[Trade Discounts]]+tblData[[#This Row],[Returns]]</f>
        <v>1994</v>
      </c>
      <c r="AG195" s="74">
        <f>tblData[[#This Row],[Material Cost]]+tblData[[#This Row],[Conversion Cost]]+tblData[[#This Row],[Inbound Freight]]</f>
        <v>-983</v>
      </c>
      <c r="AH195" s="74">
        <f>tblData[[#This Row],[Net Revenue]]+tblData[[#This Row],[COGS]]</f>
        <v>1011</v>
      </c>
      <c r="AI195" s="74">
        <f>tblData[[#This Row],[Advertising]]+tblData[[#This Row],[Promotions]]</f>
        <v>-109</v>
      </c>
      <c r="AJ195" s="74">
        <f>tblData[[#This Row],[Outbound Logistics]]+tblData[[#This Row],[Direct Selling]]</f>
        <v>-175</v>
      </c>
      <c r="AK195" s="74">
        <f>tblData[[#This Row],[Gross Profit]]+tblData[[#This Row],[AP Spend]]+tblData[[#This Row],[Cost to Serve]]</f>
        <v>727</v>
      </c>
    </row>
    <row r="196" spans="2:37" x14ac:dyDescent="0.25">
      <c r="B196" s="71" t="s">
        <v>36</v>
      </c>
      <c r="C196" s="71">
        <v>2025</v>
      </c>
      <c r="D196" s="71">
        <v>5</v>
      </c>
      <c r="E196" s="71" t="s">
        <v>37</v>
      </c>
      <c r="F196" s="71" t="s">
        <v>41</v>
      </c>
      <c r="G196" s="72">
        <v>182.6</v>
      </c>
      <c r="H196" s="73">
        <v>1968</v>
      </c>
      <c r="I196" s="73">
        <v>-366</v>
      </c>
      <c r="J196" s="73">
        <v>-30</v>
      </c>
      <c r="K196" s="73">
        <v>-461</v>
      </c>
      <c r="L196" s="73">
        <v>-117</v>
      </c>
      <c r="M196" s="73">
        <v>-62</v>
      </c>
      <c r="N196" s="73">
        <v>-151</v>
      </c>
      <c r="O196" s="73">
        <v>-81</v>
      </c>
      <c r="P196" s="73">
        <v>-79</v>
      </c>
      <c r="Q196" s="73">
        <v>-59</v>
      </c>
      <c r="R196" s="73">
        <v>0</v>
      </c>
      <c r="S196" s="73">
        <v>0</v>
      </c>
      <c r="T196" s="73">
        <v>0</v>
      </c>
      <c r="U196" s="73">
        <v>0</v>
      </c>
      <c r="V196" s="73">
        <v>0</v>
      </c>
      <c r="W196" s="73">
        <v>0</v>
      </c>
      <c r="X196" s="73">
        <v>0</v>
      </c>
      <c r="Y196" s="73">
        <v>0</v>
      </c>
      <c r="Z196" s="73">
        <v>2826</v>
      </c>
      <c r="AA196" s="73">
        <v>1880</v>
      </c>
      <c r="AB196" s="73">
        <v>0</v>
      </c>
      <c r="AC196" s="73">
        <v>0</v>
      </c>
      <c r="AD196" s="73">
        <v>0</v>
      </c>
      <c r="AE196" s="73">
        <v>0</v>
      </c>
      <c r="AF196" s="74">
        <f>tblData[[#This Row],[Gross Sales]]+tblData[[#This Row],[Trade Discounts]]+tblData[[#This Row],[Returns]]</f>
        <v>1572</v>
      </c>
      <c r="AG196" s="74">
        <f>tblData[[#This Row],[Material Cost]]+tblData[[#This Row],[Conversion Cost]]+tblData[[#This Row],[Inbound Freight]]</f>
        <v>-640</v>
      </c>
      <c r="AH196" s="74">
        <f>tblData[[#This Row],[Net Revenue]]+tblData[[#This Row],[COGS]]</f>
        <v>932</v>
      </c>
      <c r="AI196" s="74">
        <f>tblData[[#This Row],[Advertising]]+tblData[[#This Row],[Promotions]]</f>
        <v>-232</v>
      </c>
      <c r="AJ196" s="74">
        <f>tblData[[#This Row],[Outbound Logistics]]+tblData[[#This Row],[Direct Selling]]</f>
        <v>-138</v>
      </c>
      <c r="AK196" s="74">
        <f>tblData[[#This Row],[Gross Profit]]+tblData[[#This Row],[AP Spend]]+tblData[[#This Row],[Cost to Serve]]</f>
        <v>562</v>
      </c>
    </row>
    <row r="197" spans="2:37" x14ac:dyDescent="0.25">
      <c r="B197" s="71" t="s">
        <v>36</v>
      </c>
      <c r="C197" s="71">
        <v>2025</v>
      </c>
      <c r="D197" s="71">
        <v>5</v>
      </c>
      <c r="E197" s="71" t="s">
        <v>37</v>
      </c>
      <c r="F197" s="71" t="s">
        <v>42</v>
      </c>
      <c r="G197" s="72">
        <v>233.4</v>
      </c>
      <c r="H197" s="73">
        <v>1372</v>
      </c>
      <c r="I197" s="73">
        <v>-255</v>
      </c>
      <c r="J197" s="73">
        <v>-21</v>
      </c>
      <c r="K197" s="73">
        <v>-428</v>
      </c>
      <c r="L197" s="73">
        <v>-109</v>
      </c>
      <c r="M197" s="73">
        <v>-57</v>
      </c>
      <c r="N197" s="73">
        <v>-29</v>
      </c>
      <c r="O197" s="73">
        <v>-16</v>
      </c>
      <c r="P197" s="73">
        <v>-55</v>
      </c>
      <c r="Q197" s="73">
        <v>-41</v>
      </c>
      <c r="R197" s="73">
        <v>0</v>
      </c>
      <c r="S197" s="73">
        <v>0</v>
      </c>
      <c r="T197" s="73">
        <v>0</v>
      </c>
      <c r="U197" s="73">
        <v>0</v>
      </c>
      <c r="V197" s="73">
        <v>0</v>
      </c>
      <c r="W197" s="73">
        <v>0</v>
      </c>
      <c r="X197" s="73">
        <v>0</v>
      </c>
      <c r="Y197" s="73">
        <v>0</v>
      </c>
      <c r="Z197" s="73">
        <v>1979</v>
      </c>
      <c r="AA197" s="73">
        <v>2145</v>
      </c>
      <c r="AB197" s="73">
        <v>0</v>
      </c>
      <c r="AC197" s="73">
        <v>0</v>
      </c>
      <c r="AD197" s="73">
        <v>0</v>
      </c>
      <c r="AE197" s="73">
        <v>0</v>
      </c>
      <c r="AF197" s="74">
        <f>tblData[[#This Row],[Gross Sales]]+tblData[[#This Row],[Trade Discounts]]+tblData[[#This Row],[Returns]]</f>
        <v>1096</v>
      </c>
      <c r="AG197" s="74">
        <f>tblData[[#This Row],[Material Cost]]+tblData[[#This Row],[Conversion Cost]]+tblData[[#This Row],[Inbound Freight]]</f>
        <v>-594</v>
      </c>
      <c r="AH197" s="74">
        <f>tblData[[#This Row],[Net Revenue]]+tblData[[#This Row],[COGS]]</f>
        <v>502</v>
      </c>
      <c r="AI197" s="74">
        <f>tblData[[#This Row],[Advertising]]+tblData[[#This Row],[Promotions]]</f>
        <v>-45</v>
      </c>
      <c r="AJ197" s="74">
        <f>tblData[[#This Row],[Outbound Logistics]]+tblData[[#This Row],[Direct Selling]]</f>
        <v>-96</v>
      </c>
      <c r="AK197" s="74">
        <f>tblData[[#This Row],[Gross Profit]]+tblData[[#This Row],[AP Spend]]+tblData[[#This Row],[Cost to Serve]]</f>
        <v>361</v>
      </c>
    </row>
    <row r="198" spans="2:37" x14ac:dyDescent="0.25">
      <c r="B198" s="71" t="s">
        <v>36</v>
      </c>
      <c r="C198" s="71">
        <v>2025</v>
      </c>
      <c r="D198" s="71">
        <v>5</v>
      </c>
      <c r="E198" s="71" t="s">
        <v>37</v>
      </c>
      <c r="F198" s="71" t="s">
        <v>43</v>
      </c>
      <c r="G198" s="72">
        <v>47.3</v>
      </c>
      <c r="H198" s="73">
        <v>834</v>
      </c>
      <c r="I198" s="73">
        <v>-155</v>
      </c>
      <c r="J198" s="73">
        <v>-13</v>
      </c>
      <c r="K198" s="73">
        <v>-225</v>
      </c>
      <c r="L198" s="73">
        <v>-57</v>
      </c>
      <c r="M198" s="73">
        <v>-30</v>
      </c>
      <c r="N198" s="73">
        <v>-83</v>
      </c>
      <c r="O198" s="73">
        <v>-44</v>
      </c>
      <c r="P198" s="73">
        <v>-33</v>
      </c>
      <c r="Q198" s="73">
        <v>-25</v>
      </c>
      <c r="R198" s="73">
        <v>0</v>
      </c>
      <c r="S198" s="73">
        <v>0</v>
      </c>
      <c r="T198" s="73">
        <v>0</v>
      </c>
      <c r="U198" s="73">
        <v>0</v>
      </c>
      <c r="V198" s="73">
        <v>0</v>
      </c>
      <c r="W198" s="73">
        <v>0</v>
      </c>
      <c r="X198" s="73">
        <v>0</v>
      </c>
      <c r="Y198" s="73">
        <v>0</v>
      </c>
      <c r="Z198" s="73">
        <v>1187</v>
      </c>
      <c r="AA198" s="73">
        <v>1213</v>
      </c>
      <c r="AB198" s="73">
        <v>0</v>
      </c>
      <c r="AC198" s="73">
        <v>0</v>
      </c>
      <c r="AD198" s="73">
        <v>0</v>
      </c>
      <c r="AE198" s="73">
        <v>0</v>
      </c>
      <c r="AF198" s="74">
        <f>tblData[[#This Row],[Gross Sales]]+tblData[[#This Row],[Trade Discounts]]+tblData[[#This Row],[Returns]]</f>
        <v>666</v>
      </c>
      <c r="AG198" s="74">
        <f>tblData[[#This Row],[Material Cost]]+tblData[[#This Row],[Conversion Cost]]+tblData[[#This Row],[Inbound Freight]]</f>
        <v>-312</v>
      </c>
      <c r="AH198" s="74">
        <f>tblData[[#This Row],[Net Revenue]]+tblData[[#This Row],[COGS]]</f>
        <v>354</v>
      </c>
      <c r="AI198" s="74">
        <f>tblData[[#This Row],[Advertising]]+tblData[[#This Row],[Promotions]]</f>
        <v>-127</v>
      </c>
      <c r="AJ198" s="74">
        <f>tblData[[#This Row],[Outbound Logistics]]+tblData[[#This Row],[Direct Selling]]</f>
        <v>-58</v>
      </c>
      <c r="AK198" s="74">
        <f>tblData[[#This Row],[Gross Profit]]+tblData[[#This Row],[AP Spend]]+tblData[[#This Row],[Cost to Serve]]</f>
        <v>169</v>
      </c>
    </row>
    <row r="199" spans="2:37" x14ac:dyDescent="0.25">
      <c r="B199" s="71" t="s">
        <v>36</v>
      </c>
      <c r="C199" s="71">
        <v>2025</v>
      </c>
      <c r="D199" s="71">
        <v>5</v>
      </c>
      <c r="E199" s="71" t="s">
        <v>44</v>
      </c>
      <c r="F199" s="71" t="s">
        <v>38</v>
      </c>
      <c r="G199" s="72">
        <v>235.8</v>
      </c>
      <c r="H199" s="73">
        <v>3235</v>
      </c>
      <c r="I199" s="73">
        <v>-505</v>
      </c>
      <c r="J199" s="73">
        <v>-39</v>
      </c>
      <c r="K199" s="73">
        <v>-688</v>
      </c>
      <c r="L199" s="73">
        <v>-175</v>
      </c>
      <c r="M199" s="73">
        <v>-92</v>
      </c>
      <c r="N199" s="73">
        <v>-198</v>
      </c>
      <c r="O199" s="73">
        <v>-107</v>
      </c>
      <c r="P199" s="73">
        <v>-129</v>
      </c>
      <c r="Q199" s="73">
        <v>-97</v>
      </c>
      <c r="R199" s="73">
        <v>0</v>
      </c>
      <c r="S199" s="73">
        <v>0</v>
      </c>
      <c r="T199" s="73">
        <v>0</v>
      </c>
      <c r="U199" s="73">
        <v>0</v>
      </c>
      <c r="V199" s="73">
        <v>0</v>
      </c>
      <c r="W199" s="73">
        <v>0</v>
      </c>
      <c r="X199" s="73">
        <v>0</v>
      </c>
      <c r="Y199" s="73">
        <v>0</v>
      </c>
      <c r="Z199" s="73">
        <v>4208</v>
      </c>
      <c r="AA199" s="73">
        <v>2837</v>
      </c>
      <c r="AB199" s="73">
        <v>0</v>
      </c>
      <c r="AC199" s="73">
        <v>0</v>
      </c>
      <c r="AD199" s="73">
        <v>0</v>
      </c>
      <c r="AE199" s="73">
        <v>0</v>
      </c>
      <c r="AF199" s="74">
        <f>tblData[[#This Row],[Gross Sales]]+tblData[[#This Row],[Trade Discounts]]+tblData[[#This Row],[Returns]]</f>
        <v>2691</v>
      </c>
      <c r="AG199" s="74">
        <f>tblData[[#This Row],[Material Cost]]+tblData[[#This Row],[Conversion Cost]]+tblData[[#This Row],[Inbound Freight]]</f>
        <v>-955</v>
      </c>
      <c r="AH199" s="74">
        <f>tblData[[#This Row],[Net Revenue]]+tblData[[#This Row],[COGS]]</f>
        <v>1736</v>
      </c>
      <c r="AI199" s="74">
        <f>tblData[[#This Row],[Advertising]]+tblData[[#This Row],[Promotions]]</f>
        <v>-305</v>
      </c>
      <c r="AJ199" s="74">
        <f>tblData[[#This Row],[Outbound Logistics]]+tblData[[#This Row],[Direct Selling]]</f>
        <v>-226</v>
      </c>
      <c r="AK199" s="74">
        <f>tblData[[#This Row],[Gross Profit]]+tblData[[#This Row],[AP Spend]]+tblData[[#This Row],[Cost to Serve]]</f>
        <v>1205</v>
      </c>
    </row>
    <row r="200" spans="2:37" x14ac:dyDescent="0.25">
      <c r="B200" s="71" t="s">
        <v>36</v>
      </c>
      <c r="C200" s="71">
        <v>2025</v>
      </c>
      <c r="D200" s="71">
        <v>5</v>
      </c>
      <c r="E200" s="71" t="s">
        <v>44</v>
      </c>
      <c r="F200" s="71" t="s">
        <v>39</v>
      </c>
      <c r="G200" s="72">
        <v>301.3</v>
      </c>
      <c r="H200" s="73">
        <v>2658</v>
      </c>
      <c r="I200" s="73">
        <v>-415</v>
      </c>
      <c r="J200" s="73">
        <v>-32</v>
      </c>
      <c r="K200" s="73">
        <v>-679</v>
      </c>
      <c r="L200" s="73">
        <v>-172</v>
      </c>
      <c r="M200" s="73">
        <v>-91</v>
      </c>
      <c r="N200" s="73">
        <v>-113</v>
      </c>
      <c r="O200" s="73">
        <v>-61</v>
      </c>
      <c r="P200" s="73">
        <v>-106</v>
      </c>
      <c r="Q200" s="73">
        <v>-80</v>
      </c>
      <c r="R200" s="73">
        <v>0</v>
      </c>
      <c r="S200" s="73">
        <v>0</v>
      </c>
      <c r="T200" s="73">
        <v>0</v>
      </c>
      <c r="U200" s="73">
        <v>0</v>
      </c>
      <c r="V200" s="73">
        <v>0</v>
      </c>
      <c r="W200" s="73">
        <v>0</v>
      </c>
      <c r="X200" s="73">
        <v>0</v>
      </c>
      <c r="Y200" s="73">
        <v>0</v>
      </c>
      <c r="Z200" s="73">
        <v>3609</v>
      </c>
      <c r="AA200" s="73">
        <v>2459</v>
      </c>
      <c r="AB200" s="73">
        <v>0</v>
      </c>
      <c r="AC200" s="73">
        <v>0</v>
      </c>
      <c r="AD200" s="73">
        <v>0</v>
      </c>
      <c r="AE200" s="73">
        <v>0</v>
      </c>
      <c r="AF200" s="74">
        <f>tblData[[#This Row],[Gross Sales]]+tblData[[#This Row],[Trade Discounts]]+tblData[[#This Row],[Returns]]</f>
        <v>2211</v>
      </c>
      <c r="AG200" s="74">
        <f>tblData[[#This Row],[Material Cost]]+tblData[[#This Row],[Conversion Cost]]+tblData[[#This Row],[Inbound Freight]]</f>
        <v>-942</v>
      </c>
      <c r="AH200" s="74">
        <f>tblData[[#This Row],[Net Revenue]]+tblData[[#This Row],[COGS]]</f>
        <v>1269</v>
      </c>
      <c r="AI200" s="74">
        <f>tblData[[#This Row],[Advertising]]+tblData[[#This Row],[Promotions]]</f>
        <v>-174</v>
      </c>
      <c r="AJ200" s="74">
        <f>tblData[[#This Row],[Outbound Logistics]]+tblData[[#This Row],[Direct Selling]]</f>
        <v>-186</v>
      </c>
      <c r="AK200" s="74">
        <f>tblData[[#This Row],[Gross Profit]]+tblData[[#This Row],[AP Spend]]+tblData[[#This Row],[Cost to Serve]]</f>
        <v>909</v>
      </c>
    </row>
    <row r="201" spans="2:37" x14ac:dyDescent="0.25">
      <c r="B201" s="71" t="s">
        <v>36</v>
      </c>
      <c r="C201" s="71">
        <v>2025</v>
      </c>
      <c r="D201" s="71">
        <v>5</v>
      </c>
      <c r="E201" s="71" t="s">
        <v>44</v>
      </c>
      <c r="F201" s="71" t="s">
        <v>40</v>
      </c>
      <c r="G201" s="72">
        <v>287.89999999999998</v>
      </c>
      <c r="H201" s="73">
        <v>1975</v>
      </c>
      <c r="I201" s="73">
        <v>-308</v>
      </c>
      <c r="J201" s="73">
        <v>-24</v>
      </c>
      <c r="K201" s="73">
        <v>-560</v>
      </c>
      <c r="L201" s="73">
        <v>-142</v>
      </c>
      <c r="M201" s="73">
        <v>-75</v>
      </c>
      <c r="N201" s="73">
        <v>-57</v>
      </c>
      <c r="O201" s="73">
        <v>-30</v>
      </c>
      <c r="P201" s="73">
        <v>-79</v>
      </c>
      <c r="Q201" s="73">
        <v>-59</v>
      </c>
      <c r="R201" s="73">
        <v>0</v>
      </c>
      <c r="S201" s="73">
        <v>0</v>
      </c>
      <c r="T201" s="73">
        <v>0</v>
      </c>
      <c r="U201" s="73">
        <v>0</v>
      </c>
      <c r="V201" s="73">
        <v>0</v>
      </c>
      <c r="W201" s="73">
        <v>0</v>
      </c>
      <c r="X201" s="73">
        <v>0</v>
      </c>
      <c r="Y201" s="73">
        <v>0</v>
      </c>
      <c r="Z201" s="73">
        <v>2676</v>
      </c>
      <c r="AA201" s="73">
        <v>1899</v>
      </c>
      <c r="AB201" s="73">
        <v>0</v>
      </c>
      <c r="AC201" s="73">
        <v>0</v>
      </c>
      <c r="AD201" s="73">
        <v>0</v>
      </c>
      <c r="AE201" s="73">
        <v>0</v>
      </c>
      <c r="AF201" s="74">
        <f>tblData[[#This Row],[Gross Sales]]+tblData[[#This Row],[Trade Discounts]]+tblData[[#This Row],[Returns]]</f>
        <v>1643</v>
      </c>
      <c r="AG201" s="74">
        <f>tblData[[#This Row],[Material Cost]]+tblData[[#This Row],[Conversion Cost]]+tblData[[#This Row],[Inbound Freight]]</f>
        <v>-777</v>
      </c>
      <c r="AH201" s="74">
        <f>tblData[[#This Row],[Net Revenue]]+tblData[[#This Row],[COGS]]</f>
        <v>866</v>
      </c>
      <c r="AI201" s="74">
        <f>tblData[[#This Row],[Advertising]]+tblData[[#This Row],[Promotions]]</f>
        <v>-87</v>
      </c>
      <c r="AJ201" s="74">
        <f>tblData[[#This Row],[Outbound Logistics]]+tblData[[#This Row],[Direct Selling]]</f>
        <v>-138</v>
      </c>
      <c r="AK201" s="74">
        <f>tblData[[#This Row],[Gross Profit]]+tblData[[#This Row],[AP Spend]]+tblData[[#This Row],[Cost to Serve]]</f>
        <v>641</v>
      </c>
    </row>
    <row r="202" spans="2:37" x14ac:dyDescent="0.25">
      <c r="B202" s="71" t="s">
        <v>36</v>
      </c>
      <c r="C202" s="71">
        <v>2025</v>
      </c>
      <c r="D202" s="71">
        <v>5</v>
      </c>
      <c r="E202" s="71" t="s">
        <v>44</v>
      </c>
      <c r="F202" s="71" t="s">
        <v>41</v>
      </c>
      <c r="G202" s="72">
        <v>142.19999999999999</v>
      </c>
      <c r="H202" s="73">
        <v>1533</v>
      </c>
      <c r="I202" s="73">
        <v>-239</v>
      </c>
      <c r="J202" s="73">
        <v>-18</v>
      </c>
      <c r="K202" s="73">
        <v>-359</v>
      </c>
      <c r="L202" s="73">
        <v>-91</v>
      </c>
      <c r="M202" s="73">
        <v>-48</v>
      </c>
      <c r="N202" s="73">
        <v>-121</v>
      </c>
      <c r="O202" s="73">
        <v>-65</v>
      </c>
      <c r="P202" s="73">
        <v>-61</v>
      </c>
      <c r="Q202" s="73">
        <v>-46</v>
      </c>
      <c r="R202" s="73">
        <v>0</v>
      </c>
      <c r="S202" s="73">
        <v>0</v>
      </c>
      <c r="T202" s="73">
        <v>0</v>
      </c>
      <c r="U202" s="73">
        <v>0</v>
      </c>
      <c r="V202" s="73">
        <v>0</v>
      </c>
      <c r="W202" s="73">
        <v>0</v>
      </c>
      <c r="X202" s="73">
        <v>0</v>
      </c>
      <c r="Y202" s="73">
        <v>0</v>
      </c>
      <c r="Z202" s="73">
        <v>2094</v>
      </c>
      <c r="AA202" s="73">
        <v>1471</v>
      </c>
      <c r="AB202" s="73">
        <v>0</v>
      </c>
      <c r="AC202" s="73">
        <v>0</v>
      </c>
      <c r="AD202" s="73">
        <v>0</v>
      </c>
      <c r="AE202" s="73">
        <v>0</v>
      </c>
      <c r="AF202" s="74">
        <f>tblData[[#This Row],[Gross Sales]]+tblData[[#This Row],[Trade Discounts]]+tblData[[#This Row],[Returns]]</f>
        <v>1276</v>
      </c>
      <c r="AG202" s="74">
        <f>tblData[[#This Row],[Material Cost]]+tblData[[#This Row],[Conversion Cost]]+tblData[[#This Row],[Inbound Freight]]</f>
        <v>-498</v>
      </c>
      <c r="AH202" s="74">
        <f>tblData[[#This Row],[Net Revenue]]+tblData[[#This Row],[COGS]]</f>
        <v>778</v>
      </c>
      <c r="AI202" s="74">
        <f>tblData[[#This Row],[Advertising]]+tblData[[#This Row],[Promotions]]</f>
        <v>-186</v>
      </c>
      <c r="AJ202" s="74">
        <f>tblData[[#This Row],[Outbound Logistics]]+tblData[[#This Row],[Direct Selling]]</f>
        <v>-107</v>
      </c>
      <c r="AK202" s="74">
        <f>tblData[[#This Row],[Gross Profit]]+tblData[[#This Row],[AP Spend]]+tblData[[#This Row],[Cost to Serve]]</f>
        <v>485</v>
      </c>
    </row>
    <row r="203" spans="2:37" x14ac:dyDescent="0.25">
      <c r="B203" s="71" t="s">
        <v>36</v>
      </c>
      <c r="C203" s="71">
        <v>2025</v>
      </c>
      <c r="D203" s="71">
        <v>5</v>
      </c>
      <c r="E203" s="71" t="s">
        <v>44</v>
      </c>
      <c r="F203" s="71" t="s">
        <v>42</v>
      </c>
      <c r="G203" s="72">
        <v>189.5</v>
      </c>
      <c r="H203" s="73">
        <v>1114</v>
      </c>
      <c r="I203" s="73">
        <v>-174</v>
      </c>
      <c r="J203" s="73">
        <v>-13</v>
      </c>
      <c r="K203" s="73">
        <v>-348</v>
      </c>
      <c r="L203" s="73">
        <v>-88</v>
      </c>
      <c r="M203" s="73">
        <v>-47</v>
      </c>
      <c r="N203" s="73">
        <v>-24</v>
      </c>
      <c r="O203" s="73">
        <v>-13</v>
      </c>
      <c r="P203" s="73">
        <v>-45</v>
      </c>
      <c r="Q203" s="73">
        <v>-33</v>
      </c>
      <c r="R203" s="73">
        <v>0</v>
      </c>
      <c r="S203" s="73">
        <v>0</v>
      </c>
      <c r="T203" s="73">
        <v>0</v>
      </c>
      <c r="U203" s="73">
        <v>0</v>
      </c>
      <c r="V203" s="73">
        <v>0</v>
      </c>
      <c r="W203" s="73">
        <v>0</v>
      </c>
      <c r="X203" s="73">
        <v>0</v>
      </c>
      <c r="Y203" s="73">
        <v>0</v>
      </c>
      <c r="Z203" s="73">
        <v>1509</v>
      </c>
      <c r="AA203" s="73">
        <v>1728</v>
      </c>
      <c r="AB203" s="73">
        <v>0</v>
      </c>
      <c r="AC203" s="73">
        <v>0</v>
      </c>
      <c r="AD203" s="73">
        <v>0</v>
      </c>
      <c r="AE203" s="73">
        <v>0</v>
      </c>
      <c r="AF203" s="74">
        <f>tblData[[#This Row],[Gross Sales]]+tblData[[#This Row],[Trade Discounts]]+tblData[[#This Row],[Returns]]</f>
        <v>927</v>
      </c>
      <c r="AG203" s="74">
        <f>tblData[[#This Row],[Material Cost]]+tblData[[#This Row],[Conversion Cost]]+tblData[[#This Row],[Inbound Freight]]</f>
        <v>-483</v>
      </c>
      <c r="AH203" s="74">
        <f>tblData[[#This Row],[Net Revenue]]+tblData[[#This Row],[COGS]]</f>
        <v>444</v>
      </c>
      <c r="AI203" s="74">
        <f>tblData[[#This Row],[Advertising]]+tblData[[#This Row],[Promotions]]</f>
        <v>-37</v>
      </c>
      <c r="AJ203" s="74">
        <f>tblData[[#This Row],[Outbound Logistics]]+tblData[[#This Row],[Direct Selling]]</f>
        <v>-78</v>
      </c>
      <c r="AK203" s="74">
        <f>tblData[[#This Row],[Gross Profit]]+tblData[[#This Row],[AP Spend]]+tblData[[#This Row],[Cost to Serve]]</f>
        <v>329</v>
      </c>
    </row>
    <row r="204" spans="2:37" x14ac:dyDescent="0.25">
      <c r="B204" s="71" t="s">
        <v>36</v>
      </c>
      <c r="C204" s="71">
        <v>2025</v>
      </c>
      <c r="D204" s="71">
        <v>5</v>
      </c>
      <c r="E204" s="71" t="s">
        <v>44</v>
      </c>
      <c r="F204" s="71" t="s">
        <v>43</v>
      </c>
      <c r="G204" s="72">
        <v>40.700000000000003</v>
      </c>
      <c r="H204" s="73">
        <v>717</v>
      </c>
      <c r="I204" s="73">
        <v>-112</v>
      </c>
      <c r="J204" s="73">
        <v>-9</v>
      </c>
      <c r="K204" s="73">
        <v>-193</v>
      </c>
      <c r="L204" s="73">
        <v>-49</v>
      </c>
      <c r="M204" s="73">
        <v>-26</v>
      </c>
      <c r="N204" s="73">
        <v>-66</v>
      </c>
      <c r="O204" s="73">
        <v>-36</v>
      </c>
      <c r="P204" s="73">
        <v>-29</v>
      </c>
      <c r="Q204" s="73">
        <v>-22</v>
      </c>
      <c r="R204" s="73">
        <v>0</v>
      </c>
      <c r="S204" s="73">
        <v>0</v>
      </c>
      <c r="T204" s="73">
        <v>0</v>
      </c>
      <c r="U204" s="73">
        <v>0</v>
      </c>
      <c r="V204" s="73">
        <v>0</v>
      </c>
      <c r="W204" s="73">
        <v>0</v>
      </c>
      <c r="X204" s="73">
        <v>0</v>
      </c>
      <c r="Y204" s="73">
        <v>0</v>
      </c>
      <c r="Z204" s="73">
        <v>914</v>
      </c>
      <c r="AA204" s="73">
        <v>986</v>
      </c>
      <c r="AB204" s="73">
        <v>0</v>
      </c>
      <c r="AC204" s="73">
        <v>0</v>
      </c>
      <c r="AD204" s="73">
        <v>0</v>
      </c>
      <c r="AE204" s="73">
        <v>0</v>
      </c>
      <c r="AF204" s="74">
        <f>tblData[[#This Row],[Gross Sales]]+tblData[[#This Row],[Trade Discounts]]+tblData[[#This Row],[Returns]]</f>
        <v>596</v>
      </c>
      <c r="AG204" s="74">
        <f>tblData[[#This Row],[Material Cost]]+tblData[[#This Row],[Conversion Cost]]+tblData[[#This Row],[Inbound Freight]]</f>
        <v>-268</v>
      </c>
      <c r="AH204" s="74">
        <f>tblData[[#This Row],[Net Revenue]]+tblData[[#This Row],[COGS]]</f>
        <v>328</v>
      </c>
      <c r="AI204" s="74">
        <f>tblData[[#This Row],[Advertising]]+tblData[[#This Row],[Promotions]]</f>
        <v>-102</v>
      </c>
      <c r="AJ204" s="74">
        <f>tblData[[#This Row],[Outbound Logistics]]+tblData[[#This Row],[Direct Selling]]</f>
        <v>-51</v>
      </c>
      <c r="AK204" s="74">
        <f>tblData[[#This Row],[Gross Profit]]+tblData[[#This Row],[AP Spend]]+tblData[[#This Row],[Cost to Serve]]</f>
        <v>175</v>
      </c>
    </row>
    <row r="205" spans="2:37" x14ac:dyDescent="0.25">
      <c r="B205" s="71" t="s">
        <v>36</v>
      </c>
      <c r="C205" s="71">
        <v>2025</v>
      </c>
      <c r="D205" s="71">
        <v>5</v>
      </c>
      <c r="E205" s="71" t="s">
        <v>45</v>
      </c>
      <c r="F205" s="71" t="s">
        <v>38</v>
      </c>
      <c r="G205" s="72">
        <v>133.69999999999999</v>
      </c>
      <c r="H205" s="73">
        <v>1835</v>
      </c>
      <c r="I205" s="73">
        <v>-396</v>
      </c>
      <c r="J205" s="73">
        <v>-18</v>
      </c>
      <c r="K205" s="73">
        <v>-390</v>
      </c>
      <c r="L205" s="73">
        <v>-99</v>
      </c>
      <c r="M205" s="73">
        <v>-52</v>
      </c>
      <c r="N205" s="73">
        <v>-116</v>
      </c>
      <c r="O205" s="73">
        <v>-62</v>
      </c>
      <c r="P205" s="73">
        <v>-64</v>
      </c>
      <c r="Q205" s="73">
        <v>-37</v>
      </c>
      <c r="R205" s="73">
        <v>0</v>
      </c>
      <c r="S205" s="73">
        <v>0</v>
      </c>
      <c r="T205" s="73">
        <v>0</v>
      </c>
      <c r="U205" s="73">
        <v>0</v>
      </c>
      <c r="V205" s="73">
        <v>0</v>
      </c>
      <c r="W205" s="73">
        <v>0</v>
      </c>
      <c r="X205" s="73">
        <v>0</v>
      </c>
      <c r="Y205" s="73">
        <v>0</v>
      </c>
      <c r="Z205" s="73">
        <v>2072</v>
      </c>
      <c r="AA205" s="73">
        <v>1669</v>
      </c>
      <c r="AB205" s="73">
        <v>0</v>
      </c>
      <c r="AC205" s="73">
        <v>0</v>
      </c>
      <c r="AD205" s="73">
        <v>0</v>
      </c>
      <c r="AE205" s="73">
        <v>0</v>
      </c>
      <c r="AF205" s="74">
        <f>tblData[[#This Row],[Gross Sales]]+tblData[[#This Row],[Trade Discounts]]+tblData[[#This Row],[Returns]]</f>
        <v>1421</v>
      </c>
      <c r="AG205" s="74">
        <f>tblData[[#This Row],[Material Cost]]+tblData[[#This Row],[Conversion Cost]]+tblData[[#This Row],[Inbound Freight]]</f>
        <v>-541</v>
      </c>
      <c r="AH205" s="74">
        <f>tblData[[#This Row],[Net Revenue]]+tblData[[#This Row],[COGS]]</f>
        <v>880</v>
      </c>
      <c r="AI205" s="74">
        <f>tblData[[#This Row],[Advertising]]+tblData[[#This Row],[Promotions]]</f>
        <v>-178</v>
      </c>
      <c r="AJ205" s="74">
        <f>tblData[[#This Row],[Outbound Logistics]]+tblData[[#This Row],[Direct Selling]]</f>
        <v>-101</v>
      </c>
      <c r="AK205" s="74">
        <f>tblData[[#This Row],[Gross Profit]]+tblData[[#This Row],[AP Spend]]+tblData[[#This Row],[Cost to Serve]]</f>
        <v>601</v>
      </c>
    </row>
    <row r="206" spans="2:37" x14ac:dyDescent="0.25">
      <c r="B206" s="71" t="s">
        <v>36</v>
      </c>
      <c r="C206" s="71">
        <v>2025</v>
      </c>
      <c r="D206" s="71">
        <v>5</v>
      </c>
      <c r="E206" s="71" t="s">
        <v>45</v>
      </c>
      <c r="F206" s="71" t="s">
        <v>39</v>
      </c>
      <c r="G206" s="72">
        <v>184.8</v>
      </c>
      <c r="H206" s="73">
        <v>1630</v>
      </c>
      <c r="I206" s="73">
        <v>-352</v>
      </c>
      <c r="J206" s="73">
        <v>-16</v>
      </c>
      <c r="K206" s="73">
        <v>-416</v>
      </c>
      <c r="L206" s="73">
        <v>-106</v>
      </c>
      <c r="M206" s="73">
        <v>-56</v>
      </c>
      <c r="N206" s="73">
        <v>-66</v>
      </c>
      <c r="O206" s="73">
        <v>-36</v>
      </c>
      <c r="P206" s="73">
        <v>-57</v>
      </c>
      <c r="Q206" s="73">
        <v>-33</v>
      </c>
      <c r="R206" s="73">
        <v>0</v>
      </c>
      <c r="S206" s="73">
        <v>0</v>
      </c>
      <c r="T206" s="73">
        <v>0</v>
      </c>
      <c r="U206" s="73">
        <v>0</v>
      </c>
      <c r="V206" s="73">
        <v>0</v>
      </c>
      <c r="W206" s="73">
        <v>0</v>
      </c>
      <c r="X206" s="73">
        <v>0</v>
      </c>
      <c r="Y206" s="73">
        <v>0</v>
      </c>
      <c r="Z206" s="73">
        <v>1783</v>
      </c>
      <c r="AA206" s="73">
        <v>1451</v>
      </c>
      <c r="AB206" s="73">
        <v>0</v>
      </c>
      <c r="AC206" s="73">
        <v>0</v>
      </c>
      <c r="AD206" s="73">
        <v>0</v>
      </c>
      <c r="AE206" s="73">
        <v>0</v>
      </c>
      <c r="AF206" s="74">
        <f>tblData[[#This Row],[Gross Sales]]+tblData[[#This Row],[Trade Discounts]]+tblData[[#This Row],[Returns]]</f>
        <v>1262</v>
      </c>
      <c r="AG206" s="74">
        <f>tblData[[#This Row],[Material Cost]]+tblData[[#This Row],[Conversion Cost]]+tblData[[#This Row],[Inbound Freight]]</f>
        <v>-578</v>
      </c>
      <c r="AH206" s="74">
        <f>tblData[[#This Row],[Net Revenue]]+tblData[[#This Row],[COGS]]</f>
        <v>684</v>
      </c>
      <c r="AI206" s="74">
        <f>tblData[[#This Row],[Advertising]]+tblData[[#This Row],[Promotions]]</f>
        <v>-102</v>
      </c>
      <c r="AJ206" s="74">
        <f>tblData[[#This Row],[Outbound Logistics]]+tblData[[#This Row],[Direct Selling]]</f>
        <v>-90</v>
      </c>
      <c r="AK206" s="74">
        <f>tblData[[#This Row],[Gross Profit]]+tblData[[#This Row],[AP Spend]]+tblData[[#This Row],[Cost to Serve]]</f>
        <v>492</v>
      </c>
    </row>
    <row r="207" spans="2:37" x14ac:dyDescent="0.25">
      <c r="B207" s="71" t="s">
        <v>36</v>
      </c>
      <c r="C207" s="71">
        <v>2025</v>
      </c>
      <c r="D207" s="71">
        <v>5</v>
      </c>
      <c r="E207" s="71" t="s">
        <v>45</v>
      </c>
      <c r="F207" s="71" t="s">
        <v>40</v>
      </c>
      <c r="G207" s="72">
        <v>172.9</v>
      </c>
      <c r="H207" s="73">
        <v>1186</v>
      </c>
      <c r="I207" s="73">
        <v>-256</v>
      </c>
      <c r="J207" s="73">
        <v>-12</v>
      </c>
      <c r="K207" s="73">
        <v>-336</v>
      </c>
      <c r="L207" s="73">
        <v>-85</v>
      </c>
      <c r="M207" s="73">
        <v>-45</v>
      </c>
      <c r="N207" s="73">
        <v>-33</v>
      </c>
      <c r="O207" s="73">
        <v>-18</v>
      </c>
      <c r="P207" s="73">
        <v>-42</v>
      </c>
      <c r="Q207" s="73">
        <v>-24</v>
      </c>
      <c r="R207" s="73">
        <v>0</v>
      </c>
      <c r="S207" s="73">
        <v>0</v>
      </c>
      <c r="T207" s="73">
        <v>0</v>
      </c>
      <c r="U207" s="73">
        <v>0</v>
      </c>
      <c r="V207" s="73">
        <v>0</v>
      </c>
      <c r="W207" s="73">
        <v>0</v>
      </c>
      <c r="X207" s="73">
        <v>0</v>
      </c>
      <c r="Y207" s="73">
        <v>0</v>
      </c>
      <c r="Z207" s="73">
        <v>1331</v>
      </c>
      <c r="AA207" s="73">
        <v>1128</v>
      </c>
      <c r="AB207" s="73">
        <v>0</v>
      </c>
      <c r="AC207" s="73">
        <v>0</v>
      </c>
      <c r="AD207" s="73">
        <v>0</v>
      </c>
      <c r="AE207" s="73">
        <v>0</v>
      </c>
      <c r="AF207" s="74">
        <f>tblData[[#This Row],[Gross Sales]]+tblData[[#This Row],[Trade Discounts]]+tblData[[#This Row],[Returns]]</f>
        <v>918</v>
      </c>
      <c r="AG207" s="74">
        <f>tblData[[#This Row],[Material Cost]]+tblData[[#This Row],[Conversion Cost]]+tblData[[#This Row],[Inbound Freight]]</f>
        <v>-466</v>
      </c>
      <c r="AH207" s="74">
        <f>tblData[[#This Row],[Net Revenue]]+tblData[[#This Row],[COGS]]</f>
        <v>452</v>
      </c>
      <c r="AI207" s="74">
        <f>tblData[[#This Row],[Advertising]]+tblData[[#This Row],[Promotions]]</f>
        <v>-51</v>
      </c>
      <c r="AJ207" s="74">
        <f>tblData[[#This Row],[Outbound Logistics]]+tblData[[#This Row],[Direct Selling]]</f>
        <v>-66</v>
      </c>
      <c r="AK207" s="74">
        <f>tblData[[#This Row],[Gross Profit]]+tblData[[#This Row],[AP Spend]]+tblData[[#This Row],[Cost to Serve]]</f>
        <v>335</v>
      </c>
    </row>
    <row r="208" spans="2:37" x14ac:dyDescent="0.25">
      <c r="B208" s="71" t="s">
        <v>36</v>
      </c>
      <c r="C208" s="71">
        <v>2025</v>
      </c>
      <c r="D208" s="71">
        <v>5</v>
      </c>
      <c r="E208" s="71" t="s">
        <v>45</v>
      </c>
      <c r="F208" s="71" t="s">
        <v>41</v>
      </c>
      <c r="G208" s="72">
        <v>86.7</v>
      </c>
      <c r="H208" s="73">
        <v>935</v>
      </c>
      <c r="I208" s="73">
        <v>-202</v>
      </c>
      <c r="J208" s="73">
        <v>-9</v>
      </c>
      <c r="K208" s="73">
        <v>-219</v>
      </c>
      <c r="L208" s="73">
        <v>-56</v>
      </c>
      <c r="M208" s="73">
        <v>-29</v>
      </c>
      <c r="N208" s="73">
        <v>-71</v>
      </c>
      <c r="O208" s="73">
        <v>-38</v>
      </c>
      <c r="P208" s="73">
        <v>-33</v>
      </c>
      <c r="Q208" s="73">
        <v>-19</v>
      </c>
      <c r="R208" s="73">
        <v>0</v>
      </c>
      <c r="S208" s="73">
        <v>0</v>
      </c>
      <c r="T208" s="73">
        <v>0</v>
      </c>
      <c r="U208" s="73">
        <v>0</v>
      </c>
      <c r="V208" s="73">
        <v>0</v>
      </c>
      <c r="W208" s="73">
        <v>0</v>
      </c>
      <c r="X208" s="73">
        <v>0</v>
      </c>
      <c r="Y208" s="73">
        <v>0</v>
      </c>
      <c r="Z208" s="73">
        <v>1028</v>
      </c>
      <c r="AA208" s="73">
        <v>863</v>
      </c>
      <c r="AB208" s="73">
        <v>0</v>
      </c>
      <c r="AC208" s="73">
        <v>0</v>
      </c>
      <c r="AD208" s="73">
        <v>0</v>
      </c>
      <c r="AE208" s="73">
        <v>0</v>
      </c>
      <c r="AF208" s="74">
        <f>tblData[[#This Row],[Gross Sales]]+tblData[[#This Row],[Trade Discounts]]+tblData[[#This Row],[Returns]]</f>
        <v>724</v>
      </c>
      <c r="AG208" s="74">
        <f>tblData[[#This Row],[Material Cost]]+tblData[[#This Row],[Conversion Cost]]+tblData[[#This Row],[Inbound Freight]]</f>
        <v>-304</v>
      </c>
      <c r="AH208" s="74">
        <f>tblData[[#This Row],[Net Revenue]]+tblData[[#This Row],[COGS]]</f>
        <v>420</v>
      </c>
      <c r="AI208" s="74">
        <f>tblData[[#This Row],[Advertising]]+tblData[[#This Row],[Promotions]]</f>
        <v>-109</v>
      </c>
      <c r="AJ208" s="74">
        <f>tblData[[#This Row],[Outbound Logistics]]+tblData[[#This Row],[Direct Selling]]</f>
        <v>-52</v>
      </c>
      <c r="AK208" s="74">
        <f>tblData[[#This Row],[Gross Profit]]+tblData[[#This Row],[AP Spend]]+tblData[[#This Row],[Cost to Serve]]</f>
        <v>259</v>
      </c>
    </row>
    <row r="209" spans="2:37" x14ac:dyDescent="0.25">
      <c r="B209" s="71" t="s">
        <v>36</v>
      </c>
      <c r="C209" s="71">
        <v>2025</v>
      </c>
      <c r="D209" s="71">
        <v>5</v>
      </c>
      <c r="E209" s="71" t="s">
        <v>45</v>
      </c>
      <c r="F209" s="71" t="s">
        <v>42</v>
      </c>
      <c r="G209" s="72">
        <v>109.5</v>
      </c>
      <c r="H209" s="73">
        <v>644</v>
      </c>
      <c r="I209" s="73">
        <v>-139</v>
      </c>
      <c r="J209" s="73">
        <v>-6</v>
      </c>
      <c r="K209" s="73">
        <v>-201</v>
      </c>
      <c r="L209" s="73">
        <v>-51</v>
      </c>
      <c r="M209" s="73">
        <v>-27</v>
      </c>
      <c r="N209" s="73">
        <v>-14</v>
      </c>
      <c r="O209" s="73">
        <v>-7</v>
      </c>
      <c r="P209" s="73">
        <v>-23</v>
      </c>
      <c r="Q209" s="73">
        <v>-13</v>
      </c>
      <c r="R209" s="73">
        <v>0</v>
      </c>
      <c r="S209" s="73">
        <v>0</v>
      </c>
      <c r="T209" s="73">
        <v>0</v>
      </c>
      <c r="U209" s="73">
        <v>0</v>
      </c>
      <c r="V209" s="73">
        <v>0</v>
      </c>
      <c r="W209" s="73">
        <v>0</v>
      </c>
      <c r="X209" s="73">
        <v>0</v>
      </c>
      <c r="Y209" s="73">
        <v>0</v>
      </c>
      <c r="Z209" s="73">
        <v>734</v>
      </c>
      <c r="AA209" s="73">
        <v>1004</v>
      </c>
      <c r="AB209" s="73">
        <v>0</v>
      </c>
      <c r="AC209" s="73">
        <v>0</v>
      </c>
      <c r="AD209" s="73">
        <v>0</v>
      </c>
      <c r="AE209" s="73">
        <v>0</v>
      </c>
      <c r="AF209" s="74">
        <f>tblData[[#This Row],[Gross Sales]]+tblData[[#This Row],[Trade Discounts]]+tblData[[#This Row],[Returns]]</f>
        <v>499</v>
      </c>
      <c r="AG209" s="74">
        <f>tblData[[#This Row],[Material Cost]]+tblData[[#This Row],[Conversion Cost]]+tblData[[#This Row],[Inbound Freight]]</f>
        <v>-279</v>
      </c>
      <c r="AH209" s="74">
        <f>tblData[[#This Row],[Net Revenue]]+tblData[[#This Row],[COGS]]</f>
        <v>220</v>
      </c>
      <c r="AI209" s="74">
        <f>tblData[[#This Row],[Advertising]]+tblData[[#This Row],[Promotions]]</f>
        <v>-21</v>
      </c>
      <c r="AJ209" s="74">
        <f>tblData[[#This Row],[Outbound Logistics]]+tblData[[#This Row],[Direct Selling]]</f>
        <v>-36</v>
      </c>
      <c r="AK209" s="74">
        <f>tblData[[#This Row],[Gross Profit]]+tblData[[#This Row],[AP Spend]]+tblData[[#This Row],[Cost to Serve]]</f>
        <v>163</v>
      </c>
    </row>
    <row r="210" spans="2:37" x14ac:dyDescent="0.25">
      <c r="B210" s="71" t="s">
        <v>36</v>
      </c>
      <c r="C210" s="71">
        <v>2025</v>
      </c>
      <c r="D210" s="71">
        <v>5</v>
      </c>
      <c r="E210" s="71" t="s">
        <v>45</v>
      </c>
      <c r="F210" s="71" t="s">
        <v>43</v>
      </c>
      <c r="G210" s="72">
        <v>22.2</v>
      </c>
      <c r="H210" s="73">
        <v>391</v>
      </c>
      <c r="I210" s="73">
        <v>-84</v>
      </c>
      <c r="J210" s="73">
        <v>-4</v>
      </c>
      <c r="K210" s="73">
        <v>-105</v>
      </c>
      <c r="L210" s="73">
        <v>-27</v>
      </c>
      <c r="M210" s="73">
        <v>-14</v>
      </c>
      <c r="N210" s="73">
        <v>-39</v>
      </c>
      <c r="O210" s="73">
        <v>-21</v>
      </c>
      <c r="P210" s="73">
        <v>-14</v>
      </c>
      <c r="Q210" s="73">
        <v>-8</v>
      </c>
      <c r="R210" s="73">
        <v>0</v>
      </c>
      <c r="S210" s="73">
        <v>0</v>
      </c>
      <c r="T210" s="73">
        <v>0</v>
      </c>
      <c r="U210" s="73">
        <v>0</v>
      </c>
      <c r="V210" s="73">
        <v>0</v>
      </c>
      <c r="W210" s="73">
        <v>0</v>
      </c>
      <c r="X210" s="73">
        <v>0</v>
      </c>
      <c r="Y210" s="73">
        <v>0</v>
      </c>
      <c r="Z210" s="73">
        <v>436</v>
      </c>
      <c r="AA210" s="73">
        <v>561</v>
      </c>
      <c r="AB210" s="73">
        <v>0</v>
      </c>
      <c r="AC210" s="73">
        <v>0</v>
      </c>
      <c r="AD210" s="73">
        <v>0</v>
      </c>
      <c r="AE210" s="73">
        <v>0</v>
      </c>
      <c r="AF210" s="74">
        <f>tblData[[#This Row],[Gross Sales]]+tblData[[#This Row],[Trade Discounts]]+tblData[[#This Row],[Returns]]</f>
        <v>303</v>
      </c>
      <c r="AG210" s="74">
        <f>tblData[[#This Row],[Material Cost]]+tblData[[#This Row],[Conversion Cost]]+tblData[[#This Row],[Inbound Freight]]</f>
        <v>-146</v>
      </c>
      <c r="AH210" s="74">
        <f>tblData[[#This Row],[Net Revenue]]+tblData[[#This Row],[COGS]]</f>
        <v>157</v>
      </c>
      <c r="AI210" s="74">
        <f>tblData[[#This Row],[Advertising]]+tblData[[#This Row],[Promotions]]</f>
        <v>-60</v>
      </c>
      <c r="AJ210" s="74">
        <f>tblData[[#This Row],[Outbound Logistics]]+tblData[[#This Row],[Direct Selling]]</f>
        <v>-22</v>
      </c>
      <c r="AK210" s="74">
        <f>tblData[[#This Row],[Gross Profit]]+tblData[[#This Row],[AP Spend]]+tblData[[#This Row],[Cost to Serve]]</f>
        <v>75</v>
      </c>
    </row>
    <row r="211" spans="2:37" x14ac:dyDescent="0.25">
      <c r="B211" s="71" t="s">
        <v>36</v>
      </c>
      <c r="C211" s="71">
        <v>2025</v>
      </c>
      <c r="D211" s="71">
        <v>5</v>
      </c>
      <c r="E211" s="71" t="s">
        <v>46</v>
      </c>
      <c r="F211" s="71" t="s">
        <v>38</v>
      </c>
      <c r="G211" s="72">
        <v>145.69999999999999</v>
      </c>
      <c r="H211" s="73">
        <v>1999</v>
      </c>
      <c r="I211" s="73">
        <v>-212</v>
      </c>
      <c r="J211" s="73">
        <v>-80</v>
      </c>
      <c r="K211" s="73">
        <v>-425</v>
      </c>
      <c r="L211" s="73">
        <v>-108</v>
      </c>
      <c r="M211" s="73">
        <v>-57</v>
      </c>
      <c r="N211" s="73">
        <v>-132</v>
      </c>
      <c r="O211" s="73">
        <v>-71</v>
      </c>
      <c r="P211" s="73">
        <v>-150</v>
      </c>
      <c r="Q211" s="73">
        <v>-40</v>
      </c>
      <c r="R211" s="73">
        <v>0</v>
      </c>
      <c r="S211" s="73">
        <v>0</v>
      </c>
      <c r="T211" s="73">
        <v>0</v>
      </c>
      <c r="U211" s="73">
        <v>0</v>
      </c>
      <c r="V211" s="73">
        <v>0</v>
      </c>
      <c r="W211" s="73">
        <v>0</v>
      </c>
      <c r="X211" s="73">
        <v>0</v>
      </c>
      <c r="Y211" s="73">
        <v>0</v>
      </c>
      <c r="Z211" s="73">
        <v>1327</v>
      </c>
      <c r="AA211" s="73">
        <v>1743</v>
      </c>
      <c r="AB211" s="73">
        <v>0</v>
      </c>
      <c r="AC211" s="73">
        <v>0</v>
      </c>
      <c r="AD211" s="73">
        <v>0</v>
      </c>
      <c r="AE211" s="73">
        <v>0</v>
      </c>
      <c r="AF211" s="74">
        <f>tblData[[#This Row],[Gross Sales]]+tblData[[#This Row],[Trade Discounts]]+tblData[[#This Row],[Returns]]</f>
        <v>1707</v>
      </c>
      <c r="AG211" s="74">
        <f>tblData[[#This Row],[Material Cost]]+tblData[[#This Row],[Conversion Cost]]+tblData[[#This Row],[Inbound Freight]]</f>
        <v>-590</v>
      </c>
      <c r="AH211" s="74">
        <f>tblData[[#This Row],[Net Revenue]]+tblData[[#This Row],[COGS]]</f>
        <v>1117</v>
      </c>
      <c r="AI211" s="74">
        <f>tblData[[#This Row],[Advertising]]+tblData[[#This Row],[Promotions]]</f>
        <v>-203</v>
      </c>
      <c r="AJ211" s="74">
        <f>tblData[[#This Row],[Outbound Logistics]]+tblData[[#This Row],[Direct Selling]]</f>
        <v>-190</v>
      </c>
      <c r="AK211" s="74">
        <f>tblData[[#This Row],[Gross Profit]]+tblData[[#This Row],[AP Spend]]+tblData[[#This Row],[Cost to Serve]]</f>
        <v>724</v>
      </c>
    </row>
    <row r="212" spans="2:37" x14ac:dyDescent="0.25">
      <c r="B212" s="71" t="s">
        <v>36</v>
      </c>
      <c r="C212" s="71">
        <v>2025</v>
      </c>
      <c r="D212" s="71">
        <v>5</v>
      </c>
      <c r="E212" s="71" t="s">
        <v>46</v>
      </c>
      <c r="F212" s="71" t="s">
        <v>39</v>
      </c>
      <c r="G212" s="72">
        <v>181.2</v>
      </c>
      <c r="H212" s="73">
        <v>1598</v>
      </c>
      <c r="I212" s="73">
        <v>-169</v>
      </c>
      <c r="J212" s="73">
        <v>-64</v>
      </c>
      <c r="K212" s="73">
        <v>-408</v>
      </c>
      <c r="L212" s="73">
        <v>-104</v>
      </c>
      <c r="M212" s="73">
        <v>-55</v>
      </c>
      <c r="N212" s="73">
        <v>-75</v>
      </c>
      <c r="O212" s="73">
        <v>-41</v>
      </c>
      <c r="P212" s="73">
        <v>-120</v>
      </c>
      <c r="Q212" s="73">
        <v>-32</v>
      </c>
      <c r="R212" s="73">
        <v>0</v>
      </c>
      <c r="S212" s="73">
        <v>0</v>
      </c>
      <c r="T212" s="73">
        <v>0</v>
      </c>
      <c r="U212" s="73">
        <v>0</v>
      </c>
      <c r="V212" s="73">
        <v>0</v>
      </c>
      <c r="W212" s="73">
        <v>0</v>
      </c>
      <c r="X212" s="73">
        <v>0</v>
      </c>
      <c r="Y212" s="73">
        <v>0</v>
      </c>
      <c r="Z212" s="73">
        <v>1107</v>
      </c>
      <c r="AA212" s="73">
        <v>1470</v>
      </c>
      <c r="AB212" s="73">
        <v>0</v>
      </c>
      <c r="AC212" s="73">
        <v>0</v>
      </c>
      <c r="AD212" s="73">
        <v>0</v>
      </c>
      <c r="AE212" s="73">
        <v>0</v>
      </c>
      <c r="AF212" s="74">
        <f>tblData[[#This Row],[Gross Sales]]+tblData[[#This Row],[Trade Discounts]]+tblData[[#This Row],[Returns]]</f>
        <v>1365</v>
      </c>
      <c r="AG212" s="74">
        <f>tblData[[#This Row],[Material Cost]]+tblData[[#This Row],[Conversion Cost]]+tblData[[#This Row],[Inbound Freight]]</f>
        <v>-567</v>
      </c>
      <c r="AH212" s="74">
        <f>tblData[[#This Row],[Net Revenue]]+tblData[[#This Row],[COGS]]</f>
        <v>798</v>
      </c>
      <c r="AI212" s="74">
        <f>tblData[[#This Row],[Advertising]]+tblData[[#This Row],[Promotions]]</f>
        <v>-116</v>
      </c>
      <c r="AJ212" s="74">
        <f>tblData[[#This Row],[Outbound Logistics]]+tblData[[#This Row],[Direct Selling]]</f>
        <v>-152</v>
      </c>
      <c r="AK212" s="74">
        <f>tblData[[#This Row],[Gross Profit]]+tblData[[#This Row],[AP Spend]]+tblData[[#This Row],[Cost to Serve]]</f>
        <v>530</v>
      </c>
    </row>
    <row r="213" spans="2:37" x14ac:dyDescent="0.25">
      <c r="B213" s="71" t="s">
        <v>36</v>
      </c>
      <c r="C213" s="71">
        <v>2025</v>
      </c>
      <c r="D213" s="71">
        <v>5</v>
      </c>
      <c r="E213" s="71" t="s">
        <v>46</v>
      </c>
      <c r="F213" s="71" t="s">
        <v>40</v>
      </c>
      <c r="G213" s="72">
        <v>179.2</v>
      </c>
      <c r="H213" s="73">
        <v>1230</v>
      </c>
      <c r="I213" s="73">
        <v>-130</v>
      </c>
      <c r="J213" s="73">
        <v>-49</v>
      </c>
      <c r="K213" s="73">
        <v>-349</v>
      </c>
      <c r="L213" s="73">
        <v>-89</v>
      </c>
      <c r="M213" s="73">
        <v>-47</v>
      </c>
      <c r="N213" s="73">
        <v>-38</v>
      </c>
      <c r="O213" s="73">
        <v>-20</v>
      </c>
      <c r="P213" s="73">
        <v>-92</v>
      </c>
      <c r="Q213" s="73">
        <v>-25</v>
      </c>
      <c r="R213" s="73">
        <v>0</v>
      </c>
      <c r="S213" s="73">
        <v>0</v>
      </c>
      <c r="T213" s="73">
        <v>0</v>
      </c>
      <c r="U213" s="73">
        <v>0</v>
      </c>
      <c r="V213" s="73">
        <v>0</v>
      </c>
      <c r="W213" s="73">
        <v>0</v>
      </c>
      <c r="X213" s="73">
        <v>0</v>
      </c>
      <c r="Y213" s="73">
        <v>0</v>
      </c>
      <c r="Z213" s="73">
        <v>839</v>
      </c>
      <c r="AA213" s="73">
        <v>1160</v>
      </c>
      <c r="AB213" s="73">
        <v>0</v>
      </c>
      <c r="AC213" s="73">
        <v>0</v>
      </c>
      <c r="AD213" s="73">
        <v>0</v>
      </c>
      <c r="AE213" s="73">
        <v>0</v>
      </c>
      <c r="AF213" s="74">
        <f>tblData[[#This Row],[Gross Sales]]+tblData[[#This Row],[Trade Discounts]]+tblData[[#This Row],[Returns]]</f>
        <v>1051</v>
      </c>
      <c r="AG213" s="74">
        <f>tblData[[#This Row],[Material Cost]]+tblData[[#This Row],[Conversion Cost]]+tblData[[#This Row],[Inbound Freight]]</f>
        <v>-485</v>
      </c>
      <c r="AH213" s="74">
        <f>tblData[[#This Row],[Net Revenue]]+tblData[[#This Row],[COGS]]</f>
        <v>566</v>
      </c>
      <c r="AI213" s="74">
        <f>tblData[[#This Row],[Advertising]]+tblData[[#This Row],[Promotions]]</f>
        <v>-58</v>
      </c>
      <c r="AJ213" s="74">
        <f>tblData[[#This Row],[Outbound Logistics]]+tblData[[#This Row],[Direct Selling]]</f>
        <v>-117</v>
      </c>
      <c r="AK213" s="74">
        <f>tblData[[#This Row],[Gross Profit]]+tblData[[#This Row],[AP Spend]]+tblData[[#This Row],[Cost to Serve]]</f>
        <v>391</v>
      </c>
    </row>
    <row r="214" spans="2:37" x14ac:dyDescent="0.25">
      <c r="B214" s="71" t="s">
        <v>36</v>
      </c>
      <c r="C214" s="71">
        <v>2025</v>
      </c>
      <c r="D214" s="71">
        <v>5</v>
      </c>
      <c r="E214" s="71" t="s">
        <v>46</v>
      </c>
      <c r="F214" s="71" t="s">
        <v>41</v>
      </c>
      <c r="G214" s="72">
        <v>89.2</v>
      </c>
      <c r="H214" s="73">
        <v>962</v>
      </c>
      <c r="I214" s="73">
        <v>-102</v>
      </c>
      <c r="J214" s="73">
        <v>-38</v>
      </c>
      <c r="K214" s="73">
        <v>-225</v>
      </c>
      <c r="L214" s="73">
        <v>-57</v>
      </c>
      <c r="M214" s="73">
        <v>-30</v>
      </c>
      <c r="N214" s="73">
        <v>-81</v>
      </c>
      <c r="O214" s="73">
        <v>-43</v>
      </c>
      <c r="P214" s="73">
        <v>-72</v>
      </c>
      <c r="Q214" s="73">
        <v>-19</v>
      </c>
      <c r="R214" s="73">
        <v>0</v>
      </c>
      <c r="S214" s="73">
        <v>0</v>
      </c>
      <c r="T214" s="73">
        <v>0</v>
      </c>
      <c r="U214" s="73">
        <v>0</v>
      </c>
      <c r="V214" s="73">
        <v>0</v>
      </c>
      <c r="W214" s="73">
        <v>0</v>
      </c>
      <c r="X214" s="73">
        <v>0</v>
      </c>
      <c r="Y214" s="73">
        <v>0</v>
      </c>
      <c r="Z214" s="73">
        <v>655</v>
      </c>
      <c r="AA214" s="73">
        <v>897</v>
      </c>
      <c r="AB214" s="73">
        <v>0</v>
      </c>
      <c r="AC214" s="73">
        <v>0</v>
      </c>
      <c r="AD214" s="73">
        <v>0</v>
      </c>
      <c r="AE214" s="73">
        <v>0</v>
      </c>
      <c r="AF214" s="74">
        <f>tblData[[#This Row],[Gross Sales]]+tblData[[#This Row],[Trade Discounts]]+tblData[[#This Row],[Returns]]</f>
        <v>822</v>
      </c>
      <c r="AG214" s="74">
        <f>tblData[[#This Row],[Material Cost]]+tblData[[#This Row],[Conversion Cost]]+tblData[[#This Row],[Inbound Freight]]</f>
        <v>-312</v>
      </c>
      <c r="AH214" s="74">
        <f>tblData[[#This Row],[Net Revenue]]+tblData[[#This Row],[COGS]]</f>
        <v>510</v>
      </c>
      <c r="AI214" s="74">
        <f>tblData[[#This Row],[Advertising]]+tblData[[#This Row],[Promotions]]</f>
        <v>-124</v>
      </c>
      <c r="AJ214" s="74">
        <f>tblData[[#This Row],[Outbound Logistics]]+tblData[[#This Row],[Direct Selling]]</f>
        <v>-91</v>
      </c>
      <c r="AK214" s="74">
        <f>tblData[[#This Row],[Gross Profit]]+tblData[[#This Row],[AP Spend]]+tblData[[#This Row],[Cost to Serve]]</f>
        <v>295</v>
      </c>
    </row>
    <row r="215" spans="2:37" x14ac:dyDescent="0.25">
      <c r="B215" s="71" t="s">
        <v>36</v>
      </c>
      <c r="C215" s="71">
        <v>2025</v>
      </c>
      <c r="D215" s="71">
        <v>5</v>
      </c>
      <c r="E215" s="71" t="s">
        <v>46</v>
      </c>
      <c r="F215" s="71" t="s">
        <v>42</v>
      </c>
      <c r="G215" s="72">
        <v>114.8</v>
      </c>
      <c r="H215" s="73">
        <v>675</v>
      </c>
      <c r="I215" s="73">
        <v>-72</v>
      </c>
      <c r="J215" s="73">
        <v>-27</v>
      </c>
      <c r="K215" s="73">
        <v>-211</v>
      </c>
      <c r="L215" s="73">
        <v>-53</v>
      </c>
      <c r="M215" s="73">
        <v>-28</v>
      </c>
      <c r="N215" s="73">
        <v>-16</v>
      </c>
      <c r="O215" s="73">
        <v>-8</v>
      </c>
      <c r="P215" s="73">
        <v>-51</v>
      </c>
      <c r="Q215" s="73">
        <v>-14</v>
      </c>
      <c r="R215" s="73">
        <v>0</v>
      </c>
      <c r="S215" s="73">
        <v>0</v>
      </c>
      <c r="T215" s="73">
        <v>0</v>
      </c>
      <c r="U215" s="73">
        <v>0</v>
      </c>
      <c r="V215" s="73">
        <v>0</v>
      </c>
      <c r="W215" s="73">
        <v>0</v>
      </c>
      <c r="X215" s="73">
        <v>0</v>
      </c>
      <c r="Y215" s="73">
        <v>0</v>
      </c>
      <c r="Z215" s="73">
        <v>469</v>
      </c>
      <c r="AA215" s="73">
        <v>1045</v>
      </c>
      <c r="AB215" s="73">
        <v>0</v>
      </c>
      <c r="AC215" s="73">
        <v>0</v>
      </c>
      <c r="AD215" s="73">
        <v>0</v>
      </c>
      <c r="AE215" s="73">
        <v>0</v>
      </c>
      <c r="AF215" s="74">
        <f>tblData[[#This Row],[Gross Sales]]+tblData[[#This Row],[Trade Discounts]]+tblData[[#This Row],[Returns]]</f>
        <v>576</v>
      </c>
      <c r="AG215" s="74">
        <f>tblData[[#This Row],[Material Cost]]+tblData[[#This Row],[Conversion Cost]]+tblData[[#This Row],[Inbound Freight]]</f>
        <v>-292</v>
      </c>
      <c r="AH215" s="74">
        <f>tblData[[#This Row],[Net Revenue]]+tblData[[#This Row],[COGS]]</f>
        <v>284</v>
      </c>
      <c r="AI215" s="74">
        <f>tblData[[#This Row],[Advertising]]+tblData[[#This Row],[Promotions]]</f>
        <v>-24</v>
      </c>
      <c r="AJ215" s="74">
        <f>tblData[[#This Row],[Outbound Logistics]]+tblData[[#This Row],[Direct Selling]]</f>
        <v>-65</v>
      </c>
      <c r="AK215" s="74">
        <f>tblData[[#This Row],[Gross Profit]]+tblData[[#This Row],[AP Spend]]+tblData[[#This Row],[Cost to Serve]]</f>
        <v>195</v>
      </c>
    </row>
    <row r="216" spans="2:37" x14ac:dyDescent="0.25">
      <c r="B216" s="71" t="s">
        <v>36</v>
      </c>
      <c r="C216" s="71">
        <v>2025</v>
      </c>
      <c r="D216" s="71">
        <v>5</v>
      </c>
      <c r="E216" s="71" t="s">
        <v>46</v>
      </c>
      <c r="F216" s="71" t="s">
        <v>43</v>
      </c>
      <c r="G216" s="72">
        <v>23.1</v>
      </c>
      <c r="H216" s="73">
        <v>407</v>
      </c>
      <c r="I216" s="73">
        <v>-43</v>
      </c>
      <c r="J216" s="73">
        <v>-16</v>
      </c>
      <c r="K216" s="73">
        <v>-110</v>
      </c>
      <c r="L216" s="73">
        <v>-28</v>
      </c>
      <c r="M216" s="73">
        <v>-15</v>
      </c>
      <c r="N216" s="73">
        <v>-44</v>
      </c>
      <c r="O216" s="73">
        <v>-24</v>
      </c>
      <c r="P216" s="73">
        <v>-31</v>
      </c>
      <c r="Q216" s="73">
        <v>-8</v>
      </c>
      <c r="R216" s="73">
        <v>0</v>
      </c>
      <c r="S216" s="73">
        <v>0</v>
      </c>
      <c r="T216" s="73">
        <v>0</v>
      </c>
      <c r="U216" s="73">
        <v>0</v>
      </c>
      <c r="V216" s="73">
        <v>0</v>
      </c>
      <c r="W216" s="73">
        <v>0</v>
      </c>
      <c r="X216" s="73">
        <v>0</v>
      </c>
      <c r="Y216" s="73">
        <v>0</v>
      </c>
      <c r="Z216" s="73">
        <v>280</v>
      </c>
      <c r="AA216" s="73">
        <v>589</v>
      </c>
      <c r="AB216" s="73">
        <v>0</v>
      </c>
      <c r="AC216" s="73">
        <v>0</v>
      </c>
      <c r="AD216" s="73">
        <v>0</v>
      </c>
      <c r="AE216" s="73">
        <v>0</v>
      </c>
      <c r="AF216" s="74">
        <f>tblData[[#This Row],[Gross Sales]]+tblData[[#This Row],[Trade Discounts]]+tblData[[#This Row],[Returns]]</f>
        <v>348</v>
      </c>
      <c r="AG216" s="74">
        <f>tblData[[#This Row],[Material Cost]]+tblData[[#This Row],[Conversion Cost]]+tblData[[#This Row],[Inbound Freight]]</f>
        <v>-153</v>
      </c>
      <c r="AH216" s="74">
        <f>tblData[[#This Row],[Net Revenue]]+tblData[[#This Row],[COGS]]</f>
        <v>195</v>
      </c>
      <c r="AI216" s="74">
        <f>tblData[[#This Row],[Advertising]]+tblData[[#This Row],[Promotions]]</f>
        <v>-68</v>
      </c>
      <c r="AJ216" s="74">
        <f>tblData[[#This Row],[Outbound Logistics]]+tblData[[#This Row],[Direct Selling]]</f>
        <v>-39</v>
      </c>
      <c r="AK216" s="74">
        <f>tblData[[#This Row],[Gross Profit]]+tblData[[#This Row],[AP Spend]]+tblData[[#This Row],[Cost to Serve]]</f>
        <v>88</v>
      </c>
    </row>
    <row r="217" spans="2:37" x14ac:dyDescent="0.25">
      <c r="B217" s="71" t="s">
        <v>36</v>
      </c>
      <c r="C217" s="71">
        <v>2025</v>
      </c>
      <c r="D217" s="71">
        <v>5</v>
      </c>
      <c r="E217" s="71" t="s">
        <v>47</v>
      </c>
      <c r="F217" s="71" t="s">
        <v>38</v>
      </c>
      <c r="G217" s="72">
        <v>57.4</v>
      </c>
      <c r="H217" s="73">
        <v>787</v>
      </c>
      <c r="I217" s="73">
        <v>-20</v>
      </c>
      <c r="J217" s="73">
        <v>-39</v>
      </c>
      <c r="K217" s="73">
        <v>-168</v>
      </c>
      <c r="L217" s="73">
        <v>-43</v>
      </c>
      <c r="M217" s="73">
        <v>-22</v>
      </c>
      <c r="N217" s="73">
        <v>-50</v>
      </c>
      <c r="O217" s="73">
        <v>-27</v>
      </c>
      <c r="P217" s="73">
        <v>-94</v>
      </c>
      <c r="Q217" s="73">
        <v>-31</v>
      </c>
      <c r="R217" s="73">
        <v>0</v>
      </c>
      <c r="S217" s="73">
        <v>0</v>
      </c>
      <c r="T217" s="73">
        <v>0</v>
      </c>
      <c r="U217" s="73">
        <v>0</v>
      </c>
      <c r="V217" s="73">
        <v>0</v>
      </c>
      <c r="W217" s="73">
        <v>0</v>
      </c>
      <c r="X217" s="73">
        <v>0</v>
      </c>
      <c r="Y217" s="73">
        <v>0</v>
      </c>
      <c r="Z217" s="73">
        <v>71</v>
      </c>
      <c r="AA217" s="73">
        <v>721</v>
      </c>
      <c r="AB217" s="73">
        <v>0</v>
      </c>
      <c r="AC217" s="73">
        <v>0</v>
      </c>
      <c r="AD217" s="73">
        <v>0</v>
      </c>
      <c r="AE217" s="73">
        <v>0</v>
      </c>
      <c r="AF217" s="74">
        <f>tblData[[#This Row],[Gross Sales]]+tblData[[#This Row],[Trade Discounts]]+tblData[[#This Row],[Returns]]</f>
        <v>728</v>
      </c>
      <c r="AG217" s="74">
        <f>tblData[[#This Row],[Material Cost]]+tblData[[#This Row],[Conversion Cost]]+tblData[[#This Row],[Inbound Freight]]</f>
        <v>-233</v>
      </c>
      <c r="AH217" s="74">
        <f>tblData[[#This Row],[Net Revenue]]+tblData[[#This Row],[COGS]]</f>
        <v>495</v>
      </c>
      <c r="AI217" s="74">
        <f>tblData[[#This Row],[Advertising]]+tblData[[#This Row],[Promotions]]</f>
        <v>-77</v>
      </c>
      <c r="AJ217" s="74">
        <f>tblData[[#This Row],[Outbound Logistics]]+tblData[[#This Row],[Direct Selling]]</f>
        <v>-125</v>
      </c>
      <c r="AK217" s="74">
        <f>tblData[[#This Row],[Gross Profit]]+tblData[[#This Row],[AP Spend]]+tblData[[#This Row],[Cost to Serve]]</f>
        <v>293</v>
      </c>
    </row>
    <row r="218" spans="2:37" x14ac:dyDescent="0.25">
      <c r="B218" s="71" t="s">
        <v>36</v>
      </c>
      <c r="C218" s="71">
        <v>2025</v>
      </c>
      <c r="D218" s="71">
        <v>5</v>
      </c>
      <c r="E218" s="71" t="s">
        <v>47</v>
      </c>
      <c r="F218" s="71" t="s">
        <v>39</v>
      </c>
      <c r="G218" s="72">
        <v>76.599999999999994</v>
      </c>
      <c r="H218" s="73">
        <v>676</v>
      </c>
      <c r="I218" s="73">
        <v>-18</v>
      </c>
      <c r="J218" s="73">
        <v>-34</v>
      </c>
      <c r="K218" s="73">
        <v>-173</v>
      </c>
      <c r="L218" s="73">
        <v>-44</v>
      </c>
      <c r="M218" s="73">
        <v>-23</v>
      </c>
      <c r="N218" s="73">
        <v>-28</v>
      </c>
      <c r="O218" s="73">
        <v>-15</v>
      </c>
      <c r="P218" s="73">
        <v>-81</v>
      </c>
      <c r="Q218" s="73">
        <v>-27</v>
      </c>
      <c r="R218" s="73">
        <v>0</v>
      </c>
      <c r="S218" s="73">
        <v>0</v>
      </c>
      <c r="T218" s="73">
        <v>0</v>
      </c>
      <c r="U218" s="73">
        <v>0</v>
      </c>
      <c r="V218" s="73">
        <v>0</v>
      </c>
      <c r="W218" s="73">
        <v>0</v>
      </c>
      <c r="X218" s="73">
        <v>0</v>
      </c>
      <c r="Y218" s="73">
        <v>0</v>
      </c>
      <c r="Z218" s="73">
        <v>60</v>
      </c>
      <c r="AA218" s="73">
        <v>611</v>
      </c>
      <c r="AB218" s="73">
        <v>0</v>
      </c>
      <c r="AC218" s="73">
        <v>0</v>
      </c>
      <c r="AD218" s="73">
        <v>0</v>
      </c>
      <c r="AE218" s="73">
        <v>0</v>
      </c>
      <c r="AF218" s="74">
        <f>tblData[[#This Row],[Gross Sales]]+tblData[[#This Row],[Trade Discounts]]+tblData[[#This Row],[Returns]]</f>
        <v>624</v>
      </c>
      <c r="AG218" s="74">
        <f>tblData[[#This Row],[Material Cost]]+tblData[[#This Row],[Conversion Cost]]+tblData[[#This Row],[Inbound Freight]]</f>
        <v>-240</v>
      </c>
      <c r="AH218" s="74">
        <f>tblData[[#This Row],[Net Revenue]]+tblData[[#This Row],[COGS]]</f>
        <v>384</v>
      </c>
      <c r="AI218" s="74">
        <f>tblData[[#This Row],[Advertising]]+tblData[[#This Row],[Promotions]]</f>
        <v>-43</v>
      </c>
      <c r="AJ218" s="74">
        <f>tblData[[#This Row],[Outbound Logistics]]+tblData[[#This Row],[Direct Selling]]</f>
        <v>-108</v>
      </c>
      <c r="AK218" s="74">
        <f>tblData[[#This Row],[Gross Profit]]+tblData[[#This Row],[AP Spend]]+tblData[[#This Row],[Cost to Serve]]</f>
        <v>233</v>
      </c>
    </row>
    <row r="219" spans="2:37" x14ac:dyDescent="0.25">
      <c r="B219" s="71" t="s">
        <v>36</v>
      </c>
      <c r="C219" s="71">
        <v>2025</v>
      </c>
      <c r="D219" s="71">
        <v>5</v>
      </c>
      <c r="E219" s="71" t="s">
        <v>47</v>
      </c>
      <c r="F219" s="71" t="s">
        <v>40</v>
      </c>
      <c r="G219" s="72">
        <v>75.400000000000006</v>
      </c>
      <c r="H219" s="73">
        <v>518</v>
      </c>
      <c r="I219" s="73">
        <v>-13</v>
      </c>
      <c r="J219" s="73">
        <v>-26</v>
      </c>
      <c r="K219" s="73">
        <v>-147</v>
      </c>
      <c r="L219" s="73">
        <v>-37</v>
      </c>
      <c r="M219" s="73">
        <v>-20</v>
      </c>
      <c r="N219" s="73">
        <v>-14</v>
      </c>
      <c r="O219" s="73">
        <v>-8</v>
      </c>
      <c r="P219" s="73">
        <v>-62</v>
      </c>
      <c r="Q219" s="73">
        <v>-21</v>
      </c>
      <c r="R219" s="73">
        <v>0</v>
      </c>
      <c r="S219" s="73">
        <v>0</v>
      </c>
      <c r="T219" s="73">
        <v>0</v>
      </c>
      <c r="U219" s="73">
        <v>0</v>
      </c>
      <c r="V219" s="73">
        <v>0</v>
      </c>
      <c r="W219" s="73">
        <v>0</v>
      </c>
      <c r="X219" s="73">
        <v>0</v>
      </c>
      <c r="Y219" s="73">
        <v>0</v>
      </c>
      <c r="Z219" s="73">
        <v>45</v>
      </c>
      <c r="AA219" s="73">
        <v>483</v>
      </c>
      <c r="AB219" s="73">
        <v>0</v>
      </c>
      <c r="AC219" s="73">
        <v>0</v>
      </c>
      <c r="AD219" s="73">
        <v>0</v>
      </c>
      <c r="AE219" s="73">
        <v>0</v>
      </c>
      <c r="AF219" s="74">
        <f>tblData[[#This Row],[Gross Sales]]+tblData[[#This Row],[Trade Discounts]]+tblData[[#This Row],[Returns]]</f>
        <v>479</v>
      </c>
      <c r="AG219" s="74">
        <f>tblData[[#This Row],[Material Cost]]+tblData[[#This Row],[Conversion Cost]]+tblData[[#This Row],[Inbound Freight]]</f>
        <v>-204</v>
      </c>
      <c r="AH219" s="74">
        <f>tblData[[#This Row],[Net Revenue]]+tblData[[#This Row],[COGS]]</f>
        <v>275</v>
      </c>
      <c r="AI219" s="74">
        <f>tblData[[#This Row],[Advertising]]+tblData[[#This Row],[Promotions]]</f>
        <v>-22</v>
      </c>
      <c r="AJ219" s="74">
        <f>tblData[[#This Row],[Outbound Logistics]]+tblData[[#This Row],[Direct Selling]]</f>
        <v>-83</v>
      </c>
      <c r="AK219" s="74">
        <f>tblData[[#This Row],[Gross Profit]]+tblData[[#This Row],[AP Spend]]+tblData[[#This Row],[Cost to Serve]]</f>
        <v>170</v>
      </c>
    </row>
    <row r="220" spans="2:37" x14ac:dyDescent="0.25">
      <c r="B220" s="71" t="s">
        <v>36</v>
      </c>
      <c r="C220" s="71">
        <v>2025</v>
      </c>
      <c r="D220" s="71">
        <v>5</v>
      </c>
      <c r="E220" s="71" t="s">
        <v>47</v>
      </c>
      <c r="F220" s="71" t="s">
        <v>41</v>
      </c>
      <c r="G220" s="72">
        <v>36.700000000000003</v>
      </c>
      <c r="H220" s="73">
        <v>395</v>
      </c>
      <c r="I220" s="73">
        <v>-10</v>
      </c>
      <c r="J220" s="73">
        <v>-20</v>
      </c>
      <c r="K220" s="73">
        <v>-93</v>
      </c>
      <c r="L220" s="73">
        <v>-23</v>
      </c>
      <c r="M220" s="73">
        <v>-12</v>
      </c>
      <c r="N220" s="73">
        <v>-30</v>
      </c>
      <c r="O220" s="73">
        <v>-16</v>
      </c>
      <c r="P220" s="73">
        <v>-47</v>
      </c>
      <c r="Q220" s="73">
        <v>-16</v>
      </c>
      <c r="R220" s="73">
        <v>0</v>
      </c>
      <c r="S220" s="73">
        <v>0</v>
      </c>
      <c r="T220" s="73">
        <v>0</v>
      </c>
      <c r="U220" s="73">
        <v>0</v>
      </c>
      <c r="V220" s="73">
        <v>0</v>
      </c>
      <c r="W220" s="73">
        <v>0</v>
      </c>
      <c r="X220" s="73">
        <v>0</v>
      </c>
      <c r="Y220" s="73">
        <v>0</v>
      </c>
      <c r="Z220" s="73">
        <v>35</v>
      </c>
      <c r="AA220" s="73">
        <v>374</v>
      </c>
      <c r="AB220" s="73">
        <v>0</v>
      </c>
      <c r="AC220" s="73">
        <v>0</v>
      </c>
      <c r="AD220" s="73">
        <v>0</v>
      </c>
      <c r="AE220" s="73">
        <v>0</v>
      </c>
      <c r="AF220" s="74">
        <f>tblData[[#This Row],[Gross Sales]]+tblData[[#This Row],[Trade Discounts]]+tblData[[#This Row],[Returns]]</f>
        <v>365</v>
      </c>
      <c r="AG220" s="74">
        <f>tblData[[#This Row],[Material Cost]]+tblData[[#This Row],[Conversion Cost]]+tblData[[#This Row],[Inbound Freight]]</f>
        <v>-128</v>
      </c>
      <c r="AH220" s="74">
        <f>tblData[[#This Row],[Net Revenue]]+tblData[[#This Row],[COGS]]</f>
        <v>237</v>
      </c>
      <c r="AI220" s="74">
        <f>tblData[[#This Row],[Advertising]]+tblData[[#This Row],[Promotions]]</f>
        <v>-46</v>
      </c>
      <c r="AJ220" s="74">
        <f>tblData[[#This Row],[Outbound Logistics]]+tblData[[#This Row],[Direct Selling]]</f>
        <v>-63</v>
      </c>
      <c r="AK220" s="74">
        <f>tblData[[#This Row],[Gross Profit]]+tblData[[#This Row],[AP Spend]]+tblData[[#This Row],[Cost to Serve]]</f>
        <v>128</v>
      </c>
    </row>
    <row r="221" spans="2:37" x14ac:dyDescent="0.25">
      <c r="B221" s="71" t="s">
        <v>36</v>
      </c>
      <c r="C221" s="71">
        <v>2025</v>
      </c>
      <c r="D221" s="71">
        <v>5</v>
      </c>
      <c r="E221" s="71" t="s">
        <v>47</v>
      </c>
      <c r="F221" s="71" t="s">
        <v>42</v>
      </c>
      <c r="G221" s="72">
        <v>47</v>
      </c>
      <c r="H221" s="73">
        <v>276</v>
      </c>
      <c r="I221" s="73">
        <v>-7</v>
      </c>
      <c r="J221" s="73">
        <v>-14</v>
      </c>
      <c r="K221" s="73">
        <v>-86</v>
      </c>
      <c r="L221" s="73">
        <v>-22</v>
      </c>
      <c r="M221" s="73">
        <v>-12</v>
      </c>
      <c r="N221" s="73">
        <v>-6</v>
      </c>
      <c r="O221" s="73">
        <v>-3</v>
      </c>
      <c r="P221" s="73">
        <v>-33</v>
      </c>
      <c r="Q221" s="73">
        <v>-11</v>
      </c>
      <c r="R221" s="73">
        <v>0</v>
      </c>
      <c r="S221" s="73">
        <v>0</v>
      </c>
      <c r="T221" s="73">
        <v>0</v>
      </c>
      <c r="U221" s="73">
        <v>0</v>
      </c>
      <c r="V221" s="73">
        <v>0</v>
      </c>
      <c r="W221" s="73">
        <v>0</v>
      </c>
      <c r="X221" s="73">
        <v>0</v>
      </c>
      <c r="Y221" s="73">
        <v>0</v>
      </c>
      <c r="Z221" s="73">
        <v>25</v>
      </c>
      <c r="AA221" s="73">
        <v>429</v>
      </c>
      <c r="AB221" s="73">
        <v>0</v>
      </c>
      <c r="AC221" s="73">
        <v>0</v>
      </c>
      <c r="AD221" s="73">
        <v>0</v>
      </c>
      <c r="AE221" s="73">
        <v>0</v>
      </c>
      <c r="AF221" s="74">
        <f>tblData[[#This Row],[Gross Sales]]+tblData[[#This Row],[Trade Discounts]]+tblData[[#This Row],[Returns]]</f>
        <v>255</v>
      </c>
      <c r="AG221" s="74">
        <f>tblData[[#This Row],[Material Cost]]+tblData[[#This Row],[Conversion Cost]]+tblData[[#This Row],[Inbound Freight]]</f>
        <v>-120</v>
      </c>
      <c r="AH221" s="74">
        <f>tblData[[#This Row],[Net Revenue]]+tblData[[#This Row],[COGS]]</f>
        <v>135</v>
      </c>
      <c r="AI221" s="74">
        <f>tblData[[#This Row],[Advertising]]+tblData[[#This Row],[Promotions]]</f>
        <v>-9</v>
      </c>
      <c r="AJ221" s="74">
        <f>tblData[[#This Row],[Outbound Logistics]]+tblData[[#This Row],[Direct Selling]]</f>
        <v>-44</v>
      </c>
      <c r="AK221" s="74">
        <f>tblData[[#This Row],[Gross Profit]]+tblData[[#This Row],[AP Spend]]+tblData[[#This Row],[Cost to Serve]]</f>
        <v>82</v>
      </c>
    </row>
    <row r="222" spans="2:37" x14ac:dyDescent="0.25">
      <c r="B222" s="71" t="s">
        <v>36</v>
      </c>
      <c r="C222" s="71">
        <v>2025</v>
      </c>
      <c r="D222" s="71">
        <v>5</v>
      </c>
      <c r="E222" s="71" t="s">
        <v>47</v>
      </c>
      <c r="F222" s="71" t="s">
        <v>43</v>
      </c>
      <c r="G222" s="72">
        <v>9.5</v>
      </c>
      <c r="H222" s="73">
        <v>168</v>
      </c>
      <c r="I222" s="73">
        <v>-4</v>
      </c>
      <c r="J222" s="73">
        <v>-8</v>
      </c>
      <c r="K222" s="73">
        <v>-45</v>
      </c>
      <c r="L222" s="73">
        <v>-11</v>
      </c>
      <c r="M222" s="73">
        <v>-6</v>
      </c>
      <c r="N222" s="73">
        <v>-17</v>
      </c>
      <c r="O222" s="73">
        <v>-9</v>
      </c>
      <c r="P222" s="73">
        <v>-20</v>
      </c>
      <c r="Q222" s="73">
        <v>-7</v>
      </c>
      <c r="R222" s="73">
        <v>0</v>
      </c>
      <c r="S222" s="73">
        <v>0</v>
      </c>
      <c r="T222" s="73">
        <v>0</v>
      </c>
      <c r="U222" s="73">
        <v>0</v>
      </c>
      <c r="V222" s="73">
        <v>0</v>
      </c>
      <c r="W222" s="73">
        <v>0</v>
      </c>
      <c r="X222" s="73">
        <v>0</v>
      </c>
      <c r="Y222" s="73">
        <v>0</v>
      </c>
      <c r="Z222" s="73">
        <v>15</v>
      </c>
      <c r="AA222" s="73">
        <v>241</v>
      </c>
      <c r="AB222" s="73">
        <v>0</v>
      </c>
      <c r="AC222" s="73">
        <v>0</v>
      </c>
      <c r="AD222" s="73">
        <v>0</v>
      </c>
      <c r="AE222" s="73">
        <v>0</v>
      </c>
      <c r="AF222" s="74">
        <f>tblData[[#This Row],[Gross Sales]]+tblData[[#This Row],[Trade Discounts]]+tblData[[#This Row],[Returns]]</f>
        <v>156</v>
      </c>
      <c r="AG222" s="74">
        <f>tblData[[#This Row],[Material Cost]]+tblData[[#This Row],[Conversion Cost]]+tblData[[#This Row],[Inbound Freight]]</f>
        <v>-62</v>
      </c>
      <c r="AH222" s="74">
        <f>tblData[[#This Row],[Net Revenue]]+tblData[[#This Row],[COGS]]</f>
        <v>94</v>
      </c>
      <c r="AI222" s="74">
        <f>tblData[[#This Row],[Advertising]]+tblData[[#This Row],[Promotions]]</f>
        <v>-26</v>
      </c>
      <c r="AJ222" s="74">
        <f>tblData[[#This Row],[Outbound Logistics]]+tblData[[#This Row],[Direct Selling]]</f>
        <v>-27</v>
      </c>
      <c r="AK222" s="74">
        <f>tblData[[#This Row],[Gross Profit]]+tblData[[#This Row],[AP Spend]]+tblData[[#This Row],[Cost to Serve]]</f>
        <v>41</v>
      </c>
    </row>
    <row r="223" spans="2:37" x14ac:dyDescent="0.25">
      <c r="B223" s="71" t="s">
        <v>36</v>
      </c>
      <c r="C223" s="71">
        <v>2025</v>
      </c>
      <c r="D223" s="71">
        <v>5</v>
      </c>
      <c r="E223" s="71" t="s">
        <v>48</v>
      </c>
      <c r="F223" s="71" t="s">
        <v>38</v>
      </c>
      <c r="G223" s="72">
        <v>93.9</v>
      </c>
      <c r="H223" s="73">
        <v>1289</v>
      </c>
      <c r="I223" s="73">
        <v>-111</v>
      </c>
      <c r="J223" s="73">
        <v>-13</v>
      </c>
      <c r="K223" s="73">
        <v>-274</v>
      </c>
      <c r="L223" s="73">
        <v>-70</v>
      </c>
      <c r="M223" s="73">
        <v>-37</v>
      </c>
      <c r="N223" s="73">
        <v>-83</v>
      </c>
      <c r="O223" s="73">
        <v>-44</v>
      </c>
      <c r="P223" s="73">
        <v>-39</v>
      </c>
      <c r="Q223" s="73">
        <v>-19</v>
      </c>
      <c r="R223" s="73">
        <v>0</v>
      </c>
      <c r="S223" s="73">
        <v>0</v>
      </c>
      <c r="T223" s="73">
        <v>0</v>
      </c>
      <c r="U223" s="73">
        <v>0</v>
      </c>
      <c r="V223" s="73">
        <v>0</v>
      </c>
      <c r="W223" s="73">
        <v>0</v>
      </c>
      <c r="X223" s="73">
        <v>0</v>
      </c>
      <c r="Y223" s="73">
        <v>0</v>
      </c>
      <c r="Z223" s="73">
        <v>2641</v>
      </c>
      <c r="AA223" s="73">
        <v>1170</v>
      </c>
      <c r="AB223" s="73">
        <v>0</v>
      </c>
      <c r="AC223" s="73">
        <v>0</v>
      </c>
      <c r="AD223" s="73">
        <v>0</v>
      </c>
      <c r="AE223" s="73">
        <v>0</v>
      </c>
      <c r="AF223" s="74">
        <f>tblData[[#This Row],[Gross Sales]]+tblData[[#This Row],[Trade Discounts]]+tblData[[#This Row],[Returns]]</f>
        <v>1165</v>
      </c>
      <c r="AG223" s="74">
        <f>tblData[[#This Row],[Material Cost]]+tblData[[#This Row],[Conversion Cost]]+tblData[[#This Row],[Inbound Freight]]</f>
        <v>-381</v>
      </c>
      <c r="AH223" s="74">
        <f>tblData[[#This Row],[Net Revenue]]+tblData[[#This Row],[COGS]]</f>
        <v>784</v>
      </c>
      <c r="AI223" s="74">
        <f>tblData[[#This Row],[Advertising]]+tblData[[#This Row],[Promotions]]</f>
        <v>-127</v>
      </c>
      <c r="AJ223" s="74">
        <f>tblData[[#This Row],[Outbound Logistics]]+tblData[[#This Row],[Direct Selling]]</f>
        <v>-58</v>
      </c>
      <c r="AK223" s="74">
        <f>tblData[[#This Row],[Gross Profit]]+tblData[[#This Row],[AP Spend]]+tblData[[#This Row],[Cost to Serve]]</f>
        <v>599</v>
      </c>
    </row>
    <row r="224" spans="2:37" x14ac:dyDescent="0.25">
      <c r="B224" s="71" t="s">
        <v>36</v>
      </c>
      <c r="C224" s="71">
        <v>2025</v>
      </c>
      <c r="D224" s="71">
        <v>5</v>
      </c>
      <c r="E224" s="71" t="s">
        <v>48</v>
      </c>
      <c r="F224" s="71" t="s">
        <v>39</v>
      </c>
      <c r="G224" s="72">
        <v>127.7</v>
      </c>
      <c r="H224" s="73">
        <v>1126</v>
      </c>
      <c r="I224" s="73">
        <v>-97</v>
      </c>
      <c r="J224" s="73">
        <v>-11</v>
      </c>
      <c r="K224" s="73">
        <v>-287</v>
      </c>
      <c r="L224" s="73">
        <v>-73</v>
      </c>
      <c r="M224" s="73">
        <v>-39</v>
      </c>
      <c r="N224" s="73">
        <v>-47</v>
      </c>
      <c r="O224" s="73">
        <v>-25</v>
      </c>
      <c r="P224" s="73">
        <v>-34</v>
      </c>
      <c r="Q224" s="73">
        <v>-17</v>
      </c>
      <c r="R224" s="73">
        <v>0</v>
      </c>
      <c r="S224" s="73">
        <v>0</v>
      </c>
      <c r="T224" s="73">
        <v>0</v>
      </c>
      <c r="U224" s="73">
        <v>0</v>
      </c>
      <c r="V224" s="73">
        <v>0</v>
      </c>
      <c r="W224" s="73">
        <v>0</v>
      </c>
      <c r="X224" s="73">
        <v>0</v>
      </c>
      <c r="Y224" s="73">
        <v>0</v>
      </c>
      <c r="Z224" s="73">
        <v>2285</v>
      </c>
      <c r="AA224" s="73">
        <v>1023</v>
      </c>
      <c r="AB224" s="73">
        <v>0</v>
      </c>
      <c r="AC224" s="73">
        <v>0</v>
      </c>
      <c r="AD224" s="73">
        <v>0</v>
      </c>
      <c r="AE224" s="73">
        <v>0</v>
      </c>
      <c r="AF224" s="74">
        <f>tblData[[#This Row],[Gross Sales]]+tblData[[#This Row],[Trade Discounts]]+tblData[[#This Row],[Returns]]</f>
        <v>1018</v>
      </c>
      <c r="AG224" s="74">
        <f>tblData[[#This Row],[Material Cost]]+tblData[[#This Row],[Conversion Cost]]+tblData[[#This Row],[Inbound Freight]]</f>
        <v>-399</v>
      </c>
      <c r="AH224" s="74">
        <f>tblData[[#This Row],[Net Revenue]]+tblData[[#This Row],[COGS]]</f>
        <v>619</v>
      </c>
      <c r="AI224" s="74">
        <f>tblData[[#This Row],[Advertising]]+tblData[[#This Row],[Promotions]]</f>
        <v>-72</v>
      </c>
      <c r="AJ224" s="74">
        <f>tblData[[#This Row],[Outbound Logistics]]+tblData[[#This Row],[Direct Selling]]</f>
        <v>-51</v>
      </c>
      <c r="AK224" s="74">
        <f>tblData[[#This Row],[Gross Profit]]+tblData[[#This Row],[AP Spend]]+tblData[[#This Row],[Cost to Serve]]</f>
        <v>496</v>
      </c>
    </row>
    <row r="225" spans="2:37" x14ac:dyDescent="0.25">
      <c r="B225" s="71" t="s">
        <v>36</v>
      </c>
      <c r="C225" s="71">
        <v>2025</v>
      </c>
      <c r="D225" s="71">
        <v>5</v>
      </c>
      <c r="E225" s="71" t="s">
        <v>48</v>
      </c>
      <c r="F225" s="71" t="s">
        <v>40</v>
      </c>
      <c r="G225" s="72">
        <v>124.8</v>
      </c>
      <c r="H225" s="73">
        <v>856</v>
      </c>
      <c r="I225" s="73">
        <v>-74</v>
      </c>
      <c r="J225" s="73">
        <v>-9</v>
      </c>
      <c r="K225" s="73">
        <v>-243</v>
      </c>
      <c r="L225" s="73">
        <v>-62</v>
      </c>
      <c r="M225" s="73">
        <v>-33</v>
      </c>
      <c r="N225" s="73">
        <v>-24</v>
      </c>
      <c r="O225" s="73">
        <v>-13</v>
      </c>
      <c r="P225" s="73">
        <v>-26</v>
      </c>
      <c r="Q225" s="73">
        <v>-13</v>
      </c>
      <c r="R225" s="73">
        <v>0</v>
      </c>
      <c r="S225" s="73">
        <v>0</v>
      </c>
      <c r="T225" s="73">
        <v>0</v>
      </c>
      <c r="U225" s="73">
        <v>0</v>
      </c>
      <c r="V225" s="73">
        <v>0</v>
      </c>
      <c r="W225" s="73">
        <v>0</v>
      </c>
      <c r="X225" s="73">
        <v>0</v>
      </c>
      <c r="Y225" s="73">
        <v>0</v>
      </c>
      <c r="Z225" s="73">
        <v>1704</v>
      </c>
      <c r="AA225" s="73">
        <v>795</v>
      </c>
      <c r="AB225" s="73">
        <v>0</v>
      </c>
      <c r="AC225" s="73">
        <v>0</v>
      </c>
      <c r="AD225" s="73">
        <v>0</v>
      </c>
      <c r="AE225" s="73">
        <v>0</v>
      </c>
      <c r="AF225" s="74">
        <f>tblData[[#This Row],[Gross Sales]]+tblData[[#This Row],[Trade Discounts]]+tblData[[#This Row],[Returns]]</f>
        <v>773</v>
      </c>
      <c r="AG225" s="74">
        <f>tblData[[#This Row],[Material Cost]]+tblData[[#This Row],[Conversion Cost]]+tblData[[#This Row],[Inbound Freight]]</f>
        <v>-338</v>
      </c>
      <c r="AH225" s="74">
        <f>tblData[[#This Row],[Net Revenue]]+tblData[[#This Row],[COGS]]</f>
        <v>435</v>
      </c>
      <c r="AI225" s="74">
        <f>tblData[[#This Row],[Advertising]]+tblData[[#This Row],[Promotions]]</f>
        <v>-37</v>
      </c>
      <c r="AJ225" s="74">
        <f>tblData[[#This Row],[Outbound Logistics]]+tblData[[#This Row],[Direct Selling]]</f>
        <v>-39</v>
      </c>
      <c r="AK225" s="74">
        <f>tblData[[#This Row],[Gross Profit]]+tblData[[#This Row],[AP Spend]]+tblData[[#This Row],[Cost to Serve]]</f>
        <v>359</v>
      </c>
    </row>
    <row r="226" spans="2:37" x14ac:dyDescent="0.25">
      <c r="B226" s="71" t="s">
        <v>36</v>
      </c>
      <c r="C226" s="71">
        <v>2025</v>
      </c>
      <c r="D226" s="71">
        <v>5</v>
      </c>
      <c r="E226" s="71" t="s">
        <v>48</v>
      </c>
      <c r="F226" s="71" t="s">
        <v>41</v>
      </c>
      <c r="G226" s="72">
        <v>60.5</v>
      </c>
      <c r="H226" s="73">
        <v>652</v>
      </c>
      <c r="I226" s="73">
        <v>-56</v>
      </c>
      <c r="J226" s="73">
        <v>-7</v>
      </c>
      <c r="K226" s="73">
        <v>-153</v>
      </c>
      <c r="L226" s="73">
        <v>-39</v>
      </c>
      <c r="M226" s="73">
        <v>-20</v>
      </c>
      <c r="N226" s="73">
        <v>-50</v>
      </c>
      <c r="O226" s="73">
        <v>-27</v>
      </c>
      <c r="P226" s="73">
        <v>-20</v>
      </c>
      <c r="Q226" s="73">
        <v>-10</v>
      </c>
      <c r="R226" s="73">
        <v>0</v>
      </c>
      <c r="S226" s="73">
        <v>0</v>
      </c>
      <c r="T226" s="73">
        <v>0</v>
      </c>
      <c r="U226" s="73">
        <v>0</v>
      </c>
      <c r="V226" s="73">
        <v>0</v>
      </c>
      <c r="W226" s="73">
        <v>0</v>
      </c>
      <c r="X226" s="73">
        <v>0</v>
      </c>
      <c r="Y226" s="73">
        <v>0</v>
      </c>
      <c r="Z226" s="73">
        <v>1342</v>
      </c>
      <c r="AA226" s="73">
        <v>620</v>
      </c>
      <c r="AB226" s="73">
        <v>0</v>
      </c>
      <c r="AC226" s="73">
        <v>0</v>
      </c>
      <c r="AD226" s="73">
        <v>0</v>
      </c>
      <c r="AE226" s="73">
        <v>0</v>
      </c>
      <c r="AF226" s="74">
        <f>tblData[[#This Row],[Gross Sales]]+tblData[[#This Row],[Trade Discounts]]+tblData[[#This Row],[Returns]]</f>
        <v>589</v>
      </c>
      <c r="AG226" s="74">
        <f>tblData[[#This Row],[Material Cost]]+tblData[[#This Row],[Conversion Cost]]+tblData[[#This Row],[Inbound Freight]]</f>
        <v>-212</v>
      </c>
      <c r="AH226" s="74">
        <f>tblData[[#This Row],[Net Revenue]]+tblData[[#This Row],[COGS]]</f>
        <v>377</v>
      </c>
      <c r="AI226" s="74">
        <f>tblData[[#This Row],[Advertising]]+tblData[[#This Row],[Promotions]]</f>
        <v>-77</v>
      </c>
      <c r="AJ226" s="74">
        <f>tblData[[#This Row],[Outbound Logistics]]+tblData[[#This Row],[Direct Selling]]</f>
        <v>-30</v>
      </c>
      <c r="AK226" s="74">
        <f>tblData[[#This Row],[Gross Profit]]+tblData[[#This Row],[AP Spend]]+tblData[[#This Row],[Cost to Serve]]</f>
        <v>270</v>
      </c>
    </row>
    <row r="227" spans="2:37" x14ac:dyDescent="0.25">
      <c r="B227" s="71" t="s">
        <v>36</v>
      </c>
      <c r="C227" s="71">
        <v>2025</v>
      </c>
      <c r="D227" s="71">
        <v>5</v>
      </c>
      <c r="E227" s="71" t="s">
        <v>48</v>
      </c>
      <c r="F227" s="71" t="s">
        <v>42</v>
      </c>
      <c r="G227" s="72">
        <v>77.900000000000006</v>
      </c>
      <c r="H227" s="73">
        <v>458</v>
      </c>
      <c r="I227" s="73">
        <v>-39</v>
      </c>
      <c r="J227" s="73">
        <v>-5</v>
      </c>
      <c r="K227" s="73">
        <v>-143</v>
      </c>
      <c r="L227" s="73">
        <v>-36</v>
      </c>
      <c r="M227" s="73">
        <v>-19</v>
      </c>
      <c r="N227" s="73">
        <v>-10</v>
      </c>
      <c r="O227" s="73">
        <v>-5</v>
      </c>
      <c r="P227" s="73">
        <v>-14</v>
      </c>
      <c r="Q227" s="73">
        <v>-7</v>
      </c>
      <c r="R227" s="73">
        <v>0</v>
      </c>
      <c r="S227" s="73">
        <v>0</v>
      </c>
      <c r="T227" s="73">
        <v>0</v>
      </c>
      <c r="U227" s="73">
        <v>0</v>
      </c>
      <c r="V227" s="73">
        <v>0</v>
      </c>
      <c r="W227" s="73">
        <v>0</v>
      </c>
      <c r="X227" s="73">
        <v>0</v>
      </c>
      <c r="Y227" s="73">
        <v>0</v>
      </c>
      <c r="Z227" s="73">
        <v>960</v>
      </c>
      <c r="AA227" s="73">
        <v>723</v>
      </c>
      <c r="AB227" s="73">
        <v>0</v>
      </c>
      <c r="AC227" s="73">
        <v>0</v>
      </c>
      <c r="AD227" s="73">
        <v>0</v>
      </c>
      <c r="AE227" s="73">
        <v>0</v>
      </c>
      <c r="AF227" s="74">
        <f>tblData[[#This Row],[Gross Sales]]+tblData[[#This Row],[Trade Discounts]]+tblData[[#This Row],[Returns]]</f>
        <v>414</v>
      </c>
      <c r="AG227" s="74">
        <f>tblData[[#This Row],[Material Cost]]+tblData[[#This Row],[Conversion Cost]]+tblData[[#This Row],[Inbound Freight]]</f>
        <v>-198</v>
      </c>
      <c r="AH227" s="74">
        <f>tblData[[#This Row],[Net Revenue]]+tblData[[#This Row],[COGS]]</f>
        <v>216</v>
      </c>
      <c r="AI227" s="74">
        <f>tblData[[#This Row],[Advertising]]+tblData[[#This Row],[Promotions]]</f>
        <v>-15</v>
      </c>
      <c r="AJ227" s="74">
        <f>tblData[[#This Row],[Outbound Logistics]]+tblData[[#This Row],[Direct Selling]]</f>
        <v>-21</v>
      </c>
      <c r="AK227" s="74">
        <f>tblData[[#This Row],[Gross Profit]]+tblData[[#This Row],[AP Spend]]+tblData[[#This Row],[Cost to Serve]]</f>
        <v>180</v>
      </c>
    </row>
    <row r="228" spans="2:37" x14ac:dyDescent="0.25">
      <c r="B228" s="71" t="s">
        <v>36</v>
      </c>
      <c r="C228" s="71">
        <v>2025</v>
      </c>
      <c r="D228" s="71">
        <v>5</v>
      </c>
      <c r="E228" s="71" t="s">
        <v>48</v>
      </c>
      <c r="F228" s="71" t="s">
        <v>43</v>
      </c>
      <c r="G228" s="72">
        <v>15.5</v>
      </c>
      <c r="H228" s="73">
        <v>273</v>
      </c>
      <c r="I228" s="73">
        <v>-24</v>
      </c>
      <c r="J228" s="73">
        <v>-3</v>
      </c>
      <c r="K228" s="73">
        <v>-74</v>
      </c>
      <c r="L228" s="73">
        <v>-19</v>
      </c>
      <c r="M228" s="73">
        <v>-10</v>
      </c>
      <c r="N228" s="73">
        <v>-28</v>
      </c>
      <c r="O228" s="73">
        <v>-15</v>
      </c>
      <c r="P228" s="73">
        <v>-8</v>
      </c>
      <c r="Q228" s="73">
        <v>-4</v>
      </c>
      <c r="R228" s="73">
        <v>0</v>
      </c>
      <c r="S228" s="73">
        <v>0</v>
      </c>
      <c r="T228" s="73">
        <v>0</v>
      </c>
      <c r="U228" s="73">
        <v>0</v>
      </c>
      <c r="V228" s="73">
        <v>0</v>
      </c>
      <c r="W228" s="73">
        <v>0</v>
      </c>
      <c r="X228" s="73">
        <v>0</v>
      </c>
      <c r="Y228" s="73">
        <v>0</v>
      </c>
      <c r="Z228" s="73">
        <v>565</v>
      </c>
      <c r="AA228" s="73">
        <v>401</v>
      </c>
      <c r="AB228" s="73">
        <v>0</v>
      </c>
      <c r="AC228" s="73">
        <v>0</v>
      </c>
      <c r="AD228" s="73">
        <v>0</v>
      </c>
      <c r="AE228" s="73">
        <v>0</v>
      </c>
      <c r="AF228" s="74">
        <f>tblData[[#This Row],[Gross Sales]]+tblData[[#This Row],[Trade Discounts]]+tblData[[#This Row],[Returns]]</f>
        <v>246</v>
      </c>
      <c r="AG228" s="74">
        <f>tblData[[#This Row],[Material Cost]]+tblData[[#This Row],[Conversion Cost]]+tblData[[#This Row],[Inbound Freight]]</f>
        <v>-103</v>
      </c>
      <c r="AH228" s="74">
        <f>tblData[[#This Row],[Net Revenue]]+tblData[[#This Row],[COGS]]</f>
        <v>143</v>
      </c>
      <c r="AI228" s="74">
        <f>tblData[[#This Row],[Advertising]]+tblData[[#This Row],[Promotions]]</f>
        <v>-43</v>
      </c>
      <c r="AJ228" s="74">
        <f>tblData[[#This Row],[Outbound Logistics]]+tblData[[#This Row],[Direct Selling]]</f>
        <v>-12</v>
      </c>
      <c r="AK228" s="74">
        <f>tblData[[#This Row],[Gross Profit]]+tblData[[#This Row],[AP Spend]]+tblData[[#This Row],[Cost to Serve]]</f>
        <v>88</v>
      </c>
    </row>
    <row r="229" spans="2:37" x14ac:dyDescent="0.25">
      <c r="B229" s="71" t="s">
        <v>36</v>
      </c>
      <c r="C229" s="71">
        <v>2025</v>
      </c>
      <c r="D229" s="71">
        <v>5</v>
      </c>
      <c r="E229" s="71" t="s">
        <v>49</v>
      </c>
      <c r="F229" s="71" t="s">
        <v>49</v>
      </c>
      <c r="G229" s="72">
        <v>0</v>
      </c>
      <c r="H229" s="73">
        <v>0</v>
      </c>
      <c r="I229" s="73">
        <v>0</v>
      </c>
      <c r="J229" s="73">
        <v>0</v>
      </c>
      <c r="K229" s="73">
        <v>0</v>
      </c>
      <c r="L229" s="73">
        <v>0</v>
      </c>
      <c r="M229" s="73">
        <v>0</v>
      </c>
      <c r="N229" s="73">
        <v>0</v>
      </c>
      <c r="O229" s="73">
        <v>0</v>
      </c>
      <c r="P229" s="73">
        <v>0</v>
      </c>
      <c r="Q229" s="73">
        <v>0</v>
      </c>
      <c r="R229" s="73">
        <v>-4027</v>
      </c>
      <c r="S229" s="73">
        <v>-974</v>
      </c>
      <c r="T229" s="73">
        <v>-1261</v>
      </c>
      <c r="U229" s="73">
        <v>-1079</v>
      </c>
      <c r="V229" s="73">
        <v>-1413</v>
      </c>
      <c r="W229" s="73">
        <v>-741</v>
      </c>
      <c r="X229" s="73">
        <v>-1394</v>
      </c>
      <c r="Y229" s="73">
        <v>-1191</v>
      </c>
      <c r="Z229" s="73">
        <v>0</v>
      </c>
      <c r="AA229" s="73">
        <v>0</v>
      </c>
      <c r="AB229" s="73">
        <v>30859</v>
      </c>
      <c r="AC229" s="73">
        <v>29049</v>
      </c>
      <c r="AD229" s="73">
        <v>197500</v>
      </c>
      <c r="AE229" s="73">
        <v>1153</v>
      </c>
      <c r="AF229" s="74">
        <f>tblData[[#This Row],[Gross Sales]]+tblData[[#This Row],[Trade Discounts]]+tblData[[#This Row],[Returns]]</f>
        <v>0</v>
      </c>
      <c r="AG229" s="74">
        <f>tblData[[#This Row],[Material Cost]]+tblData[[#This Row],[Conversion Cost]]+tblData[[#This Row],[Inbound Freight]]</f>
        <v>0</v>
      </c>
      <c r="AH229" s="74">
        <f>tblData[[#This Row],[Net Revenue]]+tblData[[#This Row],[COGS]]</f>
        <v>0</v>
      </c>
      <c r="AI229" s="74">
        <f>tblData[[#This Row],[Advertising]]+tblData[[#This Row],[Promotions]]</f>
        <v>0</v>
      </c>
      <c r="AJ229" s="74">
        <f>tblData[[#This Row],[Outbound Logistics]]+tblData[[#This Row],[Direct Selling]]</f>
        <v>0</v>
      </c>
      <c r="AK229" s="74">
        <f>tblData[[#This Row],[Gross Profit]]+tblData[[#This Row],[AP Spend]]+tblData[[#This Row],[Cost to Serve]]</f>
        <v>0</v>
      </c>
    </row>
    <row r="230" spans="2:37" x14ac:dyDescent="0.25">
      <c r="B230" s="71" t="s">
        <v>36</v>
      </c>
      <c r="C230" s="71">
        <v>2025</v>
      </c>
      <c r="D230" s="71">
        <v>6</v>
      </c>
      <c r="E230" s="71" t="s">
        <v>37</v>
      </c>
      <c r="F230" s="71" t="s">
        <v>38</v>
      </c>
      <c r="G230" s="72">
        <v>293.5</v>
      </c>
      <c r="H230" s="73">
        <v>4027</v>
      </c>
      <c r="I230" s="73">
        <v>-749</v>
      </c>
      <c r="J230" s="73">
        <v>-60</v>
      </c>
      <c r="K230" s="73">
        <v>-857</v>
      </c>
      <c r="L230" s="73">
        <v>-217</v>
      </c>
      <c r="M230" s="73">
        <v>-115</v>
      </c>
      <c r="N230" s="73">
        <v>-254</v>
      </c>
      <c r="O230" s="73">
        <v>-137</v>
      </c>
      <c r="P230" s="73">
        <v>-161</v>
      </c>
      <c r="Q230" s="73">
        <v>-121</v>
      </c>
      <c r="R230" s="73">
        <v>0</v>
      </c>
      <c r="S230" s="73">
        <v>0</v>
      </c>
      <c r="T230" s="73">
        <v>0</v>
      </c>
      <c r="U230" s="73">
        <v>0</v>
      </c>
      <c r="V230" s="73">
        <v>0</v>
      </c>
      <c r="W230" s="73">
        <v>0</v>
      </c>
      <c r="X230" s="73">
        <v>0</v>
      </c>
      <c r="Y230" s="73">
        <v>0</v>
      </c>
      <c r="Z230" s="73">
        <v>5675</v>
      </c>
      <c r="AA230" s="73">
        <v>3622</v>
      </c>
      <c r="AB230" s="73">
        <v>0</v>
      </c>
      <c r="AC230" s="73">
        <v>0</v>
      </c>
      <c r="AD230" s="73">
        <v>0</v>
      </c>
      <c r="AE230" s="73">
        <v>0</v>
      </c>
      <c r="AF230" s="74">
        <f>tblData[[#This Row],[Gross Sales]]+tblData[[#This Row],[Trade Discounts]]+tblData[[#This Row],[Returns]]</f>
        <v>3218</v>
      </c>
      <c r="AG230" s="74">
        <f>tblData[[#This Row],[Material Cost]]+tblData[[#This Row],[Conversion Cost]]+tblData[[#This Row],[Inbound Freight]]</f>
        <v>-1189</v>
      </c>
      <c r="AH230" s="74">
        <f>tblData[[#This Row],[Net Revenue]]+tblData[[#This Row],[COGS]]</f>
        <v>2029</v>
      </c>
      <c r="AI230" s="74">
        <f>tblData[[#This Row],[Advertising]]+tblData[[#This Row],[Promotions]]</f>
        <v>-391</v>
      </c>
      <c r="AJ230" s="74">
        <f>tblData[[#This Row],[Outbound Logistics]]+tblData[[#This Row],[Direct Selling]]</f>
        <v>-282</v>
      </c>
      <c r="AK230" s="74">
        <f>tblData[[#This Row],[Gross Profit]]+tblData[[#This Row],[AP Spend]]+tblData[[#This Row],[Cost to Serve]]</f>
        <v>1356</v>
      </c>
    </row>
    <row r="231" spans="2:37" x14ac:dyDescent="0.25">
      <c r="B231" s="71" t="s">
        <v>36</v>
      </c>
      <c r="C231" s="71">
        <v>2025</v>
      </c>
      <c r="D231" s="71">
        <v>6</v>
      </c>
      <c r="E231" s="71" t="s">
        <v>37</v>
      </c>
      <c r="F231" s="71" t="s">
        <v>39</v>
      </c>
      <c r="G231" s="72">
        <v>383.5</v>
      </c>
      <c r="H231" s="73">
        <v>3382</v>
      </c>
      <c r="I231" s="73">
        <v>-629</v>
      </c>
      <c r="J231" s="73">
        <v>-51</v>
      </c>
      <c r="K231" s="73">
        <v>-864</v>
      </c>
      <c r="L231" s="73">
        <v>-219</v>
      </c>
      <c r="M231" s="73">
        <v>-116</v>
      </c>
      <c r="N231" s="73">
        <v>-145</v>
      </c>
      <c r="O231" s="73">
        <v>-78</v>
      </c>
      <c r="P231" s="73">
        <v>-135</v>
      </c>
      <c r="Q231" s="73">
        <v>-101</v>
      </c>
      <c r="R231" s="73">
        <v>0</v>
      </c>
      <c r="S231" s="73">
        <v>0</v>
      </c>
      <c r="T231" s="73">
        <v>0</v>
      </c>
      <c r="U231" s="73">
        <v>0</v>
      </c>
      <c r="V231" s="73">
        <v>0</v>
      </c>
      <c r="W231" s="73">
        <v>0</v>
      </c>
      <c r="X231" s="73">
        <v>0</v>
      </c>
      <c r="Y231" s="73">
        <v>0</v>
      </c>
      <c r="Z231" s="73">
        <v>4931</v>
      </c>
      <c r="AA231" s="73">
        <v>3181</v>
      </c>
      <c r="AB231" s="73">
        <v>0</v>
      </c>
      <c r="AC231" s="73">
        <v>0</v>
      </c>
      <c r="AD231" s="73">
        <v>0</v>
      </c>
      <c r="AE231" s="73">
        <v>0</v>
      </c>
      <c r="AF231" s="74">
        <f>tblData[[#This Row],[Gross Sales]]+tblData[[#This Row],[Trade Discounts]]+tblData[[#This Row],[Returns]]</f>
        <v>2702</v>
      </c>
      <c r="AG231" s="74">
        <f>tblData[[#This Row],[Material Cost]]+tblData[[#This Row],[Conversion Cost]]+tblData[[#This Row],[Inbound Freight]]</f>
        <v>-1199</v>
      </c>
      <c r="AH231" s="74">
        <f>tblData[[#This Row],[Net Revenue]]+tblData[[#This Row],[COGS]]</f>
        <v>1503</v>
      </c>
      <c r="AI231" s="74">
        <f>tblData[[#This Row],[Advertising]]+tblData[[#This Row],[Promotions]]</f>
        <v>-223</v>
      </c>
      <c r="AJ231" s="74">
        <f>tblData[[#This Row],[Outbound Logistics]]+tblData[[#This Row],[Direct Selling]]</f>
        <v>-236</v>
      </c>
      <c r="AK231" s="74">
        <f>tblData[[#This Row],[Gross Profit]]+tblData[[#This Row],[AP Spend]]+tblData[[#This Row],[Cost to Serve]]</f>
        <v>1044</v>
      </c>
    </row>
    <row r="232" spans="2:37" x14ac:dyDescent="0.25">
      <c r="B232" s="71" t="s">
        <v>36</v>
      </c>
      <c r="C232" s="71">
        <v>2025</v>
      </c>
      <c r="D232" s="71">
        <v>6</v>
      </c>
      <c r="E232" s="71" t="s">
        <v>37</v>
      </c>
      <c r="F232" s="71" t="s">
        <v>40</v>
      </c>
      <c r="G232" s="72">
        <v>383.9</v>
      </c>
      <c r="H232" s="73">
        <v>2634</v>
      </c>
      <c r="I232" s="73">
        <v>-490</v>
      </c>
      <c r="J232" s="73">
        <v>-40</v>
      </c>
      <c r="K232" s="73">
        <v>-747</v>
      </c>
      <c r="L232" s="73">
        <v>-190</v>
      </c>
      <c r="M232" s="73">
        <v>-100</v>
      </c>
      <c r="N232" s="73">
        <v>-73</v>
      </c>
      <c r="O232" s="73">
        <v>-39</v>
      </c>
      <c r="P232" s="73">
        <v>-105</v>
      </c>
      <c r="Q232" s="73">
        <v>-79</v>
      </c>
      <c r="R232" s="73">
        <v>0</v>
      </c>
      <c r="S232" s="73">
        <v>0</v>
      </c>
      <c r="T232" s="73">
        <v>0</v>
      </c>
      <c r="U232" s="73">
        <v>0</v>
      </c>
      <c r="V232" s="73">
        <v>0</v>
      </c>
      <c r="W232" s="73">
        <v>0</v>
      </c>
      <c r="X232" s="73">
        <v>0</v>
      </c>
      <c r="Y232" s="73">
        <v>0</v>
      </c>
      <c r="Z232" s="73">
        <v>3684</v>
      </c>
      <c r="AA232" s="73">
        <v>2475</v>
      </c>
      <c r="AB232" s="73">
        <v>0</v>
      </c>
      <c r="AC232" s="73">
        <v>0</v>
      </c>
      <c r="AD232" s="73">
        <v>0</v>
      </c>
      <c r="AE232" s="73">
        <v>0</v>
      </c>
      <c r="AF232" s="74">
        <f>tblData[[#This Row],[Gross Sales]]+tblData[[#This Row],[Trade Discounts]]+tblData[[#This Row],[Returns]]</f>
        <v>2104</v>
      </c>
      <c r="AG232" s="74">
        <f>tblData[[#This Row],[Material Cost]]+tblData[[#This Row],[Conversion Cost]]+tblData[[#This Row],[Inbound Freight]]</f>
        <v>-1037</v>
      </c>
      <c r="AH232" s="74">
        <f>tblData[[#This Row],[Net Revenue]]+tblData[[#This Row],[COGS]]</f>
        <v>1067</v>
      </c>
      <c r="AI232" s="74">
        <f>tblData[[#This Row],[Advertising]]+tblData[[#This Row],[Promotions]]</f>
        <v>-112</v>
      </c>
      <c r="AJ232" s="74">
        <f>tblData[[#This Row],[Outbound Logistics]]+tblData[[#This Row],[Direct Selling]]</f>
        <v>-184</v>
      </c>
      <c r="AK232" s="74">
        <f>tblData[[#This Row],[Gross Profit]]+tblData[[#This Row],[AP Spend]]+tblData[[#This Row],[Cost to Serve]]</f>
        <v>771</v>
      </c>
    </row>
    <row r="233" spans="2:37" x14ac:dyDescent="0.25">
      <c r="B233" s="71" t="s">
        <v>36</v>
      </c>
      <c r="C233" s="71">
        <v>2025</v>
      </c>
      <c r="D233" s="71">
        <v>6</v>
      </c>
      <c r="E233" s="71" t="s">
        <v>37</v>
      </c>
      <c r="F233" s="71" t="s">
        <v>41</v>
      </c>
      <c r="G233" s="72">
        <v>191.2</v>
      </c>
      <c r="H233" s="73">
        <v>2061</v>
      </c>
      <c r="I233" s="73">
        <v>-383</v>
      </c>
      <c r="J233" s="73">
        <v>-31</v>
      </c>
      <c r="K233" s="73">
        <v>-482</v>
      </c>
      <c r="L233" s="73">
        <v>-122</v>
      </c>
      <c r="M233" s="73">
        <v>-65</v>
      </c>
      <c r="N233" s="73">
        <v>-155</v>
      </c>
      <c r="O233" s="73">
        <v>-84</v>
      </c>
      <c r="P233" s="73">
        <v>-82</v>
      </c>
      <c r="Q233" s="73">
        <v>-62</v>
      </c>
      <c r="R233" s="73">
        <v>0</v>
      </c>
      <c r="S233" s="73">
        <v>0</v>
      </c>
      <c r="T233" s="73">
        <v>0</v>
      </c>
      <c r="U233" s="73">
        <v>0</v>
      </c>
      <c r="V233" s="73">
        <v>0</v>
      </c>
      <c r="W233" s="73">
        <v>0</v>
      </c>
      <c r="X233" s="73">
        <v>0</v>
      </c>
      <c r="Y233" s="73">
        <v>0</v>
      </c>
      <c r="Z233" s="73">
        <v>2883</v>
      </c>
      <c r="AA233" s="73">
        <v>1918</v>
      </c>
      <c r="AB233" s="73">
        <v>0</v>
      </c>
      <c r="AC233" s="73">
        <v>0</v>
      </c>
      <c r="AD233" s="73">
        <v>0</v>
      </c>
      <c r="AE233" s="73">
        <v>0</v>
      </c>
      <c r="AF233" s="74">
        <f>tblData[[#This Row],[Gross Sales]]+tblData[[#This Row],[Trade Discounts]]+tblData[[#This Row],[Returns]]</f>
        <v>1647</v>
      </c>
      <c r="AG233" s="74">
        <f>tblData[[#This Row],[Material Cost]]+tblData[[#This Row],[Conversion Cost]]+tblData[[#This Row],[Inbound Freight]]</f>
        <v>-669</v>
      </c>
      <c r="AH233" s="74">
        <f>tblData[[#This Row],[Net Revenue]]+tblData[[#This Row],[COGS]]</f>
        <v>978</v>
      </c>
      <c r="AI233" s="74">
        <f>tblData[[#This Row],[Advertising]]+tblData[[#This Row],[Promotions]]</f>
        <v>-239</v>
      </c>
      <c r="AJ233" s="74">
        <f>tblData[[#This Row],[Outbound Logistics]]+tblData[[#This Row],[Direct Selling]]</f>
        <v>-144</v>
      </c>
      <c r="AK233" s="74">
        <f>tblData[[#This Row],[Gross Profit]]+tblData[[#This Row],[AP Spend]]+tblData[[#This Row],[Cost to Serve]]</f>
        <v>595</v>
      </c>
    </row>
    <row r="234" spans="2:37" x14ac:dyDescent="0.25">
      <c r="B234" s="71" t="s">
        <v>36</v>
      </c>
      <c r="C234" s="71">
        <v>2025</v>
      </c>
      <c r="D234" s="71">
        <v>6</v>
      </c>
      <c r="E234" s="71" t="s">
        <v>37</v>
      </c>
      <c r="F234" s="71" t="s">
        <v>42</v>
      </c>
      <c r="G234" s="72">
        <v>249.9</v>
      </c>
      <c r="H234" s="73">
        <v>1469</v>
      </c>
      <c r="I234" s="73">
        <v>-273</v>
      </c>
      <c r="J234" s="73">
        <v>-22</v>
      </c>
      <c r="K234" s="73">
        <v>-458</v>
      </c>
      <c r="L234" s="73">
        <v>-116</v>
      </c>
      <c r="M234" s="73">
        <v>-61</v>
      </c>
      <c r="N234" s="73">
        <v>-30</v>
      </c>
      <c r="O234" s="73">
        <v>-16</v>
      </c>
      <c r="P234" s="73">
        <v>-59</v>
      </c>
      <c r="Q234" s="73">
        <v>-44</v>
      </c>
      <c r="R234" s="73">
        <v>0</v>
      </c>
      <c r="S234" s="73">
        <v>0</v>
      </c>
      <c r="T234" s="73">
        <v>0</v>
      </c>
      <c r="U234" s="73">
        <v>0</v>
      </c>
      <c r="V234" s="73">
        <v>0</v>
      </c>
      <c r="W234" s="73">
        <v>0</v>
      </c>
      <c r="X234" s="73">
        <v>0</v>
      </c>
      <c r="Y234" s="73">
        <v>0</v>
      </c>
      <c r="Z234" s="73">
        <v>2034</v>
      </c>
      <c r="AA234" s="73">
        <v>2204</v>
      </c>
      <c r="AB234" s="73">
        <v>0</v>
      </c>
      <c r="AC234" s="73">
        <v>0</v>
      </c>
      <c r="AD234" s="73">
        <v>0</v>
      </c>
      <c r="AE234" s="73">
        <v>0</v>
      </c>
      <c r="AF234" s="74">
        <f>tblData[[#This Row],[Gross Sales]]+tblData[[#This Row],[Trade Discounts]]+tblData[[#This Row],[Returns]]</f>
        <v>1174</v>
      </c>
      <c r="AG234" s="74">
        <f>tblData[[#This Row],[Material Cost]]+tblData[[#This Row],[Conversion Cost]]+tblData[[#This Row],[Inbound Freight]]</f>
        <v>-635</v>
      </c>
      <c r="AH234" s="74">
        <f>tblData[[#This Row],[Net Revenue]]+tblData[[#This Row],[COGS]]</f>
        <v>539</v>
      </c>
      <c r="AI234" s="74">
        <f>tblData[[#This Row],[Advertising]]+tblData[[#This Row],[Promotions]]</f>
        <v>-46</v>
      </c>
      <c r="AJ234" s="74">
        <f>tblData[[#This Row],[Outbound Logistics]]+tblData[[#This Row],[Direct Selling]]</f>
        <v>-103</v>
      </c>
      <c r="AK234" s="74">
        <f>tblData[[#This Row],[Gross Profit]]+tblData[[#This Row],[AP Spend]]+tblData[[#This Row],[Cost to Serve]]</f>
        <v>390</v>
      </c>
    </row>
    <row r="235" spans="2:37" x14ac:dyDescent="0.25">
      <c r="B235" s="71" t="s">
        <v>36</v>
      </c>
      <c r="C235" s="71">
        <v>2025</v>
      </c>
      <c r="D235" s="71">
        <v>6</v>
      </c>
      <c r="E235" s="71" t="s">
        <v>37</v>
      </c>
      <c r="F235" s="71" t="s">
        <v>43</v>
      </c>
      <c r="G235" s="72">
        <v>49</v>
      </c>
      <c r="H235" s="73">
        <v>864</v>
      </c>
      <c r="I235" s="73">
        <v>-161</v>
      </c>
      <c r="J235" s="73">
        <v>-13</v>
      </c>
      <c r="K235" s="73">
        <v>-233</v>
      </c>
      <c r="L235" s="73">
        <v>-59</v>
      </c>
      <c r="M235" s="73">
        <v>-31</v>
      </c>
      <c r="N235" s="73">
        <v>-85</v>
      </c>
      <c r="O235" s="73">
        <v>-46</v>
      </c>
      <c r="P235" s="73">
        <v>-35</v>
      </c>
      <c r="Q235" s="73">
        <v>-26</v>
      </c>
      <c r="R235" s="73">
        <v>0</v>
      </c>
      <c r="S235" s="73">
        <v>0</v>
      </c>
      <c r="T235" s="73">
        <v>0</v>
      </c>
      <c r="U235" s="73">
        <v>0</v>
      </c>
      <c r="V235" s="73">
        <v>0</v>
      </c>
      <c r="W235" s="73">
        <v>0</v>
      </c>
      <c r="X235" s="73">
        <v>0</v>
      </c>
      <c r="Y235" s="73">
        <v>0</v>
      </c>
      <c r="Z235" s="73">
        <v>1217</v>
      </c>
      <c r="AA235" s="73">
        <v>1242</v>
      </c>
      <c r="AB235" s="73">
        <v>0</v>
      </c>
      <c r="AC235" s="73">
        <v>0</v>
      </c>
      <c r="AD235" s="73">
        <v>0</v>
      </c>
      <c r="AE235" s="73">
        <v>0</v>
      </c>
      <c r="AF235" s="74">
        <f>tblData[[#This Row],[Gross Sales]]+tblData[[#This Row],[Trade Discounts]]+tblData[[#This Row],[Returns]]</f>
        <v>690</v>
      </c>
      <c r="AG235" s="74">
        <f>tblData[[#This Row],[Material Cost]]+tblData[[#This Row],[Conversion Cost]]+tblData[[#This Row],[Inbound Freight]]</f>
        <v>-323</v>
      </c>
      <c r="AH235" s="74">
        <f>tblData[[#This Row],[Net Revenue]]+tblData[[#This Row],[COGS]]</f>
        <v>367</v>
      </c>
      <c r="AI235" s="74">
        <f>tblData[[#This Row],[Advertising]]+tblData[[#This Row],[Promotions]]</f>
        <v>-131</v>
      </c>
      <c r="AJ235" s="74">
        <f>tblData[[#This Row],[Outbound Logistics]]+tblData[[#This Row],[Direct Selling]]</f>
        <v>-61</v>
      </c>
      <c r="AK235" s="74">
        <f>tblData[[#This Row],[Gross Profit]]+tblData[[#This Row],[AP Spend]]+tblData[[#This Row],[Cost to Serve]]</f>
        <v>175</v>
      </c>
    </row>
    <row r="236" spans="2:37" x14ac:dyDescent="0.25">
      <c r="B236" s="71" t="s">
        <v>36</v>
      </c>
      <c r="C236" s="71">
        <v>2025</v>
      </c>
      <c r="D236" s="71">
        <v>6</v>
      </c>
      <c r="E236" s="71" t="s">
        <v>44</v>
      </c>
      <c r="F236" s="71" t="s">
        <v>38</v>
      </c>
      <c r="G236" s="72">
        <v>241.2</v>
      </c>
      <c r="H236" s="73">
        <v>3309</v>
      </c>
      <c r="I236" s="73">
        <v>-516</v>
      </c>
      <c r="J236" s="73">
        <v>-40</v>
      </c>
      <c r="K236" s="73">
        <v>-704</v>
      </c>
      <c r="L236" s="73">
        <v>-179</v>
      </c>
      <c r="M236" s="73">
        <v>-94</v>
      </c>
      <c r="N236" s="73">
        <v>-203</v>
      </c>
      <c r="O236" s="73">
        <v>-109</v>
      </c>
      <c r="P236" s="73">
        <v>-132</v>
      </c>
      <c r="Q236" s="73">
        <v>-99</v>
      </c>
      <c r="R236" s="73">
        <v>0</v>
      </c>
      <c r="S236" s="73">
        <v>0</v>
      </c>
      <c r="T236" s="73">
        <v>0</v>
      </c>
      <c r="U236" s="73">
        <v>0</v>
      </c>
      <c r="V236" s="73">
        <v>0</v>
      </c>
      <c r="W236" s="73">
        <v>0</v>
      </c>
      <c r="X236" s="73">
        <v>0</v>
      </c>
      <c r="Y236" s="73">
        <v>0</v>
      </c>
      <c r="Z236" s="73">
        <v>4410</v>
      </c>
      <c r="AA236" s="73">
        <v>2973</v>
      </c>
      <c r="AB236" s="73">
        <v>0</v>
      </c>
      <c r="AC236" s="73">
        <v>0</v>
      </c>
      <c r="AD236" s="73">
        <v>0</v>
      </c>
      <c r="AE236" s="73">
        <v>0</v>
      </c>
      <c r="AF236" s="74">
        <f>tblData[[#This Row],[Gross Sales]]+tblData[[#This Row],[Trade Discounts]]+tblData[[#This Row],[Returns]]</f>
        <v>2753</v>
      </c>
      <c r="AG236" s="74">
        <f>tblData[[#This Row],[Material Cost]]+tblData[[#This Row],[Conversion Cost]]+tblData[[#This Row],[Inbound Freight]]</f>
        <v>-977</v>
      </c>
      <c r="AH236" s="74">
        <f>tblData[[#This Row],[Net Revenue]]+tblData[[#This Row],[COGS]]</f>
        <v>1776</v>
      </c>
      <c r="AI236" s="74">
        <f>tblData[[#This Row],[Advertising]]+tblData[[#This Row],[Promotions]]</f>
        <v>-312</v>
      </c>
      <c r="AJ236" s="74">
        <f>tblData[[#This Row],[Outbound Logistics]]+tblData[[#This Row],[Direct Selling]]</f>
        <v>-231</v>
      </c>
      <c r="AK236" s="74">
        <f>tblData[[#This Row],[Gross Profit]]+tblData[[#This Row],[AP Spend]]+tblData[[#This Row],[Cost to Serve]]</f>
        <v>1233</v>
      </c>
    </row>
    <row r="237" spans="2:37" x14ac:dyDescent="0.25">
      <c r="B237" s="71" t="s">
        <v>36</v>
      </c>
      <c r="C237" s="71">
        <v>2025</v>
      </c>
      <c r="D237" s="71">
        <v>6</v>
      </c>
      <c r="E237" s="71" t="s">
        <v>44</v>
      </c>
      <c r="F237" s="71" t="s">
        <v>39</v>
      </c>
      <c r="G237" s="72">
        <v>306</v>
      </c>
      <c r="H237" s="73">
        <v>2699</v>
      </c>
      <c r="I237" s="73">
        <v>-421</v>
      </c>
      <c r="J237" s="73">
        <v>-32</v>
      </c>
      <c r="K237" s="73">
        <v>-689</v>
      </c>
      <c r="L237" s="73">
        <v>-175</v>
      </c>
      <c r="M237" s="73">
        <v>-92</v>
      </c>
      <c r="N237" s="73">
        <v>-116</v>
      </c>
      <c r="O237" s="73">
        <v>-62</v>
      </c>
      <c r="P237" s="73">
        <v>-108</v>
      </c>
      <c r="Q237" s="73">
        <v>-81</v>
      </c>
      <c r="R237" s="73">
        <v>0</v>
      </c>
      <c r="S237" s="73">
        <v>0</v>
      </c>
      <c r="T237" s="73">
        <v>0</v>
      </c>
      <c r="U237" s="73">
        <v>0</v>
      </c>
      <c r="V237" s="73">
        <v>0</v>
      </c>
      <c r="W237" s="73">
        <v>0</v>
      </c>
      <c r="X237" s="73">
        <v>0</v>
      </c>
      <c r="Y237" s="73">
        <v>0</v>
      </c>
      <c r="Z237" s="73">
        <v>3672</v>
      </c>
      <c r="AA237" s="73">
        <v>2502</v>
      </c>
      <c r="AB237" s="73">
        <v>0</v>
      </c>
      <c r="AC237" s="73">
        <v>0</v>
      </c>
      <c r="AD237" s="73">
        <v>0</v>
      </c>
      <c r="AE237" s="73">
        <v>0</v>
      </c>
      <c r="AF237" s="74">
        <f>tblData[[#This Row],[Gross Sales]]+tblData[[#This Row],[Trade Discounts]]+tblData[[#This Row],[Returns]]</f>
        <v>2246</v>
      </c>
      <c r="AG237" s="74">
        <f>tblData[[#This Row],[Material Cost]]+tblData[[#This Row],[Conversion Cost]]+tblData[[#This Row],[Inbound Freight]]</f>
        <v>-956</v>
      </c>
      <c r="AH237" s="74">
        <f>tblData[[#This Row],[Net Revenue]]+tblData[[#This Row],[COGS]]</f>
        <v>1290</v>
      </c>
      <c r="AI237" s="74">
        <f>tblData[[#This Row],[Advertising]]+tblData[[#This Row],[Promotions]]</f>
        <v>-178</v>
      </c>
      <c r="AJ237" s="74">
        <f>tblData[[#This Row],[Outbound Logistics]]+tblData[[#This Row],[Direct Selling]]</f>
        <v>-189</v>
      </c>
      <c r="AK237" s="74">
        <f>tblData[[#This Row],[Gross Profit]]+tblData[[#This Row],[AP Spend]]+tblData[[#This Row],[Cost to Serve]]</f>
        <v>923</v>
      </c>
    </row>
    <row r="238" spans="2:37" x14ac:dyDescent="0.25">
      <c r="B238" s="71" t="s">
        <v>36</v>
      </c>
      <c r="C238" s="71">
        <v>2025</v>
      </c>
      <c r="D238" s="71">
        <v>6</v>
      </c>
      <c r="E238" s="71" t="s">
        <v>44</v>
      </c>
      <c r="F238" s="71" t="s">
        <v>40</v>
      </c>
      <c r="G238" s="72">
        <v>301.60000000000002</v>
      </c>
      <c r="H238" s="73">
        <v>2069</v>
      </c>
      <c r="I238" s="73">
        <v>-323</v>
      </c>
      <c r="J238" s="73">
        <v>-25</v>
      </c>
      <c r="K238" s="73">
        <v>-587</v>
      </c>
      <c r="L238" s="73">
        <v>-149</v>
      </c>
      <c r="M238" s="73">
        <v>-79</v>
      </c>
      <c r="N238" s="73">
        <v>-58</v>
      </c>
      <c r="O238" s="73">
        <v>-31</v>
      </c>
      <c r="P238" s="73">
        <v>-83</v>
      </c>
      <c r="Q238" s="73">
        <v>-62</v>
      </c>
      <c r="R238" s="73">
        <v>0</v>
      </c>
      <c r="S238" s="73">
        <v>0</v>
      </c>
      <c r="T238" s="73">
        <v>0</v>
      </c>
      <c r="U238" s="73">
        <v>0</v>
      </c>
      <c r="V238" s="73">
        <v>0</v>
      </c>
      <c r="W238" s="73">
        <v>0</v>
      </c>
      <c r="X238" s="73">
        <v>0</v>
      </c>
      <c r="Y238" s="73">
        <v>0</v>
      </c>
      <c r="Z238" s="73">
        <v>2725</v>
      </c>
      <c r="AA238" s="73">
        <v>1934</v>
      </c>
      <c r="AB238" s="73">
        <v>0</v>
      </c>
      <c r="AC238" s="73">
        <v>0</v>
      </c>
      <c r="AD238" s="73">
        <v>0</v>
      </c>
      <c r="AE238" s="73">
        <v>0</v>
      </c>
      <c r="AF238" s="74">
        <f>tblData[[#This Row],[Gross Sales]]+tblData[[#This Row],[Trade Discounts]]+tblData[[#This Row],[Returns]]</f>
        <v>1721</v>
      </c>
      <c r="AG238" s="74">
        <f>tblData[[#This Row],[Material Cost]]+tblData[[#This Row],[Conversion Cost]]+tblData[[#This Row],[Inbound Freight]]</f>
        <v>-815</v>
      </c>
      <c r="AH238" s="74">
        <f>tblData[[#This Row],[Net Revenue]]+tblData[[#This Row],[COGS]]</f>
        <v>906</v>
      </c>
      <c r="AI238" s="74">
        <f>tblData[[#This Row],[Advertising]]+tblData[[#This Row],[Promotions]]</f>
        <v>-89</v>
      </c>
      <c r="AJ238" s="74">
        <f>tblData[[#This Row],[Outbound Logistics]]+tblData[[#This Row],[Direct Selling]]</f>
        <v>-145</v>
      </c>
      <c r="AK238" s="74">
        <f>tblData[[#This Row],[Gross Profit]]+tblData[[#This Row],[AP Spend]]+tblData[[#This Row],[Cost to Serve]]</f>
        <v>672</v>
      </c>
    </row>
    <row r="239" spans="2:37" x14ac:dyDescent="0.25">
      <c r="B239" s="71" t="s">
        <v>36</v>
      </c>
      <c r="C239" s="71">
        <v>2025</v>
      </c>
      <c r="D239" s="71">
        <v>6</v>
      </c>
      <c r="E239" s="71" t="s">
        <v>44</v>
      </c>
      <c r="F239" s="71" t="s">
        <v>41</v>
      </c>
      <c r="G239" s="72">
        <v>153.30000000000001</v>
      </c>
      <c r="H239" s="73">
        <v>1652</v>
      </c>
      <c r="I239" s="73">
        <v>-258</v>
      </c>
      <c r="J239" s="73">
        <v>-20</v>
      </c>
      <c r="K239" s="73">
        <v>-387</v>
      </c>
      <c r="L239" s="73">
        <v>-98</v>
      </c>
      <c r="M239" s="73">
        <v>-52</v>
      </c>
      <c r="N239" s="73">
        <v>-124</v>
      </c>
      <c r="O239" s="73">
        <v>-67</v>
      </c>
      <c r="P239" s="73">
        <v>-66</v>
      </c>
      <c r="Q239" s="73">
        <v>-50</v>
      </c>
      <c r="R239" s="73">
        <v>0</v>
      </c>
      <c r="S239" s="73">
        <v>0</v>
      </c>
      <c r="T239" s="73">
        <v>0</v>
      </c>
      <c r="U239" s="73">
        <v>0</v>
      </c>
      <c r="V239" s="73">
        <v>0</v>
      </c>
      <c r="W239" s="73">
        <v>0</v>
      </c>
      <c r="X239" s="73">
        <v>0</v>
      </c>
      <c r="Y239" s="73">
        <v>0</v>
      </c>
      <c r="Z239" s="73">
        <v>2164</v>
      </c>
      <c r="AA239" s="73">
        <v>1520</v>
      </c>
      <c r="AB239" s="73">
        <v>0</v>
      </c>
      <c r="AC239" s="73">
        <v>0</v>
      </c>
      <c r="AD239" s="73">
        <v>0</v>
      </c>
      <c r="AE239" s="73">
        <v>0</v>
      </c>
      <c r="AF239" s="74">
        <f>tblData[[#This Row],[Gross Sales]]+tblData[[#This Row],[Trade Discounts]]+tblData[[#This Row],[Returns]]</f>
        <v>1374</v>
      </c>
      <c r="AG239" s="74">
        <f>tblData[[#This Row],[Material Cost]]+tblData[[#This Row],[Conversion Cost]]+tblData[[#This Row],[Inbound Freight]]</f>
        <v>-537</v>
      </c>
      <c r="AH239" s="74">
        <f>tblData[[#This Row],[Net Revenue]]+tblData[[#This Row],[COGS]]</f>
        <v>837</v>
      </c>
      <c r="AI239" s="74">
        <f>tblData[[#This Row],[Advertising]]+tblData[[#This Row],[Promotions]]</f>
        <v>-191</v>
      </c>
      <c r="AJ239" s="74">
        <f>tblData[[#This Row],[Outbound Logistics]]+tblData[[#This Row],[Direct Selling]]</f>
        <v>-116</v>
      </c>
      <c r="AK239" s="74">
        <f>tblData[[#This Row],[Gross Profit]]+tblData[[#This Row],[AP Spend]]+tblData[[#This Row],[Cost to Serve]]</f>
        <v>530</v>
      </c>
    </row>
    <row r="240" spans="2:37" x14ac:dyDescent="0.25">
      <c r="B240" s="71" t="s">
        <v>36</v>
      </c>
      <c r="C240" s="71">
        <v>2025</v>
      </c>
      <c r="D240" s="71">
        <v>6</v>
      </c>
      <c r="E240" s="71" t="s">
        <v>44</v>
      </c>
      <c r="F240" s="71" t="s">
        <v>42</v>
      </c>
      <c r="G240" s="72">
        <v>202.3</v>
      </c>
      <c r="H240" s="73">
        <v>1189</v>
      </c>
      <c r="I240" s="73">
        <v>-186</v>
      </c>
      <c r="J240" s="73">
        <v>-14</v>
      </c>
      <c r="K240" s="73">
        <v>-371</v>
      </c>
      <c r="L240" s="73">
        <v>-94</v>
      </c>
      <c r="M240" s="73">
        <v>-50</v>
      </c>
      <c r="N240" s="73">
        <v>-24</v>
      </c>
      <c r="O240" s="73">
        <v>-13</v>
      </c>
      <c r="P240" s="73">
        <v>-48</v>
      </c>
      <c r="Q240" s="73">
        <v>-36</v>
      </c>
      <c r="R240" s="73">
        <v>0</v>
      </c>
      <c r="S240" s="73">
        <v>0</v>
      </c>
      <c r="T240" s="73">
        <v>0</v>
      </c>
      <c r="U240" s="73">
        <v>0</v>
      </c>
      <c r="V240" s="73">
        <v>0</v>
      </c>
      <c r="W240" s="73">
        <v>0</v>
      </c>
      <c r="X240" s="73">
        <v>0</v>
      </c>
      <c r="Y240" s="73">
        <v>0</v>
      </c>
      <c r="Z240" s="73">
        <v>1558</v>
      </c>
      <c r="AA240" s="73">
        <v>1785</v>
      </c>
      <c r="AB240" s="73">
        <v>0</v>
      </c>
      <c r="AC240" s="73">
        <v>0</v>
      </c>
      <c r="AD240" s="73">
        <v>0</v>
      </c>
      <c r="AE240" s="73">
        <v>0</v>
      </c>
      <c r="AF240" s="74">
        <f>tblData[[#This Row],[Gross Sales]]+tblData[[#This Row],[Trade Discounts]]+tblData[[#This Row],[Returns]]</f>
        <v>989</v>
      </c>
      <c r="AG240" s="74">
        <f>tblData[[#This Row],[Material Cost]]+tblData[[#This Row],[Conversion Cost]]+tblData[[#This Row],[Inbound Freight]]</f>
        <v>-515</v>
      </c>
      <c r="AH240" s="74">
        <f>tblData[[#This Row],[Net Revenue]]+tblData[[#This Row],[COGS]]</f>
        <v>474</v>
      </c>
      <c r="AI240" s="74">
        <f>tblData[[#This Row],[Advertising]]+tblData[[#This Row],[Promotions]]</f>
        <v>-37</v>
      </c>
      <c r="AJ240" s="74">
        <f>tblData[[#This Row],[Outbound Logistics]]+tblData[[#This Row],[Direct Selling]]</f>
        <v>-84</v>
      </c>
      <c r="AK240" s="74">
        <f>tblData[[#This Row],[Gross Profit]]+tblData[[#This Row],[AP Spend]]+tblData[[#This Row],[Cost to Serve]]</f>
        <v>353</v>
      </c>
    </row>
    <row r="241" spans="2:37" x14ac:dyDescent="0.25">
      <c r="B241" s="71" t="s">
        <v>36</v>
      </c>
      <c r="C241" s="71">
        <v>2025</v>
      </c>
      <c r="D241" s="71">
        <v>6</v>
      </c>
      <c r="E241" s="71" t="s">
        <v>44</v>
      </c>
      <c r="F241" s="71" t="s">
        <v>43</v>
      </c>
      <c r="G241" s="72">
        <v>39</v>
      </c>
      <c r="H241" s="73">
        <v>688</v>
      </c>
      <c r="I241" s="73">
        <v>-107</v>
      </c>
      <c r="J241" s="73">
        <v>-8</v>
      </c>
      <c r="K241" s="73">
        <v>-185</v>
      </c>
      <c r="L241" s="73">
        <v>-47</v>
      </c>
      <c r="M241" s="73">
        <v>-25</v>
      </c>
      <c r="N241" s="73">
        <v>-68</v>
      </c>
      <c r="O241" s="73">
        <v>-36</v>
      </c>
      <c r="P241" s="73">
        <v>-28</v>
      </c>
      <c r="Q241" s="73">
        <v>-21</v>
      </c>
      <c r="R241" s="73">
        <v>0</v>
      </c>
      <c r="S241" s="73">
        <v>0</v>
      </c>
      <c r="T241" s="73">
        <v>0</v>
      </c>
      <c r="U241" s="73">
        <v>0</v>
      </c>
      <c r="V241" s="73">
        <v>0</v>
      </c>
      <c r="W241" s="73">
        <v>0</v>
      </c>
      <c r="X241" s="73">
        <v>0</v>
      </c>
      <c r="Y241" s="73">
        <v>0</v>
      </c>
      <c r="Z241" s="73">
        <v>939</v>
      </c>
      <c r="AA241" s="73">
        <v>1014</v>
      </c>
      <c r="AB241" s="73">
        <v>0</v>
      </c>
      <c r="AC241" s="73">
        <v>0</v>
      </c>
      <c r="AD241" s="73">
        <v>0</v>
      </c>
      <c r="AE241" s="73">
        <v>0</v>
      </c>
      <c r="AF241" s="74">
        <f>tblData[[#This Row],[Gross Sales]]+tblData[[#This Row],[Trade Discounts]]+tblData[[#This Row],[Returns]]</f>
        <v>573</v>
      </c>
      <c r="AG241" s="74">
        <f>tblData[[#This Row],[Material Cost]]+tblData[[#This Row],[Conversion Cost]]+tblData[[#This Row],[Inbound Freight]]</f>
        <v>-257</v>
      </c>
      <c r="AH241" s="74">
        <f>tblData[[#This Row],[Net Revenue]]+tblData[[#This Row],[COGS]]</f>
        <v>316</v>
      </c>
      <c r="AI241" s="74">
        <f>tblData[[#This Row],[Advertising]]+tblData[[#This Row],[Promotions]]</f>
        <v>-104</v>
      </c>
      <c r="AJ241" s="74">
        <f>tblData[[#This Row],[Outbound Logistics]]+tblData[[#This Row],[Direct Selling]]</f>
        <v>-49</v>
      </c>
      <c r="AK241" s="74">
        <f>tblData[[#This Row],[Gross Profit]]+tblData[[#This Row],[AP Spend]]+tblData[[#This Row],[Cost to Serve]]</f>
        <v>163</v>
      </c>
    </row>
    <row r="242" spans="2:37" x14ac:dyDescent="0.25">
      <c r="B242" s="71" t="s">
        <v>36</v>
      </c>
      <c r="C242" s="71">
        <v>2025</v>
      </c>
      <c r="D242" s="71">
        <v>6</v>
      </c>
      <c r="E242" s="71" t="s">
        <v>45</v>
      </c>
      <c r="F242" s="71" t="s">
        <v>38</v>
      </c>
      <c r="G242" s="72">
        <v>141.19999999999999</v>
      </c>
      <c r="H242" s="73">
        <v>1938</v>
      </c>
      <c r="I242" s="73">
        <v>-419</v>
      </c>
      <c r="J242" s="73">
        <v>-19</v>
      </c>
      <c r="K242" s="73">
        <v>-412</v>
      </c>
      <c r="L242" s="73">
        <v>-105</v>
      </c>
      <c r="M242" s="73">
        <v>-55</v>
      </c>
      <c r="N242" s="73">
        <v>-118</v>
      </c>
      <c r="O242" s="73">
        <v>-64</v>
      </c>
      <c r="P242" s="73">
        <v>-68</v>
      </c>
      <c r="Q242" s="73">
        <v>-39</v>
      </c>
      <c r="R242" s="73">
        <v>0</v>
      </c>
      <c r="S242" s="73">
        <v>0</v>
      </c>
      <c r="T242" s="73">
        <v>0</v>
      </c>
      <c r="U242" s="73">
        <v>0</v>
      </c>
      <c r="V242" s="73">
        <v>0</v>
      </c>
      <c r="W242" s="73">
        <v>0</v>
      </c>
      <c r="X242" s="73">
        <v>0</v>
      </c>
      <c r="Y242" s="73">
        <v>0</v>
      </c>
      <c r="Z242" s="73">
        <v>2143</v>
      </c>
      <c r="AA242" s="73">
        <v>1726</v>
      </c>
      <c r="AB242" s="73">
        <v>0</v>
      </c>
      <c r="AC242" s="73">
        <v>0</v>
      </c>
      <c r="AD242" s="73">
        <v>0</v>
      </c>
      <c r="AE242" s="73">
        <v>0</v>
      </c>
      <c r="AF242" s="74">
        <f>tblData[[#This Row],[Gross Sales]]+tblData[[#This Row],[Trade Discounts]]+tblData[[#This Row],[Returns]]</f>
        <v>1500</v>
      </c>
      <c r="AG242" s="74">
        <f>tblData[[#This Row],[Material Cost]]+tblData[[#This Row],[Conversion Cost]]+tblData[[#This Row],[Inbound Freight]]</f>
        <v>-572</v>
      </c>
      <c r="AH242" s="74">
        <f>tblData[[#This Row],[Net Revenue]]+tblData[[#This Row],[COGS]]</f>
        <v>928</v>
      </c>
      <c r="AI242" s="74">
        <f>tblData[[#This Row],[Advertising]]+tblData[[#This Row],[Promotions]]</f>
        <v>-182</v>
      </c>
      <c r="AJ242" s="74">
        <f>tblData[[#This Row],[Outbound Logistics]]+tblData[[#This Row],[Direct Selling]]</f>
        <v>-107</v>
      </c>
      <c r="AK242" s="74">
        <f>tblData[[#This Row],[Gross Profit]]+tblData[[#This Row],[AP Spend]]+tblData[[#This Row],[Cost to Serve]]</f>
        <v>639</v>
      </c>
    </row>
    <row r="243" spans="2:37" x14ac:dyDescent="0.25">
      <c r="B243" s="71" t="s">
        <v>36</v>
      </c>
      <c r="C243" s="71">
        <v>2025</v>
      </c>
      <c r="D243" s="71">
        <v>6</v>
      </c>
      <c r="E243" s="71" t="s">
        <v>45</v>
      </c>
      <c r="F243" s="71" t="s">
        <v>39</v>
      </c>
      <c r="G243" s="72">
        <v>190.3</v>
      </c>
      <c r="H243" s="73">
        <v>1678</v>
      </c>
      <c r="I243" s="73">
        <v>-363</v>
      </c>
      <c r="J243" s="73">
        <v>-17</v>
      </c>
      <c r="K243" s="73">
        <v>-428</v>
      </c>
      <c r="L243" s="73">
        <v>-109</v>
      </c>
      <c r="M243" s="73">
        <v>-57</v>
      </c>
      <c r="N243" s="73">
        <v>-68</v>
      </c>
      <c r="O243" s="73">
        <v>-36</v>
      </c>
      <c r="P243" s="73">
        <v>-59</v>
      </c>
      <c r="Q243" s="73">
        <v>-34</v>
      </c>
      <c r="R243" s="73">
        <v>0</v>
      </c>
      <c r="S243" s="73">
        <v>0</v>
      </c>
      <c r="T243" s="73">
        <v>0</v>
      </c>
      <c r="U243" s="73">
        <v>0</v>
      </c>
      <c r="V243" s="73">
        <v>0</v>
      </c>
      <c r="W243" s="73">
        <v>0</v>
      </c>
      <c r="X243" s="73">
        <v>0</v>
      </c>
      <c r="Y243" s="73">
        <v>0</v>
      </c>
      <c r="Z243" s="73">
        <v>1846</v>
      </c>
      <c r="AA243" s="73">
        <v>1502</v>
      </c>
      <c r="AB243" s="73">
        <v>0</v>
      </c>
      <c r="AC243" s="73">
        <v>0</v>
      </c>
      <c r="AD243" s="73">
        <v>0</v>
      </c>
      <c r="AE243" s="73">
        <v>0</v>
      </c>
      <c r="AF243" s="74">
        <f>tblData[[#This Row],[Gross Sales]]+tblData[[#This Row],[Trade Discounts]]+tblData[[#This Row],[Returns]]</f>
        <v>1298</v>
      </c>
      <c r="AG243" s="74">
        <f>tblData[[#This Row],[Material Cost]]+tblData[[#This Row],[Conversion Cost]]+tblData[[#This Row],[Inbound Freight]]</f>
        <v>-594</v>
      </c>
      <c r="AH243" s="74">
        <f>tblData[[#This Row],[Net Revenue]]+tblData[[#This Row],[COGS]]</f>
        <v>704</v>
      </c>
      <c r="AI243" s="74">
        <f>tblData[[#This Row],[Advertising]]+tblData[[#This Row],[Promotions]]</f>
        <v>-104</v>
      </c>
      <c r="AJ243" s="74">
        <f>tblData[[#This Row],[Outbound Logistics]]+tblData[[#This Row],[Direct Selling]]</f>
        <v>-93</v>
      </c>
      <c r="AK243" s="74">
        <f>tblData[[#This Row],[Gross Profit]]+tblData[[#This Row],[AP Spend]]+tblData[[#This Row],[Cost to Serve]]</f>
        <v>507</v>
      </c>
    </row>
    <row r="244" spans="2:37" x14ac:dyDescent="0.25">
      <c r="B244" s="71" t="s">
        <v>36</v>
      </c>
      <c r="C244" s="71">
        <v>2025</v>
      </c>
      <c r="D244" s="71">
        <v>6</v>
      </c>
      <c r="E244" s="71" t="s">
        <v>45</v>
      </c>
      <c r="F244" s="71" t="s">
        <v>40</v>
      </c>
      <c r="G244" s="72">
        <v>182.3</v>
      </c>
      <c r="H244" s="73">
        <v>1251</v>
      </c>
      <c r="I244" s="73">
        <v>-270</v>
      </c>
      <c r="J244" s="73">
        <v>-13</v>
      </c>
      <c r="K244" s="73">
        <v>-355</v>
      </c>
      <c r="L244" s="73">
        <v>-90</v>
      </c>
      <c r="M244" s="73">
        <v>-48</v>
      </c>
      <c r="N244" s="73">
        <v>-34</v>
      </c>
      <c r="O244" s="73">
        <v>-18</v>
      </c>
      <c r="P244" s="73">
        <v>-44</v>
      </c>
      <c r="Q244" s="73">
        <v>-25</v>
      </c>
      <c r="R244" s="73">
        <v>0</v>
      </c>
      <c r="S244" s="73">
        <v>0</v>
      </c>
      <c r="T244" s="73">
        <v>0</v>
      </c>
      <c r="U244" s="73">
        <v>0</v>
      </c>
      <c r="V244" s="73">
        <v>0</v>
      </c>
      <c r="W244" s="73">
        <v>0</v>
      </c>
      <c r="X244" s="73">
        <v>0</v>
      </c>
      <c r="Y244" s="73">
        <v>0</v>
      </c>
      <c r="Z244" s="73">
        <v>1368</v>
      </c>
      <c r="AA244" s="73">
        <v>1159</v>
      </c>
      <c r="AB244" s="73">
        <v>0</v>
      </c>
      <c r="AC244" s="73">
        <v>0</v>
      </c>
      <c r="AD244" s="73">
        <v>0</v>
      </c>
      <c r="AE244" s="73">
        <v>0</v>
      </c>
      <c r="AF244" s="74">
        <f>tblData[[#This Row],[Gross Sales]]+tblData[[#This Row],[Trade Discounts]]+tblData[[#This Row],[Returns]]</f>
        <v>968</v>
      </c>
      <c r="AG244" s="74">
        <f>tblData[[#This Row],[Material Cost]]+tblData[[#This Row],[Conversion Cost]]+tblData[[#This Row],[Inbound Freight]]</f>
        <v>-493</v>
      </c>
      <c r="AH244" s="74">
        <f>tblData[[#This Row],[Net Revenue]]+tblData[[#This Row],[COGS]]</f>
        <v>475</v>
      </c>
      <c r="AI244" s="74">
        <f>tblData[[#This Row],[Advertising]]+tblData[[#This Row],[Promotions]]</f>
        <v>-52</v>
      </c>
      <c r="AJ244" s="74">
        <f>tblData[[#This Row],[Outbound Logistics]]+tblData[[#This Row],[Direct Selling]]</f>
        <v>-69</v>
      </c>
      <c r="AK244" s="74">
        <f>tblData[[#This Row],[Gross Profit]]+tblData[[#This Row],[AP Spend]]+tblData[[#This Row],[Cost to Serve]]</f>
        <v>354</v>
      </c>
    </row>
    <row r="245" spans="2:37" x14ac:dyDescent="0.25">
      <c r="B245" s="71" t="s">
        <v>36</v>
      </c>
      <c r="C245" s="71">
        <v>2025</v>
      </c>
      <c r="D245" s="71">
        <v>6</v>
      </c>
      <c r="E245" s="71" t="s">
        <v>45</v>
      </c>
      <c r="F245" s="71" t="s">
        <v>41</v>
      </c>
      <c r="G245" s="72">
        <v>91.3</v>
      </c>
      <c r="H245" s="73">
        <v>984</v>
      </c>
      <c r="I245" s="73">
        <v>-213</v>
      </c>
      <c r="J245" s="73">
        <v>-10</v>
      </c>
      <c r="K245" s="73">
        <v>-230</v>
      </c>
      <c r="L245" s="73">
        <v>-58</v>
      </c>
      <c r="M245" s="73">
        <v>-31</v>
      </c>
      <c r="N245" s="73">
        <v>-72</v>
      </c>
      <c r="O245" s="73">
        <v>-39</v>
      </c>
      <c r="P245" s="73">
        <v>-34</v>
      </c>
      <c r="Q245" s="73">
        <v>-20</v>
      </c>
      <c r="R245" s="73">
        <v>0</v>
      </c>
      <c r="S245" s="73">
        <v>0</v>
      </c>
      <c r="T245" s="73">
        <v>0</v>
      </c>
      <c r="U245" s="73">
        <v>0</v>
      </c>
      <c r="V245" s="73">
        <v>0</v>
      </c>
      <c r="W245" s="73">
        <v>0</v>
      </c>
      <c r="X245" s="73">
        <v>0</v>
      </c>
      <c r="Y245" s="73">
        <v>0</v>
      </c>
      <c r="Z245" s="73">
        <v>1072</v>
      </c>
      <c r="AA245" s="73">
        <v>900</v>
      </c>
      <c r="AB245" s="73">
        <v>0</v>
      </c>
      <c r="AC245" s="73">
        <v>0</v>
      </c>
      <c r="AD245" s="73">
        <v>0</v>
      </c>
      <c r="AE245" s="73">
        <v>0</v>
      </c>
      <c r="AF245" s="74">
        <f>tblData[[#This Row],[Gross Sales]]+tblData[[#This Row],[Trade Discounts]]+tblData[[#This Row],[Returns]]</f>
        <v>761</v>
      </c>
      <c r="AG245" s="74">
        <f>tblData[[#This Row],[Material Cost]]+tblData[[#This Row],[Conversion Cost]]+tblData[[#This Row],[Inbound Freight]]</f>
        <v>-319</v>
      </c>
      <c r="AH245" s="74">
        <f>tblData[[#This Row],[Net Revenue]]+tblData[[#This Row],[COGS]]</f>
        <v>442</v>
      </c>
      <c r="AI245" s="74">
        <f>tblData[[#This Row],[Advertising]]+tblData[[#This Row],[Promotions]]</f>
        <v>-111</v>
      </c>
      <c r="AJ245" s="74">
        <f>tblData[[#This Row],[Outbound Logistics]]+tblData[[#This Row],[Direct Selling]]</f>
        <v>-54</v>
      </c>
      <c r="AK245" s="74">
        <f>tblData[[#This Row],[Gross Profit]]+tblData[[#This Row],[AP Spend]]+tblData[[#This Row],[Cost to Serve]]</f>
        <v>277</v>
      </c>
    </row>
    <row r="246" spans="2:37" x14ac:dyDescent="0.25">
      <c r="B246" s="71" t="s">
        <v>36</v>
      </c>
      <c r="C246" s="71">
        <v>2025</v>
      </c>
      <c r="D246" s="71">
        <v>6</v>
      </c>
      <c r="E246" s="71" t="s">
        <v>45</v>
      </c>
      <c r="F246" s="71" t="s">
        <v>42</v>
      </c>
      <c r="G246" s="72">
        <v>115.9</v>
      </c>
      <c r="H246" s="73">
        <v>681</v>
      </c>
      <c r="I246" s="73">
        <v>-147</v>
      </c>
      <c r="J246" s="73">
        <v>-7</v>
      </c>
      <c r="K246" s="73">
        <v>-213</v>
      </c>
      <c r="L246" s="73">
        <v>-54</v>
      </c>
      <c r="M246" s="73">
        <v>-28</v>
      </c>
      <c r="N246" s="73">
        <v>-14</v>
      </c>
      <c r="O246" s="73">
        <v>-8</v>
      </c>
      <c r="P246" s="73">
        <v>-24</v>
      </c>
      <c r="Q246" s="73">
        <v>-14</v>
      </c>
      <c r="R246" s="73">
        <v>0</v>
      </c>
      <c r="S246" s="73">
        <v>0</v>
      </c>
      <c r="T246" s="73">
        <v>0</v>
      </c>
      <c r="U246" s="73">
        <v>0</v>
      </c>
      <c r="V246" s="73">
        <v>0</v>
      </c>
      <c r="W246" s="73">
        <v>0</v>
      </c>
      <c r="X246" s="73">
        <v>0</v>
      </c>
      <c r="Y246" s="73">
        <v>0</v>
      </c>
      <c r="Z246" s="73">
        <v>757</v>
      </c>
      <c r="AA246" s="73">
        <v>1036</v>
      </c>
      <c r="AB246" s="73">
        <v>0</v>
      </c>
      <c r="AC246" s="73">
        <v>0</v>
      </c>
      <c r="AD246" s="73">
        <v>0</v>
      </c>
      <c r="AE246" s="73">
        <v>0</v>
      </c>
      <c r="AF246" s="74">
        <f>tblData[[#This Row],[Gross Sales]]+tblData[[#This Row],[Trade Discounts]]+tblData[[#This Row],[Returns]]</f>
        <v>527</v>
      </c>
      <c r="AG246" s="74">
        <f>tblData[[#This Row],[Material Cost]]+tblData[[#This Row],[Conversion Cost]]+tblData[[#This Row],[Inbound Freight]]</f>
        <v>-295</v>
      </c>
      <c r="AH246" s="74">
        <f>tblData[[#This Row],[Net Revenue]]+tblData[[#This Row],[COGS]]</f>
        <v>232</v>
      </c>
      <c r="AI246" s="74">
        <f>tblData[[#This Row],[Advertising]]+tblData[[#This Row],[Promotions]]</f>
        <v>-22</v>
      </c>
      <c r="AJ246" s="74">
        <f>tblData[[#This Row],[Outbound Logistics]]+tblData[[#This Row],[Direct Selling]]</f>
        <v>-38</v>
      </c>
      <c r="AK246" s="74">
        <f>tblData[[#This Row],[Gross Profit]]+tblData[[#This Row],[AP Spend]]+tblData[[#This Row],[Cost to Serve]]</f>
        <v>172</v>
      </c>
    </row>
    <row r="247" spans="2:37" x14ac:dyDescent="0.25">
      <c r="B247" s="71" t="s">
        <v>36</v>
      </c>
      <c r="C247" s="71">
        <v>2025</v>
      </c>
      <c r="D247" s="71">
        <v>6</v>
      </c>
      <c r="E247" s="71" t="s">
        <v>45</v>
      </c>
      <c r="F247" s="71" t="s">
        <v>43</v>
      </c>
      <c r="G247" s="72">
        <v>22.3</v>
      </c>
      <c r="H247" s="73">
        <v>393</v>
      </c>
      <c r="I247" s="73">
        <v>-85</v>
      </c>
      <c r="J247" s="73">
        <v>-4</v>
      </c>
      <c r="K247" s="73">
        <v>-106</v>
      </c>
      <c r="L247" s="73">
        <v>-27</v>
      </c>
      <c r="M247" s="73">
        <v>-14</v>
      </c>
      <c r="N247" s="73">
        <v>-39</v>
      </c>
      <c r="O247" s="73">
        <v>-21</v>
      </c>
      <c r="P247" s="73">
        <v>-14</v>
      </c>
      <c r="Q247" s="73">
        <v>-8</v>
      </c>
      <c r="R247" s="73">
        <v>0</v>
      </c>
      <c r="S247" s="73">
        <v>0</v>
      </c>
      <c r="T247" s="73">
        <v>0</v>
      </c>
      <c r="U247" s="73">
        <v>0</v>
      </c>
      <c r="V247" s="73">
        <v>0</v>
      </c>
      <c r="W247" s="73">
        <v>0</v>
      </c>
      <c r="X247" s="73">
        <v>0</v>
      </c>
      <c r="Y247" s="73">
        <v>0</v>
      </c>
      <c r="Z247" s="73">
        <v>447</v>
      </c>
      <c r="AA247" s="73">
        <v>576</v>
      </c>
      <c r="AB247" s="73">
        <v>0</v>
      </c>
      <c r="AC247" s="73">
        <v>0</v>
      </c>
      <c r="AD247" s="73">
        <v>0</v>
      </c>
      <c r="AE247" s="73">
        <v>0</v>
      </c>
      <c r="AF247" s="74">
        <f>tblData[[#This Row],[Gross Sales]]+tblData[[#This Row],[Trade Discounts]]+tblData[[#This Row],[Returns]]</f>
        <v>304</v>
      </c>
      <c r="AG247" s="74">
        <f>tblData[[#This Row],[Material Cost]]+tblData[[#This Row],[Conversion Cost]]+tblData[[#This Row],[Inbound Freight]]</f>
        <v>-147</v>
      </c>
      <c r="AH247" s="74">
        <f>tblData[[#This Row],[Net Revenue]]+tblData[[#This Row],[COGS]]</f>
        <v>157</v>
      </c>
      <c r="AI247" s="74">
        <f>tblData[[#This Row],[Advertising]]+tblData[[#This Row],[Promotions]]</f>
        <v>-60</v>
      </c>
      <c r="AJ247" s="74">
        <f>tblData[[#This Row],[Outbound Logistics]]+tblData[[#This Row],[Direct Selling]]</f>
        <v>-22</v>
      </c>
      <c r="AK247" s="74">
        <f>tblData[[#This Row],[Gross Profit]]+tblData[[#This Row],[AP Spend]]+tblData[[#This Row],[Cost to Serve]]</f>
        <v>75</v>
      </c>
    </row>
    <row r="248" spans="2:37" x14ac:dyDescent="0.25">
      <c r="B248" s="71" t="s">
        <v>36</v>
      </c>
      <c r="C248" s="71">
        <v>2025</v>
      </c>
      <c r="D248" s="71">
        <v>6</v>
      </c>
      <c r="E248" s="71" t="s">
        <v>46</v>
      </c>
      <c r="F248" s="71" t="s">
        <v>38</v>
      </c>
      <c r="G248" s="72">
        <v>142.30000000000001</v>
      </c>
      <c r="H248" s="73">
        <v>1952</v>
      </c>
      <c r="I248" s="73">
        <v>-207</v>
      </c>
      <c r="J248" s="73">
        <v>-78</v>
      </c>
      <c r="K248" s="73">
        <v>-415</v>
      </c>
      <c r="L248" s="73">
        <v>-105</v>
      </c>
      <c r="M248" s="73">
        <v>-56</v>
      </c>
      <c r="N248" s="73">
        <v>-135</v>
      </c>
      <c r="O248" s="73">
        <v>-73</v>
      </c>
      <c r="P248" s="73">
        <v>-146</v>
      </c>
      <c r="Q248" s="73">
        <v>-39</v>
      </c>
      <c r="R248" s="73">
        <v>0</v>
      </c>
      <c r="S248" s="73">
        <v>0</v>
      </c>
      <c r="T248" s="73">
        <v>0</v>
      </c>
      <c r="U248" s="73">
        <v>0</v>
      </c>
      <c r="V248" s="73">
        <v>0</v>
      </c>
      <c r="W248" s="73">
        <v>0</v>
      </c>
      <c r="X248" s="73">
        <v>0</v>
      </c>
      <c r="Y248" s="73">
        <v>0</v>
      </c>
      <c r="Z248" s="73">
        <v>1359</v>
      </c>
      <c r="AA248" s="73">
        <v>1785</v>
      </c>
      <c r="AB248" s="73">
        <v>0</v>
      </c>
      <c r="AC248" s="73">
        <v>0</v>
      </c>
      <c r="AD248" s="73">
        <v>0</v>
      </c>
      <c r="AE248" s="73">
        <v>0</v>
      </c>
      <c r="AF248" s="74">
        <f>tblData[[#This Row],[Gross Sales]]+tblData[[#This Row],[Trade Discounts]]+tblData[[#This Row],[Returns]]</f>
        <v>1667</v>
      </c>
      <c r="AG248" s="74">
        <f>tblData[[#This Row],[Material Cost]]+tblData[[#This Row],[Conversion Cost]]+tblData[[#This Row],[Inbound Freight]]</f>
        <v>-576</v>
      </c>
      <c r="AH248" s="74">
        <f>tblData[[#This Row],[Net Revenue]]+tblData[[#This Row],[COGS]]</f>
        <v>1091</v>
      </c>
      <c r="AI248" s="74">
        <f>tblData[[#This Row],[Advertising]]+tblData[[#This Row],[Promotions]]</f>
        <v>-208</v>
      </c>
      <c r="AJ248" s="74">
        <f>tblData[[#This Row],[Outbound Logistics]]+tblData[[#This Row],[Direct Selling]]</f>
        <v>-185</v>
      </c>
      <c r="AK248" s="74">
        <f>tblData[[#This Row],[Gross Profit]]+tblData[[#This Row],[AP Spend]]+tblData[[#This Row],[Cost to Serve]]</f>
        <v>698</v>
      </c>
    </row>
    <row r="249" spans="2:37" x14ac:dyDescent="0.25">
      <c r="B249" s="71" t="s">
        <v>36</v>
      </c>
      <c r="C249" s="71">
        <v>2025</v>
      </c>
      <c r="D249" s="71">
        <v>6</v>
      </c>
      <c r="E249" s="71" t="s">
        <v>46</v>
      </c>
      <c r="F249" s="71" t="s">
        <v>39</v>
      </c>
      <c r="G249" s="72">
        <v>191.3</v>
      </c>
      <c r="H249" s="73">
        <v>1687</v>
      </c>
      <c r="I249" s="73">
        <v>-179</v>
      </c>
      <c r="J249" s="73">
        <v>-67</v>
      </c>
      <c r="K249" s="73">
        <v>-431</v>
      </c>
      <c r="L249" s="73">
        <v>-109</v>
      </c>
      <c r="M249" s="73">
        <v>-58</v>
      </c>
      <c r="N249" s="73">
        <v>-77</v>
      </c>
      <c r="O249" s="73">
        <v>-42</v>
      </c>
      <c r="P249" s="73">
        <v>-127</v>
      </c>
      <c r="Q249" s="73">
        <v>-34</v>
      </c>
      <c r="R249" s="73">
        <v>0</v>
      </c>
      <c r="S249" s="73">
        <v>0</v>
      </c>
      <c r="T249" s="73">
        <v>0</v>
      </c>
      <c r="U249" s="73">
        <v>0</v>
      </c>
      <c r="V249" s="73">
        <v>0</v>
      </c>
      <c r="W249" s="73">
        <v>0</v>
      </c>
      <c r="X249" s="73">
        <v>0</v>
      </c>
      <c r="Y249" s="73">
        <v>0</v>
      </c>
      <c r="Z249" s="73">
        <v>1133</v>
      </c>
      <c r="AA249" s="73">
        <v>1505</v>
      </c>
      <c r="AB249" s="73">
        <v>0</v>
      </c>
      <c r="AC249" s="73">
        <v>0</v>
      </c>
      <c r="AD249" s="73">
        <v>0</v>
      </c>
      <c r="AE249" s="73">
        <v>0</v>
      </c>
      <c r="AF249" s="74">
        <f>tblData[[#This Row],[Gross Sales]]+tblData[[#This Row],[Trade Discounts]]+tblData[[#This Row],[Returns]]</f>
        <v>1441</v>
      </c>
      <c r="AG249" s="74">
        <f>tblData[[#This Row],[Material Cost]]+tblData[[#This Row],[Conversion Cost]]+tblData[[#This Row],[Inbound Freight]]</f>
        <v>-598</v>
      </c>
      <c r="AH249" s="74">
        <f>tblData[[#This Row],[Net Revenue]]+tblData[[#This Row],[COGS]]</f>
        <v>843</v>
      </c>
      <c r="AI249" s="74">
        <f>tblData[[#This Row],[Advertising]]+tblData[[#This Row],[Promotions]]</f>
        <v>-119</v>
      </c>
      <c r="AJ249" s="74">
        <f>tblData[[#This Row],[Outbound Logistics]]+tblData[[#This Row],[Direct Selling]]</f>
        <v>-161</v>
      </c>
      <c r="AK249" s="74">
        <f>tblData[[#This Row],[Gross Profit]]+tblData[[#This Row],[AP Spend]]+tblData[[#This Row],[Cost to Serve]]</f>
        <v>563</v>
      </c>
    </row>
    <row r="250" spans="2:37" x14ac:dyDescent="0.25">
      <c r="B250" s="71" t="s">
        <v>36</v>
      </c>
      <c r="C250" s="71">
        <v>2025</v>
      </c>
      <c r="D250" s="71">
        <v>6</v>
      </c>
      <c r="E250" s="71" t="s">
        <v>46</v>
      </c>
      <c r="F250" s="71" t="s">
        <v>40</v>
      </c>
      <c r="G250" s="72">
        <v>186.3</v>
      </c>
      <c r="H250" s="73">
        <v>1278</v>
      </c>
      <c r="I250" s="73">
        <v>-135</v>
      </c>
      <c r="J250" s="73">
        <v>-51</v>
      </c>
      <c r="K250" s="73">
        <v>-362</v>
      </c>
      <c r="L250" s="73">
        <v>-92</v>
      </c>
      <c r="M250" s="73">
        <v>-49</v>
      </c>
      <c r="N250" s="73">
        <v>-39</v>
      </c>
      <c r="O250" s="73">
        <v>-21</v>
      </c>
      <c r="P250" s="73">
        <v>-96</v>
      </c>
      <c r="Q250" s="73">
        <v>-26</v>
      </c>
      <c r="R250" s="73">
        <v>0</v>
      </c>
      <c r="S250" s="73">
        <v>0</v>
      </c>
      <c r="T250" s="73">
        <v>0</v>
      </c>
      <c r="U250" s="73">
        <v>0</v>
      </c>
      <c r="V250" s="73">
        <v>0</v>
      </c>
      <c r="W250" s="73">
        <v>0</v>
      </c>
      <c r="X250" s="73">
        <v>0</v>
      </c>
      <c r="Y250" s="73">
        <v>0</v>
      </c>
      <c r="Z250" s="73">
        <v>867</v>
      </c>
      <c r="AA250" s="73">
        <v>1199</v>
      </c>
      <c r="AB250" s="73">
        <v>0</v>
      </c>
      <c r="AC250" s="73">
        <v>0</v>
      </c>
      <c r="AD250" s="73">
        <v>0</v>
      </c>
      <c r="AE250" s="73">
        <v>0</v>
      </c>
      <c r="AF250" s="74">
        <f>tblData[[#This Row],[Gross Sales]]+tblData[[#This Row],[Trade Discounts]]+tblData[[#This Row],[Returns]]</f>
        <v>1092</v>
      </c>
      <c r="AG250" s="74">
        <f>tblData[[#This Row],[Material Cost]]+tblData[[#This Row],[Conversion Cost]]+tblData[[#This Row],[Inbound Freight]]</f>
        <v>-503</v>
      </c>
      <c r="AH250" s="74">
        <f>tblData[[#This Row],[Net Revenue]]+tblData[[#This Row],[COGS]]</f>
        <v>589</v>
      </c>
      <c r="AI250" s="74">
        <f>tblData[[#This Row],[Advertising]]+tblData[[#This Row],[Promotions]]</f>
        <v>-60</v>
      </c>
      <c r="AJ250" s="74">
        <f>tblData[[#This Row],[Outbound Logistics]]+tblData[[#This Row],[Direct Selling]]</f>
        <v>-122</v>
      </c>
      <c r="AK250" s="74">
        <f>tblData[[#This Row],[Gross Profit]]+tblData[[#This Row],[AP Spend]]+tblData[[#This Row],[Cost to Serve]]</f>
        <v>407</v>
      </c>
    </row>
    <row r="251" spans="2:37" x14ac:dyDescent="0.25">
      <c r="B251" s="71" t="s">
        <v>36</v>
      </c>
      <c r="C251" s="71">
        <v>2025</v>
      </c>
      <c r="D251" s="71">
        <v>6</v>
      </c>
      <c r="E251" s="71" t="s">
        <v>46</v>
      </c>
      <c r="F251" s="71" t="s">
        <v>41</v>
      </c>
      <c r="G251" s="72">
        <v>93.9</v>
      </c>
      <c r="H251" s="73">
        <v>1012</v>
      </c>
      <c r="I251" s="73">
        <v>-107</v>
      </c>
      <c r="J251" s="73">
        <v>-40</v>
      </c>
      <c r="K251" s="73">
        <v>-237</v>
      </c>
      <c r="L251" s="73">
        <v>-60</v>
      </c>
      <c r="M251" s="73">
        <v>-32</v>
      </c>
      <c r="N251" s="73">
        <v>-83</v>
      </c>
      <c r="O251" s="73">
        <v>-45</v>
      </c>
      <c r="P251" s="73">
        <v>-76</v>
      </c>
      <c r="Q251" s="73">
        <v>-20</v>
      </c>
      <c r="R251" s="73">
        <v>0</v>
      </c>
      <c r="S251" s="73">
        <v>0</v>
      </c>
      <c r="T251" s="73">
        <v>0</v>
      </c>
      <c r="U251" s="73">
        <v>0</v>
      </c>
      <c r="V251" s="73">
        <v>0</v>
      </c>
      <c r="W251" s="73">
        <v>0</v>
      </c>
      <c r="X251" s="73">
        <v>0</v>
      </c>
      <c r="Y251" s="73">
        <v>0</v>
      </c>
      <c r="Z251" s="73">
        <v>679</v>
      </c>
      <c r="AA251" s="73">
        <v>929</v>
      </c>
      <c r="AB251" s="73">
        <v>0</v>
      </c>
      <c r="AC251" s="73">
        <v>0</v>
      </c>
      <c r="AD251" s="73">
        <v>0</v>
      </c>
      <c r="AE251" s="73">
        <v>0</v>
      </c>
      <c r="AF251" s="74">
        <f>tblData[[#This Row],[Gross Sales]]+tblData[[#This Row],[Trade Discounts]]+tblData[[#This Row],[Returns]]</f>
        <v>865</v>
      </c>
      <c r="AG251" s="74">
        <f>tblData[[#This Row],[Material Cost]]+tblData[[#This Row],[Conversion Cost]]+tblData[[#This Row],[Inbound Freight]]</f>
        <v>-329</v>
      </c>
      <c r="AH251" s="74">
        <f>tblData[[#This Row],[Net Revenue]]+tblData[[#This Row],[COGS]]</f>
        <v>536</v>
      </c>
      <c r="AI251" s="74">
        <f>tblData[[#This Row],[Advertising]]+tblData[[#This Row],[Promotions]]</f>
        <v>-128</v>
      </c>
      <c r="AJ251" s="74">
        <f>tblData[[#This Row],[Outbound Logistics]]+tblData[[#This Row],[Direct Selling]]</f>
        <v>-96</v>
      </c>
      <c r="AK251" s="74">
        <f>tblData[[#This Row],[Gross Profit]]+tblData[[#This Row],[AP Spend]]+tblData[[#This Row],[Cost to Serve]]</f>
        <v>312</v>
      </c>
    </row>
    <row r="252" spans="2:37" x14ac:dyDescent="0.25">
      <c r="B252" s="71" t="s">
        <v>36</v>
      </c>
      <c r="C252" s="71">
        <v>2025</v>
      </c>
      <c r="D252" s="71">
        <v>6</v>
      </c>
      <c r="E252" s="71" t="s">
        <v>46</v>
      </c>
      <c r="F252" s="71" t="s">
        <v>42</v>
      </c>
      <c r="G252" s="72">
        <v>118.8</v>
      </c>
      <c r="H252" s="73">
        <v>698</v>
      </c>
      <c r="I252" s="73">
        <v>-74</v>
      </c>
      <c r="J252" s="73">
        <v>-28</v>
      </c>
      <c r="K252" s="73">
        <v>-218</v>
      </c>
      <c r="L252" s="73">
        <v>-55</v>
      </c>
      <c r="M252" s="73">
        <v>-29</v>
      </c>
      <c r="N252" s="73">
        <v>-16</v>
      </c>
      <c r="O252" s="73">
        <v>-9</v>
      </c>
      <c r="P252" s="73">
        <v>-52</v>
      </c>
      <c r="Q252" s="73">
        <v>-14</v>
      </c>
      <c r="R252" s="73">
        <v>0</v>
      </c>
      <c r="S252" s="73">
        <v>0</v>
      </c>
      <c r="T252" s="73">
        <v>0</v>
      </c>
      <c r="U252" s="73">
        <v>0</v>
      </c>
      <c r="V252" s="73">
        <v>0</v>
      </c>
      <c r="W252" s="73">
        <v>0</v>
      </c>
      <c r="X252" s="73">
        <v>0</v>
      </c>
      <c r="Y252" s="73">
        <v>0</v>
      </c>
      <c r="Z252" s="73">
        <v>476</v>
      </c>
      <c r="AA252" s="73">
        <v>1062</v>
      </c>
      <c r="AB252" s="73">
        <v>0</v>
      </c>
      <c r="AC252" s="73">
        <v>0</v>
      </c>
      <c r="AD252" s="73">
        <v>0</v>
      </c>
      <c r="AE252" s="73">
        <v>0</v>
      </c>
      <c r="AF252" s="74">
        <f>tblData[[#This Row],[Gross Sales]]+tblData[[#This Row],[Trade Discounts]]+tblData[[#This Row],[Returns]]</f>
        <v>596</v>
      </c>
      <c r="AG252" s="74">
        <f>tblData[[#This Row],[Material Cost]]+tblData[[#This Row],[Conversion Cost]]+tblData[[#This Row],[Inbound Freight]]</f>
        <v>-302</v>
      </c>
      <c r="AH252" s="74">
        <f>tblData[[#This Row],[Net Revenue]]+tblData[[#This Row],[COGS]]</f>
        <v>294</v>
      </c>
      <c r="AI252" s="74">
        <f>tblData[[#This Row],[Advertising]]+tblData[[#This Row],[Promotions]]</f>
        <v>-25</v>
      </c>
      <c r="AJ252" s="74">
        <f>tblData[[#This Row],[Outbound Logistics]]+tblData[[#This Row],[Direct Selling]]</f>
        <v>-66</v>
      </c>
      <c r="AK252" s="74">
        <f>tblData[[#This Row],[Gross Profit]]+tblData[[#This Row],[AP Spend]]+tblData[[#This Row],[Cost to Serve]]</f>
        <v>203</v>
      </c>
    </row>
    <row r="253" spans="2:37" x14ac:dyDescent="0.25">
      <c r="B253" s="71" t="s">
        <v>36</v>
      </c>
      <c r="C253" s="71">
        <v>2025</v>
      </c>
      <c r="D253" s="71">
        <v>6</v>
      </c>
      <c r="E253" s="71" t="s">
        <v>46</v>
      </c>
      <c r="F253" s="71" t="s">
        <v>43</v>
      </c>
      <c r="G253" s="72">
        <v>23.5</v>
      </c>
      <c r="H253" s="73">
        <v>415</v>
      </c>
      <c r="I253" s="73">
        <v>-44</v>
      </c>
      <c r="J253" s="73">
        <v>-17</v>
      </c>
      <c r="K253" s="73">
        <v>-112</v>
      </c>
      <c r="L253" s="73">
        <v>-28</v>
      </c>
      <c r="M253" s="73">
        <v>-15</v>
      </c>
      <c r="N253" s="73">
        <v>-45</v>
      </c>
      <c r="O253" s="73">
        <v>-24</v>
      </c>
      <c r="P253" s="73">
        <v>-31</v>
      </c>
      <c r="Q253" s="73">
        <v>-8</v>
      </c>
      <c r="R253" s="73">
        <v>0</v>
      </c>
      <c r="S253" s="73">
        <v>0</v>
      </c>
      <c r="T253" s="73">
        <v>0</v>
      </c>
      <c r="U253" s="73">
        <v>0</v>
      </c>
      <c r="V253" s="73">
        <v>0</v>
      </c>
      <c r="W253" s="73">
        <v>0</v>
      </c>
      <c r="X253" s="73">
        <v>0</v>
      </c>
      <c r="Y253" s="73">
        <v>0</v>
      </c>
      <c r="Z253" s="73">
        <v>287</v>
      </c>
      <c r="AA253" s="73">
        <v>604</v>
      </c>
      <c r="AB253" s="73">
        <v>0</v>
      </c>
      <c r="AC253" s="73">
        <v>0</v>
      </c>
      <c r="AD253" s="73">
        <v>0</v>
      </c>
      <c r="AE253" s="73">
        <v>0</v>
      </c>
      <c r="AF253" s="74">
        <f>tblData[[#This Row],[Gross Sales]]+tblData[[#This Row],[Trade Discounts]]+tblData[[#This Row],[Returns]]</f>
        <v>354</v>
      </c>
      <c r="AG253" s="74">
        <f>tblData[[#This Row],[Material Cost]]+tblData[[#This Row],[Conversion Cost]]+tblData[[#This Row],[Inbound Freight]]</f>
        <v>-155</v>
      </c>
      <c r="AH253" s="74">
        <f>tblData[[#This Row],[Net Revenue]]+tblData[[#This Row],[COGS]]</f>
        <v>199</v>
      </c>
      <c r="AI253" s="74">
        <f>tblData[[#This Row],[Advertising]]+tblData[[#This Row],[Promotions]]</f>
        <v>-69</v>
      </c>
      <c r="AJ253" s="74">
        <f>tblData[[#This Row],[Outbound Logistics]]+tblData[[#This Row],[Direct Selling]]</f>
        <v>-39</v>
      </c>
      <c r="AK253" s="74">
        <f>tblData[[#This Row],[Gross Profit]]+tblData[[#This Row],[AP Spend]]+tblData[[#This Row],[Cost to Serve]]</f>
        <v>91</v>
      </c>
    </row>
    <row r="254" spans="2:37" x14ac:dyDescent="0.25">
      <c r="B254" s="71" t="s">
        <v>36</v>
      </c>
      <c r="C254" s="71">
        <v>2025</v>
      </c>
      <c r="D254" s="71">
        <v>6</v>
      </c>
      <c r="E254" s="71" t="s">
        <v>47</v>
      </c>
      <c r="F254" s="71" t="s">
        <v>38</v>
      </c>
      <c r="G254" s="72">
        <v>60.6</v>
      </c>
      <c r="H254" s="73">
        <v>832</v>
      </c>
      <c r="I254" s="73">
        <v>-22</v>
      </c>
      <c r="J254" s="73">
        <v>-42</v>
      </c>
      <c r="K254" s="73">
        <v>-177</v>
      </c>
      <c r="L254" s="73">
        <v>-45</v>
      </c>
      <c r="M254" s="73">
        <v>-24</v>
      </c>
      <c r="N254" s="73">
        <v>-51</v>
      </c>
      <c r="O254" s="73">
        <v>-27</v>
      </c>
      <c r="P254" s="73">
        <v>-100</v>
      </c>
      <c r="Q254" s="73">
        <v>-33</v>
      </c>
      <c r="R254" s="73">
        <v>0</v>
      </c>
      <c r="S254" s="73">
        <v>0</v>
      </c>
      <c r="T254" s="73">
        <v>0</v>
      </c>
      <c r="U254" s="73">
        <v>0</v>
      </c>
      <c r="V254" s="73">
        <v>0</v>
      </c>
      <c r="W254" s="73">
        <v>0</v>
      </c>
      <c r="X254" s="73">
        <v>0</v>
      </c>
      <c r="Y254" s="73">
        <v>0</v>
      </c>
      <c r="Z254" s="73">
        <v>73</v>
      </c>
      <c r="AA254" s="73">
        <v>741</v>
      </c>
      <c r="AB254" s="73">
        <v>0</v>
      </c>
      <c r="AC254" s="73">
        <v>0</v>
      </c>
      <c r="AD254" s="73">
        <v>0</v>
      </c>
      <c r="AE254" s="73">
        <v>0</v>
      </c>
      <c r="AF254" s="74">
        <f>tblData[[#This Row],[Gross Sales]]+tblData[[#This Row],[Trade Discounts]]+tblData[[#This Row],[Returns]]</f>
        <v>768</v>
      </c>
      <c r="AG254" s="74">
        <f>tblData[[#This Row],[Material Cost]]+tblData[[#This Row],[Conversion Cost]]+tblData[[#This Row],[Inbound Freight]]</f>
        <v>-246</v>
      </c>
      <c r="AH254" s="74">
        <f>tblData[[#This Row],[Net Revenue]]+tblData[[#This Row],[COGS]]</f>
        <v>522</v>
      </c>
      <c r="AI254" s="74">
        <f>tblData[[#This Row],[Advertising]]+tblData[[#This Row],[Promotions]]</f>
        <v>-78</v>
      </c>
      <c r="AJ254" s="74">
        <f>tblData[[#This Row],[Outbound Logistics]]+tblData[[#This Row],[Direct Selling]]</f>
        <v>-133</v>
      </c>
      <c r="AK254" s="74">
        <f>tblData[[#This Row],[Gross Profit]]+tblData[[#This Row],[AP Spend]]+tblData[[#This Row],[Cost to Serve]]</f>
        <v>311</v>
      </c>
    </row>
    <row r="255" spans="2:37" x14ac:dyDescent="0.25">
      <c r="B255" s="71" t="s">
        <v>36</v>
      </c>
      <c r="C255" s="71">
        <v>2025</v>
      </c>
      <c r="D255" s="71">
        <v>6</v>
      </c>
      <c r="E255" s="71" t="s">
        <v>47</v>
      </c>
      <c r="F255" s="71" t="s">
        <v>39</v>
      </c>
      <c r="G255" s="72">
        <v>77.5</v>
      </c>
      <c r="H255" s="73">
        <v>684</v>
      </c>
      <c r="I255" s="73">
        <v>-18</v>
      </c>
      <c r="J255" s="73">
        <v>-34</v>
      </c>
      <c r="K255" s="73">
        <v>-175</v>
      </c>
      <c r="L255" s="73">
        <v>-44</v>
      </c>
      <c r="M255" s="73">
        <v>-23</v>
      </c>
      <c r="N255" s="73">
        <v>-29</v>
      </c>
      <c r="O255" s="73">
        <v>-16</v>
      </c>
      <c r="P255" s="73">
        <v>-82</v>
      </c>
      <c r="Q255" s="73">
        <v>-27</v>
      </c>
      <c r="R255" s="73">
        <v>0</v>
      </c>
      <c r="S255" s="73">
        <v>0</v>
      </c>
      <c r="T255" s="73">
        <v>0</v>
      </c>
      <c r="U255" s="73">
        <v>0</v>
      </c>
      <c r="V255" s="73">
        <v>0</v>
      </c>
      <c r="W255" s="73">
        <v>0</v>
      </c>
      <c r="X255" s="73">
        <v>0</v>
      </c>
      <c r="Y255" s="73">
        <v>0</v>
      </c>
      <c r="Z255" s="73">
        <v>62</v>
      </c>
      <c r="AA255" s="73">
        <v>630</v>
      </c>
      <c r="AB255" s="73">
        <v>0</v>
      </c>
      <c r="AC255" s="73">
        <v>0</v>
      </c>
      <c r="AD255" s="73">
        <v>0</v>
      </c>
      <c r="AE255" s="73">
        <v>0</v>
      </c>
      <c r="AF255" s="74">
        <f>tblData[[#This Row],[Gross Sales]]+tblData[[#This Row],[Trade Discounts]]+tblData[[#This Row],[Returns]]</f>
        <v>632</v>
      </c>
      <c r="AG255" s="74">
        <f>tblData[[#This Row],[Material Cost]]+tblData[[#This Row],[Conversion Cost]]+tblData[[#This Row],[Inbound Freight]]</f>
        <v>-242</v>
      </c>
      <c r="AH255" s="74">
        <f>tblData[[#This Row],[Net Revenue]]+tblData[[#This Row],[COGS]]</f>
        <v>390</v>
      </c>
      <c r="AI255" s="74">
        <f>tblData[[#This Row],[Advertising]]+tblData[[#This Row],[Promotions]]</f>
        <v>-45</v>
      </c>
      <c r="AJ255" s="74">
        <f>tblData[[#This Row],[Outbound Logistics]]+tblData[[#This Row],[Direct Selling]]</f>
        <v>-109</v>
      </c>
      <c r="AK255" s="74">
        <f>tblData[[#This Row],[Gross Profit]]+tblData[[#This Row],[AP Spend]]+tblData[[#This Row],[Cost to Serve]]</f>
        <v>236</v>
      </c>
    </row>
    <row r="256" spans="2:37" x14ac:dyDescent="0.25">
      <c r="B256" s="71" t="s">
        <v>36</v>
      </c>
      <c r="C256" s="71">
        <v>2025</v>
      </c>
      <c r="D256" s="71">
        <v>6</v>
      </c>
      <c r="E256" s="71" t="s">
        <v>47</v>
      </c>
      <c r="F256" s="71" t="s">
        <v>40</v>
      </c>
      <c r="G256" s="72">
        <v>75.8</v>
      </c>
      <c r="H256" s="73">
        <v>520</v>
      </c>
      <c r="I256" s="73">
        <v>-14</v>
      </c>
      <c r="J256" s="73">
        <v>-26</v>
      </c>
      <c r="K256" s="73">
        <v>-147</v>
      </c>
      <c r="L256" s="73">
        <v>-37</v>
      </c>
      <c r="M256" s="73">
        <v>-20</v>
      </c>
      <c r="N256" s="73">
        <v>-15</v>
      </c>
      <c r="O256" s="73">
        <v>-8</v>
      </c>
      <c r="P256" s="73">
        <v>-62</v>
      </c>
      <c r="Q256" s="73">
        <v>-21</v>
      </c>
      <c r="R256" s="73">
        <v>0</v>
      </c>
      <c r="S256" s="73">
        <v>0</v>
      </c>
      <c r="T256" s="73">
        <v>0</v>
      </c>
      <c r="U256" s="73">
        <v>0</v>
      </c>
      <c r="V256" s="73">
        <v>0</v>
      </c>
      <c r="W256" s="73">
        <v>0</v>
      </c>
      <c r="X256" s="73">
        <v>0</v>
      </c>
      <c r="Y256" s="73">
        <v>0</v>
      </c>
      <c r="Z256" s="73">
        <v>46</v>
      </c>
      <c r="AA256" s="73">
        <v>491</v>
      </c>
      <c r="AB256" s="73">
        <v>0</v>
      </c>
      <c r="AC256" s="73">
        <v>0</v>
      </c>
      <c r="AD256" s="73">
        <v>0</v>
      </c>
      <c r="AE256" s="73">
        <v>0</v>
      </c>
      <c r="AF256" s="74">
        <f>tblData[[#This Row],[Gross Sales]]+tblData[[#This Row],[Trade Discounts]]+tblData[[#This Row],[Returns]]</f>
        <v>480</v>
      </c>
      <c r="AG256" s="74">
        <f>tblData[[#This Row],[Material Cost]]+tblData[[#This Row],[Conversion Cost]]+tblData[[#This Row],[Inbound Freight]]</f>
        <v>-204</v>
      </c>
      <c r="AH256" s="74">
        <f>tblData[[#This Row],[Net Revenue]]+tblData[[#This Row],[COGS]]</f>
        <v>276</v>
      </c>
      <c r="AI256" s="74">
        <f>tblData[[#This Row],[Advertising]]+tblData[[#This Row],[Promotions]]</f>
        <v>-23</v>
      </c>
      <c r="AJ256" s="74">
        <f>tblData[[#This Row],[Outbound Logistics]]+tblData[[#This Row],[Direct Selling]]</f>
        <v>-83</v>
      </c>
      <c r="AK256" s="74">
        <f>tblData[[#This Row],[Gross Profit]]+tblData[[#This Row],[AP Spend]]+tblData[[#This Row],[Cost to Serve]]</f>
        <v>170</v>
      </c>
    </row>
    <row r="257" spans="2:37" x14ac:dyDescent="0.25">
      <c r="B257" s="71" t="s">
        <v>36</v>
      </c>
      <c r="C257" s="71">
        <v>2025</v>
      </c>
      <c r="D257" s="71">
        <v>6</v>
      </c>
      <c r="E257" s="71" t="s">
        <v>47</v>
      </c>
      <c r="F257" s="71" t="s">
        <v>41</v>
      </c>
      <c r="G257" s="72">
        <v>37.6</v>
      </c>
      <c r="H257" s="73">
        <v>405</v>
      </c>
      <c r="I257" s="73">
        <v>-11</v>
      </c>
      <c r="J257" s="73">
        <v>-20</v>
      </c>
      <c r="K257" s="73">
        <v>-95</v>
      </c>
      <c r="L257" s="73">
        <v>-24</v>
      </c>
      <c r="M257" s="73">
        <v>-13</v>
      </c>
      <c r="N257" s="73">
        <v>-31</v>
      </c>
      <c r="O257" s="73">
        <v>-17</v>
      </c>
      <c r="P257" s="73">
        <v>-49</v>
      </c>
      <c r="Q257" s="73">
        <v>-16</v>
      </c>
      <c r="R257" s="73">
        <v>0</v>
      </c>
      <c r="S257" s="73">
        <v>0</v>
      </c>
      <c r="T257" s="73">
        <v>0</v>
      </c>
      <c r="U257" s="73">
        <v>0</v>
      </c>
      <c r="V257" s="73">
        <v>0</v>
      </c>
      <c r="W257" s="73">
        <v>0</v>
      </c>
      <c r="X257" s="73">
        <v>0</v>
      </c>
      <c r="Y257" s="73">
        <v>0</v>
      </c>
      <c r="Z257" s="73">
        <v>36</v>
      </c>
      <c r="AA257" s="73">
        <v>379</v>
      </c>
      <c r="AB257" s="73">
        <v>0</v>
      </c>
      <c r="AC257" s="73">
        <v>0</v>
      </c>
      <c r="AD257" s="73">
        <v>0</v>
      </c>
      <c r="AE257" s="73">
        <v>0</v>
      </c>
      <c r="AF257" s="74">
        <f>tblData[[#This Row],[Gross Sales]]+tblData[[#This Row],[Trade Discounts]]+tblData[[#This Row],[Returns]]</f>
        <v>374</v>
      </c>
      <c r="AG257" s="74">
        <f>tblData[[#This Row],[Material Cost]]+tblData[[#This Row],[Conversion Cost]]+tblData[[#This Row],[Inbound Freight]]</f>
        <v>-132</v>
      </c>
      <c r="AH257" s="74">
        <f>tblData[[#This Row],[Net Revenue]]+tblData[[#This Row],[COGS]]</f>
        <v>242</v>
      </c>
      <c r="AI257" s="74">
        <f>tblData[[#This Row],[Advertising]]+tblData[[#This Row],[Promotions]]</f>
        <v>-48</v>
      </c>
      <c r="AJ257" s="74">
        <f>tblData[[#This Row],[Outbound Logistics]]+tblData[[#This Row],[Direct Selling]]</f>
        <v>-65</v>
      </c>
      <c r="AK257" s="74">
        <f>tblData[[#This Row],[Gross Profit]]+tblData[[#This Row],[AP Spend]]+tblData[[#This Row],[Cost to Serve]]</f>
        <v>129</v>
      </c>
    </row>
    <row r="258" spans="2:37" x14ac:dyDescent="0.25">
      <c r="B258" s="71" t="s">
        <v>36</v>
      </c>
      <c r="C258" s="71">
        <v>2025</v>
      </c>
      <c r="D258" s="71">
        <v>6</v>
      </c>
      <c r="E258" s="71" t="s">
        <v>47</v>
      </c>
      <c r="F258" s="71" t="s">
        <v>42</v>
      </c>
      <c r="G258" s="72">
        <v>49</v>
      </c>
      <c r="H258" s="73">
        <v>288</v>
      </c>
      <c r="I258" s="73">
        <v>-7</v>
      </c>
      <c r="J258" s="73">
        <v>-14</v>
      </c>
      <c r="K258" s="73">
        <v>-90</v>
      </c>
      <c r="L258" s="73">
        <v>-23</v>
      </c>
      <c r="M258" s="73">
        <v>-12</v>
      </c>
      <c r="N258" s="73">
        <v>-6</v>
      </c>
      <c r="O258" s="73">
        <v>-3</v>
      </c>
      <c r="P258" s="73">
        <v>-35</v>
      </c>
      <c r="Q258" s="73">
        <v>-12</v>
      </c>
      <c r="R258" s="73">
        <v>0</v>
      </c>
      <c r="S258" s="73">
        <v>0</v>
      </c>
      <c r="T258" s="73">
        <v>0</v>
      </c>
      <c r="U258" s="73">
        <v>0</v>
      </c>
      <c r="V258" s="73">
        <v>0</v>
      </c>
      <c r="W258" s="73">
        <v>0</v>
      </c>
      <c r="X258" s="73">
        <v>0</v>
      </c>
      <c r="Y258" s="73">
        <v>0</v>
      </c>
      <c r="Z258" s="73">
        <v>25</v>
      </c>
      <c r="AA258" s="73">
        <v>438</v>
      </c>
      <c r="AB258" s="73">
        <v>0</v>
      </c>
      <c r="AC258" s="73">
        <v>0</v>
      </c>
      <c r="AD258" s="73">
        <v>0</v>
      </c>
      <c r="AE258" s="73">
        <v>0</v>
      </c>
      <c r="AF258" s="74">
        <f>tblData[[#This Row],[Gross Sales]]+tblData[[#This Row],[Trade Discounts]]+tblData[[#This Row],[Returns]]</f>
        <v>267</v>
      </c>
      <c r="AG258" s="74">
        <f>tblData[[#This Row],[Material Cost]]+tblData[[#This Row],[Conversion Cost]]+tblData[[#This Row],[Inbound Freight]]</f>
        <v>-125</v>
      </c>
      <c r="AH258" s="74">
        <f>tblData[[#This Row],[Net Revenue]]+tblData[[#This Row],[COGS]]</f>
        <v>142</v>
      </c>
      <c r="AI258" s="74">
        <f>tblData[[#This Row],[Advertising]]+tblData[[#This Row],[Promotions]]</f>
        <v>-9</v>
      </c>
      <c r="AJ258" s="74">
        <f>tblData[[#This Row],[Outbound Logistics]]+tblData[[#This Row],[Direct Selling]]</f>
        <v>-47</v>
      </c>
      <c r="AK258" s="74">
        <f>tblData[[#This Row],[Gross Profit]]+tblData[[#This Row],[AP Spend]]+tblData[[#This Row],[Cost to Serve]]</f>
        <v>86</v>
      </c>
    </row>
    <row r="259" spans="2:37" x14ac:dyDescent="0.25">
      <c r="B259" s="71" t="s">
        <v>36</v>
      </c>
      <c r="C259" s="71">
        <v>2025</v>
      </c>
      <c r="D259" s="71">
        <v>6</v>
      </c>
      <c r="E259" s="71" t="s">
        <v>47</v>
      </c>
      <c r="F259" s="71" t="s">
        <v>43</v>
      </c>
      <c r="G259" s="72">
        <v>9.6</v>
      </c>
      <c r="H259" s="73">
        <v>169</v>
      </c>
      <c r="I259" s="73">
        <v>-4</v>
      </c>
      <c r="J259" s="73">
        <v>-8</v>
      </c>
      <c r="K259" s="73">
        <v>-45</v>
      </c>
      <c r="L259" s="73">
        <v>-12</v>
      </c>
      <c r="M259" s="73">
        <v>-6</v>
      </c>
      <c r="N259" s="73">
        <v>-17</v>
      </c>
      <c r="O259" s="73">
        <v>-9</v>
      </c>
      <c r="P259" s="73">
        <v>-20</v>
      </c>
      <c r="Q259" s="73">
        <v>-7</v>
      </c>
      <c r="R259" s="73">
        <v>0</v>
      </c>
      <c r="S259" s="73">
        <v>0</v>
      </c>
      <c r="T259" s="73">
        <v>0</v>
      </c>
      <c r="U259" s="73">
        <v>0</v>
      </c>
      <c r="V259" s="73">
        <v>0</v>
      </c>
      <c r="W259" s="73">
        <v>0</v>
      </c>
      <c r="X259" s="73">
        <v>0</v>
      </c>
      <c r="Y259" s="73">
        <v>0</v>
      </c>
      <c r="Z259" s="73">
        <v>15</v>
      </c>
      <c r="AA259" s="73">
        <v>244</v>
      </c>
      <c r="AB259" s="73">
        <v>0</v>
      </c>
      <c r="AC259" s="73">
        <v>0</v>
      </c>
      <c r="AD259" s="73">
        <v>0</v>
      </c>
      <c r="AE259" s="73">
        <v>0</v>
      </c>
      <c r="AF259" s="74">
        <f>tblData[[#This Row],[Gross Sales]]+tblData[[#This Row],[Trade Discounts]]+tblData[[#This Row],[Returns]]</f>
        <v>157</v>
      </c>
      <c r="AG259" s="74">
        <f>tblData[[#This Row],[Material Cost]]+tblData[[#This Row],[Conversion Cost]]+tblData[[#This Row],[Inbound Freight]]</f>
        <v>-63</v>
      </c>
      <c r="AH259" s="74">
        <f>tblData[[#This Row],[Net Revenue]]+tblData[[#This Row],[COGS]]</f>
        <v>94</v>
      </c>
      <c r="AI259" s="74">
        <f>tblData[[#This Row],[Advertising]]+tblData[[#This Row],[Promotions]]</f>
        <v>-26</v>
      </c>
      <c r="AJ259" s="74">
        <f>tblData[[#This Row],[Outbound Logistics]]+tblData[[#This Row],[Direct Selling]]</f>
        <v>-27</v>
      </c>
      <c r="AK259" s="74">
        <f>tblData[[#This Row],[Gross Profit]]+tblData[[#This Row],[AP Spend]]+tblData[[#This Row],[Cost to Serve]]</f>
        <v>41</v>
      </c>
    </row>
    <row r="260" spans="2:37" x14ac:dyDescent="0.25">
      <c r="B260" s="71" t="s">
        <v>36</v>
      </c>
      <c r="C260" s="71">
        <v>2025</v>
      </c>
      <c r="D260" s="71">
        <v>6</v>
      </c>
      <c r="E260" s="71" t="s">
        <v>48</v>
      </c>
      <c r="F260" s="71" t="s">
        <v>38</v>
      </c>
      <c r="G260" s="72">
        <v>95.9</v>
      </c>
      <c r="H260" s="73">
        <v>1316</v>
      </c>
      <c r="I260" s="73">
        <v>-113</v>
      </c>
      <c r="J260" s="73">
        <v>-13</v>
      </c>
      <c r="K260" s="73">
        <v>-280</v>
      </c>
      <c r="L260" s="73">
        <v>-71</v>
      </c>
      <c r="M260" s="73">
        <v>-38</v>
      </c>
      <c r="N260" s="73">
        <v>-85</v>
      </c>
      <c r="O260" s="73">
        <v>-46</v>
      </c>
      <c r="P260" s="73">
        <v>-39</v>
      </c>
      <c r="Q260" s="73">
        <v>-20</v>
      </c>
      <c r="R260" s="73">
        <v>0</v>
      </c>
      <c r="S260" s="73">
        <v>0</v>
      </c>
      <c r="T260" s="73">
        <v>0</v>
      </c>
      <c r="U260" s="73">
        <v>0</v>
      </c>
      <c r="V260" s="73">
        <v>0</v>
      </c>
      <c r="W260" s="73">
        <v>0</v>
      </c>
      <c r="X260" s="73">
        <v>0</v>
      </c>
      <c r="Y260" s="73">
        <v>0</v>
      </c>
      <c r="Z260" s="73">
        <v>2696</v>
      </c>
      <c r="AA260" s="73">
        <v>1195</v>
      </c>
      <c r="AB260" s="73">
        <v>0</v>
      </c>
      <c r="AC260" s="73">
        <v>0</v>
      </c>
      <c r="AD260" s="73">
        <v>0</v>
      </c>
      <c r="AE260" s="73">
        <v>0</v>
      </c>
      <c r="AF260" s="74">
        <f>tblData[[#This Row],[Gross Sales]]+tblData[[#This Row],[Trade Discounts]]+tblData[[#This Row],[Returns]]</f>
        <v>1190</v>
      </c>
      <c r="AG260" s="74">
        <f>tblData[[#This Row],[Material Cost]]+tblData[[#This Row],[Conversion Cost]]+tblData[[#This Row],[Inbound Freight]]</f>
        <v>-389</v>
      </c>
      <c r="AH260" s="74">
        <f>tblData[[#This Row],[Net Revenue]]+tblData[[#This Row],[COGS]]</f>
        <v>801</v>
      </c>
      <c r="AI260" s="74">
        <f>tblData[[#This Row],[Advertising]]+tblData[[#This Row],[Promotions]]</f>
        <v>-131</v>
      </c>
      <c r="AJ260" s="74">
        <f>tblData[[#This Row],[Outbound Logistics]]+tblData[[#This Row],[Direct Selling]]</f>
        <v>-59</v>
      </c>
      <c r="AK260" s="74">
        <f>tblData[[#This Row],[Gross Profit]]+tblData[[#This Row],[AP Spend]]+tblData[[#This Row],[Cost to Serve]]</f>
        <v>611</v>
      </c>
    </row>
    <row r="261" spans="2:37" x14ac:dyDescent="0.25">
      <c r="B261" s="71" t="s">
        <v>36</v>
      </c>
      <c r="C261" s="71">
        <v>2025</v>
      </c>
      <c r="D261" s="71">
        <v>6</v>
      </c>
      <c r="E261" s="71" t="s">
        <v>48</v>
      </c>
      <c r="F261" s="71" t="s">
        <v>39</v>
      </c>
      <c r="G261" s="72">
        <v>129.30000000000001</v>
      </c>
      <c r="H261" s="73">
        <v>1141</v>
      </c>
      <c r="I261" s="73">
        <v>-98</v>
      </c>
      <c r="J261" s="73">
        <v>-11</v>
      </c>
      <c r="K261" s="73">
        <v>-291</v>
      </c>
      <c r="L261" s="73">
        <v>-74</v>
      </c>
      <c r="M261" s="73">
        <v>-39</v>
      </c>
      <c r="N261" s="73">
        <v>-48</v>
      </c>
      <c r="O261" s="73">
        <v>-26</v>
      </c>
      <c r="P261" s="73">
        <v>-34</v>
      </c>
      <c r="Q261" s="73">
        <v>-17</v>
      </c>
      <c r="R261" s="73">
        <v>0</v>
      </c>
      <c r="S261" s="73">
        <v>0</v>
      </c>
      <c r="T261" s="73">
        <v>0</v>
      </c>
      <c r="U261" s="73">
        <v>0</v>
      </c>
      <c r="V261" s="73">
        <v>0</v>
      </c>
      <c r="W261" s="73">
        <v>0</v>
      </c>
      <c r="X261" s="73">
        <v>0</v>
      </c>
      <c r="Y261" s="73">
        <v>0</v>
      </c>
      <c r="Z261" s="73">
        <v>2350</v>
      </c>
      <c r="AA261" s="73">
        <v>1053</v>
      </c>
      <c r="AB261" s="73">
        <v>0</v>
      </c>
      <c r="AC261" s="73">
        <v>0</v>
      </c>
      <c r="AD261" s="73">
        <v>0</v>
      </c>
      <c r="AE261" s="73">
        <v>0</v>
      </c>
      <c r="AF261" s="74">
        <f>tblData[[#This Row],[Gross Sales]]+tblData[[#This Row],[Trade Discounts]]+tblData[[#This Row],[Returns]]</f>
        <v>1032</v>
      </c>
      <c r="AG261" s="74">
        <f>tblData[[#This Row],[Material Cost]]+tblData[[#This Row],[Conversion Cost]]+tblData[[#This Row],[Inbound Freight]]</f>
        <v>-404</v>
      </c>
      <c r="AH261" s="74">
        <f>tblData[[#This Row],[Net Revenue]]+tblData[[#This Row],[COGS]]</f>
        <v>628</v>
      </c>
      <c r="AI261" s="74">
        <f>tblData[[#This Row],[Advertising]]+tblData[[#This Row],[Promotions]]</f>
        <v>-74</v>
      </c>
      <c r="AJ261" s="74">
        <f>tblData[[#This Row],[Outbound Logistics]]+tblData[[#This Row],[Direct Selling]]</f>
        <v>-51</v>
      </c>
      <c r="AK261" s="74">
        <f>tblData[[#This Row],[Gross Profit]]+tblData[[#This Row],[AP Spend]]+tblData[[#This Row],[Cost to Serve]]</f>
        <v>503</v>
      </c>
    </row>
    <row r="262" spans="2:37" x14ac:dyDescent="0.25">
      <c r="B262" s="71" t="s">
        <v>36</v>
      </c>
      <c r="C262" s="71">
        <v>2025</v>
      </c>
      <c r="D262" s="71">
        <v>6</v>
      </c>
      <c r="E262" s="71" t="s">
        <v>48</v>
      </c>
      <c r="F262" s="71" t="s">
        <v>40</v>
      </c>
      <c r="G262" s="72">
        <v>128.5</v>
      </c>
      <c r="H262" s="73">
        <v>882</v>
      </c>
      <c r="I262" s="73">
        <v>-76</v>
      </c>
      <c r="J262" s="73">
        <v>-9</v>
      </c>
      <c r="K262" s="73">
        <v>-250</v>
      </c>
      <c r="L262" s="73">
        <v>-63</v>
      </c>
      <c r="M262" s="73">
        <v>-34</v>
      </c>
      <c r="N262" s="73">
        <v>-24</v>
      </c>
      <c r="O262" s="73">
        <v>-13</v>
      </c>
      <c r="P262" s="73">
        <v>-26</v>
      </c>
      <c r="Q262" s="73">
        <v>-13</v>
      </c>
      <c r="R262" s="73">
        <v>0</v>
      </c>
      <c r="S262" s="73">
        <v>0</v>
      </c>
      <c r="T262" s="73">
        <v>0</v>
      </c>
      <c r="U262" s="73">
        <v>0</v>
      </c>
      <c r="V262" s="73">
        <v>0</v>
      </c>
      <c r="W262" s="73">
        <v>0</v>
      </c>
      <c r="X262" s="73">
        <v>0</v>
      </c>
      <c r="Y262" s="73">
        <v>0</v>
      </c>
      <c r="Z262" s="73">
        <v>1770</v>
      </c>
      <c r="AA262" s="73">
        <v>826</v>
      </c>
      <c r="AB262" s="73">
        <v>0</v>
      </c>
      <c r="AC262" s="73">
        <v>0</v>
      </c>
      <c r="AD262" s="73">
        <v>0</v>
      </c>
      <c r="AE262" s="73">
        <v>0</v>
      </c>
      <c r="AF262" s="74">
        <f>tblData[[#This Row],[Gross Sales]]+tblData[[#This Row],[Trade Discounts]]+tblData[[#This Row],[Returns]]</f>
        <v>797</v>
      </c>
      <c r="AG262" s="74">
        <f>tblData[[#This Row],[Material Cost]]+tblData[[#This Row],[Conversion Cost]]+tblData[[#This Row],[Inbound Freight]]</f>
        <v>-347</v>
      </c>
      <c r="AH262" s="74">
        <f>tblData[[#This Row],[Net Revenue]]+tblData[[#This Row],[COGS]]</f>
        <v>450</v>
      </c>
      <c r="AI262" s="74">
        <f>tblData[[#This Row],[Advertising]]+tblData[[#This Row],[Promotions]]</f>
        <v>-37</v>
      </c>
      <c r="AJ262" s="74">
        <f>tblData[[#This Row],[Outbound Logistics]]+tblData[[#This Row],[Direct Selling]]</f>
        <v>-39</v>
      </c>
      <c r="AK262" s="74">
        <f>tblData[[#This Row],[Gross Profit]]+tblData[[#This Row],[AP Spend]]+tblData[[#This Row],[Cost to Serve]]</f>
        <v>374</v>
      </c>
    </row>
    <row r="263" spans="2:37" x14ac:dyDescent="0.25">
      <c r="B263" s="71" t="s">
        <v>36</v>
      </c>
      <c r="C263" s="71">
        <v>2025</v>
      </c>
      <c r="D263" s="71">
        <v>6</v>
      </c>
      <c r="E263" s="71" t="s">
        <v>48</v>
      </c>
      <c r="F263" s="71" t="s">
        <v>41</v>
      </c>
      <c r="G263" s="72">
        <v>61.5</v>
      </c>
      <c r="H263" s="73">
        <v>663</v>
      </c>
      <c r="I263" s="73">
        <v>-57</v>
      </c>
      <c r="J263" s="73">
        <v>-7</v>
      </c>
      <c r="K263" s="73">
        <v>-155</v>
      </c>
      <c r="L263" s="73">
        <v>-39</v>
      </c>
      <c r="M263" s="73">
        <v>-21</v>
      </c>
      <c r="N263" s="73">
        <v>-52</v>
      </c>
      <c r="O263" s="73">
        <v>-28</v>
      </c>
      <c r="P263" s="73">
        <v>-20</v>
      </c>
      <c r="Q263" s="73">
        <v>-10</v>
      </c>
      <c r="R263" s="73">
        <v>0</v>
      </c>
      <c r="S263" s="73">
        <v>0</v>
      </c>
      <c r="T263" s="73">
        <v>0</v>
      </c>
      <c r="U263" s="73">
        <v>0</v>
      </c>
      <c r="V263" s="73">
        <v>0</v>
      </c>
      <c r="W263" s="73">
        <v>0</v>
      </c>
      <c r="X263" s="73">
        <v>0</v>
      </c>
      <c r="Y263" s="73">
        <v>0</v>
      </c>
      <c r="Z263" s="73">
        <v>1359</v>
      </c>
      <c r="AA263" s="73">
        <v>628</v>
      </c>
      <c r="AB263" s="73">
        <v>0</v>
      </c>
      <c r="AC263" s="73">
        <v>0</v>
      </c>
      <c r="AD263" s="73">
        <v>0</v>
      </c>
      <c r="AE263" s="73">
        <v>0</v>
      </c>
      <c r="AF263" s="74">
        <f>tblData[[#This Row],[Gross Sales]]+tblData[[#This Row],[Trade Discounts]]+tblData[[#This Row],[Returns]]</f>
        <v>599</v>
      </c>
      <c r="AG263" s="74">
        <f>tblData[[#This Row],[Material Cost]]+tblData[[#This Row],[Conversion Cost]]+tblData[[#This Row],[Inbound Freight]]</f>
        <v>-215</v>
      </c>
      <c r="AH263" s="74">
        <f>tblData[[#This Row],[Net Revenue]]+tblData[[#This Row],[COGS]]</f>
        <v>384</v>
      </c>
      <c r="AI263" s="74">
        <f>tblData[[#This Row],[Advertising]]+tblData[[#This Row],[Promotions]]</f>
        <v>-80</v>
      </c>
      <c r="AJ263" s="74">
        <f>tblData[[#This Row],[Outbound Logistics]]+tblData[[#This Row],[Direct Selling]]</f>
        <v>-30</v>
      </c>
      <c r="AK263" s="74">
        <f>tblData[[#This Row],[Gross Profit]]+tblData[[#This Row],[AP Spend]]+tblData[[#This Row],[Cost to Serve]]</f>
        <v>274</v>
      </c>
    </row>
    <row r="264" spans="2:37" x14ac:dyDescent="0.25">
      <c r="B264" s="71" t="s">
        <v>36</v>
      </c>
      <c r="C264" s="71">
        <v>2025</v>
      </c>
      <c r="D264" s="71">
        <v>6</v>
      </c>
      <c r="E264" s="71" t="s">
        <v>48</v>
      </c>
      <c r="F264" s="71" t="s">
        <v>42</v>
      </c>
      <c r="G264" s="72">
        <v>82</v>
      </c>
      <c r="H264" s="73">
        <v>482</v>
      </c>
      <c r="I264" s="73">
        <v>-41</v>
      </c>
      <c r="J264" s="73">
        <v>-5</v>
      </c>
      <c r="K264" s="73">
        <v>-150</v>
      </c>
      <c r="L264" s="73">
        <v>-38</v>
      </c>
      <c r="M264" s="73">
        <v>-20</v>
      </c>
      <c r="N264" s="73">
        <v>-10</v>
      </c>
      <c r="O264" s="73">
        <v>-5</v>
      </c>
      <c r="P264" s="73">
        <v>-14</v>
      </c>
      <c r="Q264" s="73">
        <v>-7</v>
      </c>
      <c r="R264" s="73">
        <v>0</v>
      </c>
      <c r="S264" s="73">
        <v>0</v>
      </c>
      <c r="T264" s="73">
        <v>0</v>
      </c>
      <c r="U264" s="73">
        <v>0</v>
      </c>
      <c r="V264" s="73">
        <v>0</v>
      </c>
      <c r="W264" s="73">
        <v>0</v>
      </c>
      <c r="X264" s="73">
        <v>0</v>
      </c>
      <c r="Y264" s="73">
        <v>0</v>
      </c>
      <c r="Z264" s="73">
        <v>983</v>
      </c>
      <c r="AA264" s="73">
        <v>740</v>
      </c>
      <c r="AB264" s="73">
        <v>0</v>
      </c>
      <c r="AC264" s="73">
        <v>0</v>
      </c>
      <c r="AD264" s="73">
        <v>0</v>
      </c>
      <c r="AE264" s="73">
        <v>0</v>
      </c>
      <c r="AF264" s="74">
        <f>tblData[[#This Row],[Gross Sales]]+tblData[[#This Row],[Trade Discounts]]+tblData[[#This Row],[Returns]]</f>
        <v>436</v>
      </c>
      <c r="AG264" s="74">
        <f>tblData[[#This Row],[Material Cost]]+tblData[[#This Row],[Conversion Cost]]+tblData[[#This Row],[Inbound Freight]]</f>
        <v>-208</v>
      </c>
      <c r="AH264" s="74">
        <f>tblData[[#This Row],[Net Revenue]]+tblData[[#This Row],[COGS]]</f>
        <v>228</v>
      </c>
      <c r="AI264" s="74">
        <f>tblData[[#This Row],[Advertising]]+tblData[[#This Row],[Promotions]]</f>
        <v>-15</v>
      </c>
      <c r="AJ264" s="74">
        <f>tblData[[#This Row],[Outbound Logistics]]+tblData[[#This Row],[Direct Selling]]</f>
        <v>-21</v>
      </c>
      <c r="AK264" s="74">
        <f>tblData[[#This Row],[Gross Profit]]+tblData[[#This Row],[AP Spend]]+tblData[[#This Row],[Cost to Serve]]</f>
        <v>192</v>
      </c>
    </row>
    <row r="265" spans="2:37" x14ac:dyDescent="0.25">
      <c r="B265" s="71" t="s">
        <v>36</v>
      </c>
      <c r="C265" s="71">
        <v>2025</v>
      </c>
      <c r="D265" s="71">
        <v>6</v>
      </c>
      <c r="E265" s="71" t="s">
        <v>48</v>
      </c>
      <c r="F265" s="71" t="s">
        <v>43</v>
      </c>
      <c r="G265" s="72">
        <v>17</v>
      </c>
      <c r="H265" s="73">
        <v>299</v>
      </c>
      <c r="I265" s="73">
        <v>-26</v>
      </c>
      <c r="J265" s="73">
        <v>-3</v>
      </c>
      <c r="K265" s="73">
        <v>-81</v>
      </c>
      <c r="L265" s="73">
        <v>-20</v>
      </c>
      <c r="M265" s="73">
        <v>-11</v>
      </c>
      <c r="N265" s="73">
        <v>-28</v>
      </c>
      <c r="O265" s="73">
        <v>-15</v>
      </c>
      <c r="P265" s="73">
        <v>-9</v>
      </c>
      <c r="Q265" s="73">
        <v>-4</v>
      </c>
      <c r="R265" s="73">
        <v>0</v>
      </c>
      <c r="S265" s="73">
        <v>0</v>
      </c>
      <c r="T265" s="73">
        <v>0</v>
      </c>
      <c r="U265" s="73">
        <v>0</v>
      </c>
      <c r="V265" s="73">
        <v>0</v>
      </c>
      <c r="W265" s="73">
        <v>0</v>
      </c>
      <c r="X265" s="73">
        <v>0</v>
      </c>
      <c r="Y265" s="73">
        <v>0</v>
      </c>
      <c r="Z265" s="73">
        <v>587</v>
      </c>
      <c r="AA265" s="73">
        <v>416</v>
      </c>
      <c r="AB265" s="73">
        <v>0</v>
      </c>
      <c r="AC265" s="73">
        <v>0</v>
      </c>
      <c r="AD265" s="73">
        <v>0</v>
      </c>
      <c r="AE265" s="73">
        <v>0</v>
      </c>
      <c r="AF265" s="74">
        <f>tblData[[#This Row],[Gross Sales]]+tblData[[#This Row],[Trade Discounts]]+tblData[[#This Row],[Returns]]</f>
        <v>270</v>
      </c>
      <c r="AG265" s="74">
        <f>tblData[[#This Row],[Material Cost]]+tblData[[#This Row],[Conversion Cost]]+tblData[[#This Row],[Inbound Freight]]</f>
        <v>-112</v>
      </c>
      <c r="AH265" s="74">
        <f>tblData[[#This Row],[Net Revenue]]+tblData[[#This Row],[COGS]]</f>
        <v>158</v>
      </c>
      <c r="AI265" s="74">
        <f>tblData[[#This Row],[Advertising]]+tblData[[#This Row],[Promotions]]</f>
        <v>-43</v>
      </c>
      <c r="AJ265" s="74">
        <f>tblData[[#This Row],[Outbound Logistics]]+tblData[[#This Row],[Direct Selling]]</f>
        <v>-13</v>
      </c>
      <c r="AK265" s="74">
        <f>tblData[[#This Row],[Gross Profit]]+tblData[[#This Row],[AP Spend]]+tblData[[#This Row],[Cost to Serve]]</f>
        <v>102</v>
      </c>
    </row>
    <row r="266" spans="2:37" x14ac:dyDescent="0.25">
      <c r="B266" s="71" t="s">
        <v>36</v>
      </c>
      <c r="C266" s="71">
        <v>2025</v>
      </c>
      <c r="D266" s="71">
        <v>6</v>
      </c>
      <c r="E266" s="71" t="s">
        <v>49</v>
      </c>
      <c r="F266" s="71" t="s">
        <v>49</v>
      </c>
      <c r="G266" s="72">
        <v>0</v>
      </c>
      <c r="H266" s="73">
        <v>0</v>
      </c>
      <c r="I266" s="73">
        <v>0</v>
      </c>
      <c r="J266" s="73">
        <v>0</v>
      </c>
      <c r="K266" s="73">
        <v>0</v>
      </c>
      <c r="L266" s="73">
        <v>0</v>
      </c>
      <c r="M266" s="73">
        <v>0</v>
      </c>
      <c r="N266" s="73">
        <v>0</v>
      </c>
      <c r="O266" s="73">
        <v>0</v>
      </c>
      <c r="P266" s="73">
        <v>0</v>
      </c>
      <c r="Q266" s="73">
        <v>0</v>
      </c>
      <c r="R266" s="73">
        <v>-4043</v>
      </c>
      <c r="S266" s="73">
        <v>-974</v>
      </c>
      <c r="T266" s="73">
        <v>-1261</v>
      </c>
      <c r="U266" s="73">
        <v>-1079</v>
      </c>
      <c r="V266" s="73">
        <v>-1413</v>
      </c>
      <c r="W266" s="73">
        <v>-741</v>
      </c>
      <c r="X266" s="73">
        <v>-1505</v>
      </c>
      <c r="Y266" s="73">
        <v>-1227</v>
      </c>
      <c r="Z266" s="73">
        <v>0</v>
      </c>
      <c r="AA266" s="73">
        <v>0</v>
      </c>
      <c r="AB266" s="73">
        <v>31828</v>
      </c>
      <c r="AC266" s="73">
        <v>29352</v>
      </c>
      <c r="AD266" s="73">
        <v>195000</v>
      </c>
      <c r="AE266" s="73">
        <v>1154</v>
      </c>
      <c r="AF266" s="74">
        <f>tblData[[#This Row],[Gross Sales]]+tblData[[#This Row],[Trade Discounts]]+tblData[[#This Row],[Returns]]</f>
        <v>0</v>
      </c>
      <c r="AG266" s="74">
        <f>tblData[[#This Row],[Material Cost]]+tblData[[#This Row],[Conversion Cost]]+tblData[[#This Row],[Inbound Freight]]</f>
        <v>0</v>
      </c>
      <c r="AH266" s="74">
        <f>tblData[[#This Row],[Net Revenue]]+tblData[[#This Row],[COGS]]</f>
        <v>0</v>
      </c>
      <c r="AI266" s="74">
        <f>tblData[[#This Row],[Advertising]]+tblData[[#This Row],[Promotions]]</f>
        <v>0</v>
      </c>
      <c r="AJ266" s="74">
        <f>tblData[[#This Row],[Outbound Logistics]]+tblData[[#This Row],[Direct Selling]]</f>
        <v>0</v>
      </c>
      <c r="AK266" s="74">
        <f>tblData[[#This Row],[Gross Profit]]+tblData[[#This Row],[AP Spend]]+tblData[[#This Row],[Cost to Serve]]</f>
        <v>0</v>
      </c>
    </row>
    <row r="267" spans="2:37" x14ac:dyDescent="0.25">
      <c r="B267" s="71" t="s">
        <v>36</v>
      </c>
      <c r="C267" s="71">
        <v>2025</v>
      </c>
      <c r="D267" s="71">
        <v>7</v>
      </c>
      <c r="E267" s="71" t="s">
        <v>37</v>
      </c>
      <c r="F267" s="71" t="s">
        <v>38</v>
      </c>
      <c r="G267" s="72">
        <v>292.60000000000002</v>
      </c>
      <c r="H267" s="73">
        <v>4015</v>
      </c>
      <c r="I267" s="73">
        <v>-747</v>
      </c>
      <c r="J267" s="73">
        <v>-60</v>
      </c>
      <c r="K267" s="73">
        <v>-854</v>
      </c>
      <c r="L267" s="73">
        <v>-217</v>
      </c>
      <c r="M267" s="73">
        <v>-114</v>
      </c>
      <c r="N267" s="73">
        <v>-248</v>
      </c>
      <c r="O267" s="73">
        <v>-133</v>
      </c>
      <c r="P267" s="73">
        <v>-161</v>
      </c>
      <c r="Q267" s="73">
        <v>-120</v>
      </c>
      <c r="R267" s="73">
        <v>0</v>
      </c>
      <c r="S267" s="73">
        <v>0</v>
      </c>
      <c r="T267" s="73">
        <v>0</v>
      </c>
      <c r="U267" s="73">
        <v>0</v>
      </c>
      <c r="V267" s="73">
        <v>0</v>
      </c>
      <c r="W267" s="73">
        <v>0</v>
      </c>
      <c r="X267" s="73">
        <v>0</v>
      </c>
      <c r="Y267" s="73">
        <v>0</v>
      </c>
      <c r="Z267" s="73">
        <v>5768</v>
      </c>
      <c r="AA267" s="73">
        <v>3682</v>
      </c>
      <c r="AB267" s="73">
        <v>0</v>
      </c>
      <c r="AC267" s="73">
        <v>0</v>
      </c>
      <c r="AD267" s="73">
        <v>0</v>
      </c>
      <c r="AE267" s="73">
        <v>0</v>
      </c>
      <c r="AF267" s="74">
        <f>tblData[[#This Row],[Gross Sales]]+tblData[[#This Row],[Trade Discounts]]+tblData[[#This Row],[Returns]]</f>
        <v>3208</v>
      </c>
      <c r="AG267" s="74">
        <f>tblData[[#This Row],[Material Cost]]+tblData[[#This Row],[Conversion Cost]]+tblData[[#This Row],[Inbound Freight]]</f>
        <v>-1185</v>
      </c>
      <c r="AH267" s="74">
        <f>tblData[[#This Row],[Net Revenue]]+tblData[[#This Row],[COGS]]</f>
        <v>2023</v>
      </c>
      <c r="AI267" s="74">
        <f>tblData[[#This Row],[Advertising]]+tblData[[#This Row],[Promotions]]</f>
        <v>-381</v>
      </c>
      <c r="AJ267" s="74">
        <f>tblData[[#This Row],[Outbound Logistics]]+tblData[[#This Row],[Direct Selling]]</f>
        <v>-281</v>
      </c>
      <c r="AK267" s="74">
        <f>tblData[[#This Row],[Gross Profit]]+tblData[[#This Row],[AP Spend]]+tblData[[#This Row],[Cost to Serve]]</f>
        <v>1361</v>
      </c>
    </row>
    <row r="268" spans="2:37" x14ac:dyDescent="0.25">
      <c r="B268" s="71" t="s">
        <v>36</v>
      </c>
      <c r="C268" s="71">
        <v>2025</v>
      </c>
      <c r="D268" s="71">
        <v>7</v>
      </c>
      <c r="E268" s="71" t="s">
        <v>37</v>
      </c>
      <c r="F268" s="71" t="s">
        <v>39</v>
      </c>
      <c r="G268" s="72">
        <v>397.7</v>
      </c>
      <c r="H268" s="73">
        <v>3507</v>
      </c>
      <c r="I268" s="73">
        <v>-652</v>
      </c>
      <c r="J268" s="73">
        <v>-53</v>
      </c>
      <c r="K268" s="73">
        <v>-895</v>
      </c>
      <c r="L268" s="73">
        <v>-227</v>
      </c>
      <c r="M268" s="73">
        <v>-120</v>
      </c>
      <c r="N268" s="73">
        <v>-142</v>
      </c>
      <c r="O268" s="73">
        <v>-76</v>
      </c>
      <c r="P268" s="73">
        <v>-140</v>
      </c>
      <c r="Q268" s="73">
        <v>-105</v>
      </c>
      <c r="R268" s="73">
        <v>0</v>
      </c>
      <c r="S268" s="73">
        <v>0</v>
      </c>
      <c r="T268" s="73">
        <v>0</v>
      </c>
      <c r="U268" s="73">
        <v>0</v>
      </c>
      <c r="V268" s="73">
        <v>0</v>
      </c>
      <c r="W268" s="73">
        <v>0</v>
      </c>
      <c r="X268" s="73">
        <v>0</v>
      </c>
      <c r="Y268" s="73">
        <v>0</v>
      </c>
      <c r="Z268" s="73">
        <v>5001</v>
      </c>
      <c r="AA268" s="73">
        <v>3226</v>
      </c>
      <c r="AB268" s="73">
        <v>0</v>
      </c>
      <c r="AC268" s="73">
        <v>0</v>
      </c>
      <c r="AD268" s="73">
        <v>0</v>
      </c>
      <c r="AE268" s="73">
        <v>0</v>
      </c>
      <c r="AF268" s="74">
        <f>tblData[[#This Row],[Gross Sales]]+tblData[[#This Row],[Trade Discounts]]+tblData[[#This Row],[Returns]]</f>
        <v>2802</v>
      </c>
      <c r="AG268" s="74">
        <f>tblData[[#This Row],[Material Cost]]+tblData[[#This Row],[Conversion Cost]]+tblData[[#This Row],[Inbound Freight]]</f>
        <v>-1242</v>
      </c>
      <c r="AH268" s="74">
        <f>tblData[[#This Row],[Net Revenue]]+tblData[[#This Row],[COGS]]</f>
        <v>1560</v>
      </c>
      <c r="AI268" s="74">
        <f>tblData[[#This Row],[Advertising]]+tblData[[#This Row],[Promotions]]</f>
        <v>-218</v>
      </c>
      <c r="AJ268" s="74">
        <f>tblData[[#This Row],[Outbound Logistics]]+tblData[[#This Row],[Direct Selling]]</f>
        <v>-245</v>
      </c>
      <c r="AK268" s="74">
        <f>tblData[[#This Row],[Gross Profit]]+tblData[[#This Row],[AP Spend]]+tblData[[#This Row],[Cost to Serve]]</f>
        <v>1097</v>
      </c>
    </row>
    <row r="269" spans="2:37" x14ac:dyDescent="0.25">
      <c r="B269" s="71" t="s">
        <v>36</v>
      </c>
      <c r="C269" s="71">
        <v>2025</v>
      </c>
      <c r="D269" s="71">
        <v>7</v>
      </c>
      <c r="E269" s="71" t="s">
        <v>37</v>
      </c>
      <c r="F269" s="71" t="s">
        <v>40</v>
      </c>
      <c r="G269" s="72">
        <v>362.8</v>
      </c>
      <c r="H269" s="73">
        <v>2489</v>
      </c>
      <c r="I269" s="73">
        <v>-463</v>
      </c>
      <c r="J269" s="73">
        <v>-37</v>
      </c>
      <c r="K269" s="73">
        <v>-706</v>
      </c>
      <c r="L269" s="73">
        <v>-179</v>
      </c>
      <c r="M269" s="73">
        <v>-95</v>
      </c>
      <c r="N269" s="73">
        <v>-71</v>
      </c>
      <c r="O269" s="73">
        <v>-38</v>
      </c>
      <c r="P269" s="73">
        <v>-100</v>
      </c>
      <c r="Q269" s="73">
        <v>-75</v>
      </c>
      <c r="R269" s="73">
        <v>0</v>
      </c>
      <c r="S269" s="73">
        <v>0</v>
      </c>
      <c r="T269" s="73">
        <v>0</v>
      </c>
      <c r="U269" s="73">
        <v>0</v>
      </c>
      <c r="V269" s="73">
        <v>0</v>
      </c>
      <c r="W269" s="73">
        <v>0</v>
      </c>
      <c r="X269" s="73">
        <v>0</v>
      </c>
      <c r="Y269" s="73">
        <v>0</v>
      </c>
      <c r="Z269" s="73">
        <v>3670</v>
      </c>
      <c r="AA269" s="73">
        <v>2466</v>
      </c>
      <c r="AB269" s="73">
        <v>0</v>
      </c>
      <c r="AC269" s="73">
        <v>0</v>
      </c>
      <c r="AD269" s="73">
        <v>0</v>
      </c>
      <c r="AE269" s="73">
        <v>0</v>
      </c>
      <c r="AF269" s="74">
        <f>tblData[[#This Row],[Gross Sales]]+tblData[[#This Row],[Trade Discounts]]+tblData[[#This Row],[Returns]]</f>
        <v>1989</v>
      </c>
      <c r="AG269" s="74">
        <f>tblData[[#This Row],[Material Cost]]+tblData[[#This Row],[Conversion Cost]]+tblData[[#This Row],[Inbound Freight]]</f>
        <v>-980</v>
      </c>
      <c r="AH269" s="74">
        <f>tblData[[#This Row],[Net Revenue]]+tblData[[#This Row],[COGS]]</f>
        <v>1009</v>
      </c>
      <c r="AI269" s="74">
        <f>tblData[[#This Row],[Advertising]]+tblData[[#This Row],[Promotions]]</f>
        <v>-109</v>
      </c>
      <c r="AJ269" s="74">
        <f>tblData[[#This Row],[Outbound Logistics]]+tblData[[#This Row],[Direct Selling]]</f>
        <v>-175</v>
      </c>
      <c r="AK269" s="74">
        <f>tblData[[#This Row],[Gross Profit]]+tblData[[#This Row],[AP Spend]]+tblData[[#This Row],[Cost to Serve]]</f>
        <v>725</v>
      </c>
    </row>
    <row r="270" spans="2:37" x14ac:dyDescent="0.25">
      <c r="B270" s="71" t="s">
        <v>36</v>
      </c>
      <c r="C270" s="71">
        <v>2025</v>
      </c>
      <c r="D270" s="71">
        <v>7</v>
      </c>
      <c r="E270" s="71" t="s">
        <v>37</v>
      </c>
      <c r="F270" s="71" t="s">
        <v>41</v>
      </c>
      <c r="G270" s="72">
        <v>178.2</v>
      </c>
      <c r="H270" s="73">
        <v>1921</v>
      </c>
      <c r="I270" s="73">
        <v>-357</v>
      </c>
      <c r="J270" s="73">
        <v>-29</v>
      </c>
      <c r="K270" s="73">
        <v>-450</v>
      </c>
      <c r="L270" s="73">
        <v>-114</v>
      </c>
      <c r="M270" s="73">
        <v>-60</v>
      </c>
      <c r="N270" s="73">
        <v>-151</v>
      </c>
      <c r="O270" s="73">
        <v>-81</v>
      </c>
      <c r="P270" s="73">
        <v>-77</v>
      </c>
      <c r="Q270" s="73">
        <v>-58</v>
      </c>
      <c r="R270" s="73">
        <v>0</v>
      </c>
      <c r="S270" s="73">
        <v>0</v>
      </c>
      <c r="T270" s="73">
        <v>0</v>
      </c>
      <c r="U270" s="73">
        <v>0</v>
      </c>
      <c r="V270" s="73">
        <v>0</v>
      </c>
      <c r="W270" s="73">
        <v>0</v>
      </c>
      <c r="X270" s="73">
        <v>0</v>
      </c>
      <c r="Y270" s="73">
        <v>0</v>
      </c>
      <c r="Z270" s="73">
        <v>2867</v>
      </c>
      <c r="AA270" s="73">
        <v>1907</v>
      </c>
      <c r="AB270" s="73">
        <v>0</v>
      </c>
      <c r="AC270" s="73">
        <v>0</v>
      </c>
      <c r="AD270" s="73">
        <v>0</v>
      </c>
      <c r="AE270" s="73">
        <v>0</v>
      </c>
      <c r="AF270" s="74">
        <f>tblData[[#This Row],[Gross Sales]]+tblData[[#This Row],[Trade Discounts]]+tblData[[#This Row],[Returns]]</f>
        <v>1535</v>
      </c>
      <c r="AG270" s="74">
        <f>tblData[[#This Row],[Material Cost]]+tblData[[#This Row],[Conversion Cost]]+tblData[[#This Row],[Inbound Freight]]</f>
        <v>-624</v>
      </c>
      <c r="AH270" s="74">
        <f>tblData[[#This Row],[Net Revenue]]+tblData[[#This Row],[COGS]]</f>
        <v>911</v>
      </c>
      <c r="AI270" s="74">
        <f>tblData[[#This Row],[Advertising]]+tblData[[#This Row],[Promotions]]</f>
        <v>-232</v>
      </c>
      <c r="AJ270" s="74">
        <f>tblData[[#This Row],[Outbound Logistics]]+tblData[[#This Row],[Direct Selling]]</f>
        <v>-135</v>
      </c>
      <c r="AK270" s="74">
        <f>tblData[[#This Row],[Gross Profit]]+tblData[[#This Row],[AP Spend]]+tblData[[#This Row],[Cost to Serve]]</f>
        <v>544</v>
      </c>
    </row>
    <row r="271" spans="2:37" x14ac:dyDescent="0.25">
      <c r="B271" s="71" t="s">
        <v>36</v>
      </c>
      <c r="C271" s="71">
        <v>2025</v>
      </c>
      <c r="D271" s="71">
        <v>7</v>
      </c>
      <c r="E271" s="71" t="s">
        <v>37</v>
      </c>
      <c r="F271" s="71" t="s">
        <v>42</v>
      </c>
      <c r="G271" s="72">
        <v>239.8</v>
      </c>
      <c r="H271" s="73">
        <v>1410</v>
      </c>
      <c r="I271" s="73">
        <v>-262</v>
      </c>
      <c r="J271" s="73">
        <v>-21</v>
      </c>
      <c r="K271" s="73">
        <v>-440</v>
      </c>
      <c r="L271" s="73">
        <v>-112</v>
      </c>
      <c r="M271" s="73">
        <v>-59</v>
      </c>
      <c r="N271" s="73">
        <v>-29</v>
      </c>
      <c r="O271" s="73">
        <v>-16</v>
      </c>
      <c r="P271" s="73">
        <v>-56</v>
      </c>
      <c r="Q271" s="73">
        <v>-42</v>
      </c>
      <c r="R271" s="73">
        <v>0</v>
      </c>
      <c r="S271" s="73">
        <v>0</v>
      </c>
      <c r="T271" s="73">
        <v>0</v>
      </c>
      <c r="U271" s="73">
        <v>0</v>
      </c>
      <c r="V271" s="73">
        <v>0</v>
      </c>
      <c r="W271" s="73">
        <v>0</v>
      </c>
      <c r="X271" s="73">
        <v>0</v>
      </c>
      <c r="Y271" s="73">
        <v>0</v>
      </c>
      <c r="Z271" s="73">
        <v>2049</v>
      </c>
      <c r="AA271" s="73">
        <v>2221</v>
      </c>
      <c r="AB271" s="73">
        <v>0</v>
      </c>
      <c r="AC271" s="73">
        <v>0</v>
      </c>
      <c r="AD271" s="73">
        <v>0</v>
      </c>
      <c r="AE271" s="73">
        <v>0</v>
      </c>
      <c r="AF271" s="74">
        <f>tblData[[#This Row],[Gross Sales]]+tblData[[#This Row],[Trade Discounts]]+tblData[[#This Row],[Returns]]</f>
        <v>1127</v>
      </c>
      <c r="AG271" s="74">
        <f>tblData[[#This Row],[Material Cost]]+tblData[[#This Row],[Conversion Cost]]+tblData[[#This Row],[Inbound Freight]]</f>
        <v>-611</v>
      </c>
      <c r="AH271" s="74">
        <f>tblData[[#This Row],[Net Revenue]]+tblData[[#This Row],[COGS]]</f>
        <v>516</v>
      </c>
      <c r="AI271" s="74">
        <f>tblData[[#This Row],[Advertising]]+tblData[[#This Row],[Promotions]]</f>
        <v>-45</v>
      </c>
      <c r="AJ271" s="74">
        <f>tblData[[#This Row],[Outbound Logistics]]+tblData[[#This Row],[Direct Selling]]</f>
        <v>-98</v>
      </c>
      <c r="AK271" s="74">
        <f>tblData[[#This Row],[Gross Profit]]+tblData[[#This Row],[AP Spend]]+tblData[[#This Row],[Cost to Serve]]</f>
        <v>373</v>
      </c>
    </row>
    <row r="272" spans="2:37" x14ac:dyDescent="0.25">
      <c r="B272" s="71" t="s">
        <v>36</v>
      </c>
      <c r="C272" s="71">
        <v>2025</v>
      </c>
      <c r="D272" s="71">
        <v>7</v>
      </c>
      <c r="E272" s="71" t="s">
        <v>37</v>
      </c>
      <c r="F272" s="71" t="s">
        <v>43</v>
      </c>
      <c r="G272" s="72">
        <v>48.3</v>
      </c>
      <c r="H272" s="73">
        <v>852</v>
      </c>
      <c r="I272" s="73">
        <v>-158</v>
      </c>
      <c r="J272" s="73">
        <v>-13</v>
      </c>
      <c r="K272" s="73">
        <v>-230</v>
      </c>
      <c r="L272" s="73">
        <v>-58</v>
      </c>
      <c r="M272" s="73">
        <v>-31</v>
      </c>
      <c r="N272" s="73">
        <v>-83</v>
      </c>
      <c r="O272" s="73">
        <v>-44</v>
      </c>
      <c r="P272" s="73">
        <v>-34</v>
      </c>
      <c r="Q272" s="73">
        <v>-26</v>
      </c>
      <c r="R272" s="73">
        <v>0</v>
      </c>
      <c r="S272" s="73">
        <v>0</v>
      </c>
      <c r="T272" s="73">
        <v>0</v>
      </c>
      <c r="U272" s="73">
        <v>0</v>
      </c>
      <c r="V272" s="73">
        <v>0</v>
      </c>
      <c r="W272" s="73">
        <v>0</v>
      </c>
      <c r="X272" s="73">
        <v>0</v>
      </c>
      <c r="Y272" s="73">
        <v>0</v>
      </c>
      <c r="Z272" s="73">
        <v>1229</v>
      </c>
      <c r="AA272" s="73">
        <v>1255</v>
      </c>
      <c r="AB272" s="73">
        <v>0</v>
      </c>
      <c r="AC272" s="73">
        <v>0</v>
      </c>
      <c r="AD272" s="73">
        <v>0</v>
      </c>
      <c r="AE272" s="73">
        <v>0</v>
      </c>
      <c r="AF272" s="74">
        <f>tblData[[#This Row],[Gross Sales]]+tblData[[#This Row],[Trade Discounts]]+tblData[[#This Row],[Returns]]</f>
        <v>681</v>
      </c>
      <c r="AG272" s="74">
        <f>tblData[[#This Row],[Material Cost]]+tblData[[#This Row],[Conversion Cost]]+tblData[[#This Row],[Inbound Freight]]</f>
        <v>-319</v>
      </c>
      <c r="AH272" s="74">
        <f>tblData[[#This Row],[Net Revenue]]+tblData[[#This Row],[COGS]]</f>
        <v>362</v>
      </c>
      <c r="AI272" s="74">
        <f>tblData[[#This Row],[Advertising]]+tblData[[#This Row],[Promotions]]</f>
        <v>-127</v>
      </c>
      <c r="AJ272" s="74">
        <f>tblData[[#This Row],[Outbound Logistics]]+tblData[[#This Row],[Direct Selling]]</f>
        <v>-60</v>
      </c>
      <c r="AK272" s="74">
        <f>tblData[[#This Row],[Gross Profit]]+tblData[[#This Row],[AP Spend]]+tblData[[#This Row],[Cost to Serve]]</f>
        <v>175</v>
      </c>
    </row>
    <row r="273" spans="2:37" x14ac:dyDescent="0.25">
      <c r="B273" s="71" t="s">
        <v>36</v>
      </c>
      <c r="C273" s="71">
        <v>2025</v>
      </c>
      <c r="D273" s="71">
        <v>7</v>
      </c>
      <c r="E273" s="71" t="s">
        <v>44</v>
      </c>
      <c r="F273" s="71" t="s">
        <v>38</v>
      </c>
      <c r="G273" s="72">
        <v>225.4</v>
      </c>
      <c r="H273" s="73">
        <v>3092</v>
      </c>
      <c r="I273" s="73">
        <v>-482</v>
      </c>
      <c r="J273" s="73">
        <v>-37</v>
      </c>
      <c r="K273" s="73">
        <v>-658</v>
      </c>
      <c r="L273" s="73">
        <v>-167</v>
      </c>
      <c r="M273" s="73">
        <v>-88</v>
      </c>
      <c r="N273" s="73">
        <v>-198</v>
      </c>
      <c r="O273" s="73">
        <v>-107</v>
      </c>
      <c r="P273" s="73">
        <v>-124</v>
      </c>
      <c r="Q273" s="73">
        <v>-93</v>
      </c>
      <c r="R273" s="73">
        <v>0</v>
      </c>
      <c r="S273" s="73">
        <v>0</v>
      </c>
      <c r="T273" s="73">
        <v>0</v>
      </c>
      <c r="U273" s="73">
        <v>0</v>
      </c>
      <c r="V273" s="73">
        <v>0</v>
      </c>
      <c r="W273" s="73">
        <v>0</v>
      </c>
      <c r="X273" s="73">
        <v>0</v>
      </c>
      <c r="Y273" s="73">
        <v>0</v>
      </c>
      <c r="Z273" s="73">
        <v>4396</v>
      </c>
      <c r="AA273" s="73">
        <v>2964</v>
      </c>
      <c r="AB273" s="73">
        <v>0</v>
      </c>
      <c r="AC273" s="73">
        <v>0</v>
      </c>
      <c r="AD273" s="73">
        <v>0</v>
      </c>
      <c r="AE273" s="73">
        <v>0</v>
      </c>
      <c r="AF273" s="74">
        <f>tblData[[#This Row],[Gross Sales]]+tblData[[#This Row],[Trade Discounts]]+tblData[[#This Row],[Returns]]</f>
        <v>2573</v>
      </c>
      <c r="AG273" s="74">
        <f>tblData[[#This Row],[Material Cost]]+tblData[[#This Row],[Conversion Cost]]+tblData[[#This Row],[Inbound Freight]]</f>
        <v>-913</v>
      </c>
      <c r="AH273" s="74">
        <f>tblData[[#This Row],[Net Revenue]]+tblData[[#This Row],[COGS]]</f>
        <v>1660</v>
      </c>
      <c r="AI273" s="74">
        <f>tblData[[#This Row],[Advertising]]+tblData[[#This Row],[Promotions]]</f>
        <v>-305</v>
      </c>
      <c r="AJ273" s="74">
        <f>tblData[[#This Row],[Outbound Logistics]]+tblData[[#This Row],[Direct Selling]]</f>
        <v>-217</v>
      </c>
      <c r="AK273" s="74">
        <f>tblData[[#This Row],[Gross Profit]]+tblData[[#This Row],[AP Spend]]+tblData[[#This Row],[Cost to Serve]]</f>
        <v>1138</v>
      </c>
    </row>
    <row r="274" spans="2:37" x14ac:dyDescent="0.25">
      <c r="B274" s="71" t="s">
        <v>36</v>
      </c>
      <c r="C274" s="71">
        <v>2025</v>
      </c>
      <c r="D274" s="71">
        <v>7</v>
      </c>
      <c r="E274" s="71" t="s">
        <v>44</v>
      </c>
      <c r="F274" s="71" t="s">
        <v>39</v>
      </c>
      <c r="G274" s="72">
        <v>303</v>
      </c>
      <c r="H274" s="73">
        <v>2672</v>
      </c>
      <c r="I274" s="73">
        <v>-417</v>
      </c>
      <c r="J274" s="73">
        <v>-32</v>
      </c>
      <c r="K274" s="73">
        <v>-682</v>
      </c>
      <c r="L274" s="73">
        <v>-173</v>
      </c>
      <c r="M274" s="73">
        <v>-91</v>
      </c>
      <c r="N274" s="73">
        <v>-113</v>
      </c>
      <c r="O274" s="73">
        <v>-61</v>
      </c>
      <c r="P274" s="73">
        <v>-107</v>
      </c>
      <c r="Q274" s="73">
        <v>-80</v>
      </c>
      <c r="R274" s="73">
        <v>0</v>
      </c>
      <c r="S274" s="73">
        <v>0</v>
      </c>
      <c r="T274" s="73">
        <v>0</v>
      </c>
      <c r="U274" s="73">
        <v>0</v>
      </c>
      <c r="V274" s="73">
        <v>0</v>
      </c>
      <c r="W274" s="73">
        <v>0</v>
      </c>
      <c r="X274" s="73">
        <v>0</v>
      </c>
      <c r="Y274" s="73">
        <v>0</v>
      </c>
      <c r="Z274" s="73">
        <v>3662</v>
      </c>
      <c r="AA274" s="73">
        <v>2495</v>
      </c>
      <c r="AB274" s="73">
        <v>0</v>
      </c>
      <c r="AC274" s="73">
        <v>0</v>
      </c>
      <c r="AD274" s="73">
        <v>0</v>
      </c>
      <c r="AE274" s="73">
        <v>0</v>
      </c>
      <c r="AF274" s="74">
        <f>tblData[[#This Row],[Gross Sales]]+tblData[[#This Row],[Trade Discounts]]+tblData[[#This Row],[Returns]]</f>
        <v>2223</v>
      </c>
      <c r="AG274" s="74">
        <f>tblData[[#This Row],[Material Cost]]+tblData[[#This Row],[Conversion Cost]]+tblData[[#This Row],[Inbound Freight]]</f>
        <v>-946</v>
      </c>
      <c r="AH274" s="74">
        <f>tblData[[#This Row],[Net Revenue]]+tblData[[#This Row],[COGS]]</f>
        <v>1277</v>
      </c>
      <c r="AI274" s="74">
        <f>tblData[[#This Row],[Advertising]]+tblData[[#This Row],[Promotions]]</f>
        <v>-174</v>
      </c>
      <c r="AJ274" s="74">
        <f>tblData[[#This Row],[Outbound Logistics]]+tblData[[#This Row],[Direct Selling]]</f>
        <v>-187</v>
      </c>
      <c r="AK274" s="74">
        <f>tblData[[#This Row],[Gross Profit]]+tblData[[#This Row],[AP Spend]]+tblData[[#This Row],[Cost to Serve]]</f>
        <v>916</v>
      </c>
    </row>
    <row r="275" spans="2:37" x14ac:dyDescent="0.25">
      <c r="B275" s="71" t="s">
        <v>36</v>
      </c>
      <c r="C275" s="71">
        <v>2025</v>
      </c>
      <c r="D275" s="71">
        <v>7</v>
      </c>
      <c r="E275" s="71" t="s">
        <v>44</v>
      </c>
      <c r="F275" s="71" t="s">
        <v>40</v>
      </c>
      <c r="G275" s="72">
        <v>304.3</v>
      </c>
      <c r="H275" s="73">
        <v>2087</v>
      </c>
      <c r="I275" s="73">
        <v>-326</v>
      </c>
      <c r="J275" s="73">
        <v>-25</v>
      </c>
      <c r="K275" s="73">
        <v>-592</v>
      </c>
      <c r="L275" s="73">
        <v>-150</v>
      </c>
      <c r="M275" s="73">
        <v>-79</v>
      </c>
      <c r="N275" s="73">
        <v>-57</v>
      </c>
      <c r="O275" s="73">
        <v>-30</v>
      </c>
      <c r="P275" s="73">
        <v>-83</v>
      </c>
      <c r="Q275" s="73">
        <v>-63</v>
      </c>
      <c r="R275" s="73">
        <v>0</v>
      </c>
      <c r="S275" s="73">
        <v>0</v>
      </c>
      <c r="T275" s="73">
        <v>0</v>
      </c>
      <c r="U275" s="73">
        <v>0</v>
      </c>
      <c r="V275" s="73">
        <v>0</v>
      </c>
      <c r="W275" s="73">
        <v>0</v>
      </c>
      <c r="X275" s="73">
        <v>0</v>
      </c>
      <c r="Y275" s="73">
        <v>0</v>
      </c>
      <c r="Z275" s="73">
        <v>2797</v>
      </c>
      <c r="AA275" s="73">
        <v>1985</v>
      </c>
      <c r="AB275" s="73">
        <v>0</v>
      </c>
      <c r="AC275" s="73">
        <v>0</v>
      </c>
      <c r="AD275" s="73">
        <v>0</v>
      </c>
      <c r="AE275" s="73">
        <v>0</v>
      </c>
      <c r="AF275" s="74">
        <f>tblData[[#This Row],[Gross Sales]]+tblData[[#This Row],[Trade Discounts]]+tblData[[#This Row],[Returns]]</f>
        <v>1736</v>
      </c>
      <c r="AG275" s="74">
        <f>tblData[[#This Row],[Material Cost]]+tblData[[#This Row],[Conversion Cost]]+tblData[[#This Row],[Inbound Freight]]</f>
        <v>-821</v>
      </c>
      <c r="AH275" s="74">
        <f>tblData[[#This Row],[Net Revenue]]+tblData[[#This Row],[COGS]]</f>
        <v>915</v>
      </c>
      <c r="AI275" s="74">
        <f>tblData[[#This Row],[Advertising]]+tblData[[#This Row],[Promotions]]</f>
        <v>-87</v>
      </c>
      <c r="AJ275" s="74">
        <f>tblData[[#This Row],[Outbound Logistics]]+tblData[[#This Row],[Direct Selling]]</f>
        <v>-146</v>
      </c>
      <c r="AK275" s="74">
        <f>tblData[[#This Row],[Gross Profit]]+tblData[[#This Row],[AP Spend]]+tblData[[#This Row],[Cost to Serve]]</f>
        <v>682</v>
      </c>
    </row>
    <row r="276" spans="2:37" x14ac:dyDescent="0.25">
      <c r="B276" s="71" t="s">
        <v>36</v>
      </c>
      <c r="C276" s="71">
        <v>2025</v>
      </c>
      <c r="D276" s="71">
        <v>7</v>
      </c>
      <c r="E276" s="71" t="s">
        <v>44</v>
      </c>
      <c r="F276" s="71" t="s">
        <v>41</v>
      </c>
      <c r="G276" s="72">
        <v>147.6</v>
      </c>
      <c r="H276" s="73">
        <v>1591</v>
      </c>
      <c r="I276" s="73">
        <v>-248</v>
      </c>
      <c r="J276" s="73">
        <v>-19</v>
      </c>
      <c r="K276" s="73">
        <v>-372</v>
      </c>
      <c r="L276" s="73">
        <v>-95</v>
      </c>
      <c r="M276" s="73">
        <v>-50</v>
      </c>
      <c r="N276" s="73">
        <v>-121</v>
      </c>
      <c r="O276" s="73">
        <v>-65</v>
      </c>
      <c r="P276" s="73">
        <v>-64</v>
      </c>
      <c r="Q276" s="73">
        <v>-48</v>
      </c>
      <c r="R276" s="73">
        <v>0</v>
      </c>
      <c r="S276" s="73">
        <v>0</v>
      </c>
      <c r="T276" s="73">
        <v>0</v>
      </c>
      <c r="U276" s="73">
        <v>0</v>
      </c>
      <c r="V276" s="73">
        <v>0</v>
      </c>
      <c r="W276" s="73">
        <v>0</v>
      </c>
      <c r="X276" s="73">
        <v>0</v>
      </c>
      <c r="Y276" s="73">
        <v>0</v>
      </c>
      <c r="Z276" s="73">
        <v>2179</v>
      </c>
      <c r="AA276" s="73">
        <v>1531</v>
      </c>
      <c r="AB276" s="73">
        <v>0</v>
      </c>
      <c r="AC276" s="73">
        <v>0</v>
      </c>
      <c r="AD276" s="73">
        <v>0</v>
      </c>
      <c r="AE276" s="73">
        <v>0</v>
      </c>
      <c r="AF276" s="74">
        <f>tblData[[#This Row],[Gross Sales]]+tblData[[#This Row],[Trade Discounts]]+tblData[[#This Row],[Returns]]</f>
        <v>1324</v>
      </c>
      <c r="AG276" s="74">
        <f>tblData[[#This Row],[Material Cost]]+tblData[[#This Row],[Conversion Cost]]+tblData[[#This Row],[Inbound Freight]]</f>
        <v>-517</v>
      </c>
      <c r="AH276" s="74">
        <f>tblData[[#This Row],[Net Revenue]]+tblData[[#This Row],[COGS]]</f>
        <v>807</v>
      </c>
      <c r="AI276" s="74">
        <f>tblData[[#This Row],[Advertising]]+tblData[[#This Row],[Promotions]]</f>
        <v>-186</v>
      </c>
      <c r="AJ276" s="74">
        <f>tblData[[#This Row],[Outbound Logistics]]+tblData[[#This Row],[Direct Selling]]</f>
        <v>-112</v>
      </c>
      <c r="AK276" s="74">
        <f>tblData[[#This Row],[Gross Profit]]+tblData[[#This Row],[AP Spend]]+tblData[[#This Row],[Cost to Serve]]</f>
        <v>509</v>
      </c>
    </row>
    <row r="277" spans="2:37" x14ac:dyDescent="0.25">
      <c r="B277" s="71" t="s">
        <v>36</v>
      </c>
      <c r="C277" s="71">
        <v>2025</v>
      </c>
      <c r="D277" s="71">
        <v>7</v>
      </c>
      <c r="E277" s="71" t="s">
        <v>44</v>
      </c>
      <c r="F277" s="71" t="s">
        <v>42</v>
      </c>
      <c r="G277" s="72">
        <v>188.4</v>
      </c>
      <c r="H277" s="73">
        <v>1108</v>
      </c>
      <c r="I277" s="73">
        <v>-173</v>
      </c>
      <c r="J277" s="73">
        <v>-13</v>
      </c>
      <c r="K277" s="73">
        <v>-346</v>
      </c>
      <c r="L277" s="73">
        <v>-88</v>
      </c>
      <c r="M277" s="73">
        <v>-46</v>
      </c>
      <c r="N277" s="73">
        <v>-24</v>
      </c>
      <c r="O277" s="73">
        <v>-13</v>
      </c>
      <c r="P277" s="73">
        <v>-44</v>
      </c>
      <c r="Q277" s="73">
        <v>-33</v>
      </c>
      <c r="R277" s="73">
        <v>0</v>
      </c>
      <c r="S277" s="73">
        <v>0</v>
      </c>
      <c r="T277" s="73">
        <v>0</v>
      </c>
      <c r="U277" s="73">
        <v>0</v>
      </c>
      <c r="V277" s="73">
        <v>0</v>
      </c>
      <c r="W277" s="73">
        <v>0</v>
      </c>
      <c r="X277" s="73">
        <v>0</v>
      </c>
      <c r="Y277" s="73">
        <v>0</v>
      </c>
      <c r="Z277" s="73">
        <v>1556</v>
      </c>
      <c r="AA277" s="73">
        <v>1782</v>
      </c>
      <c r="AB277" s="73">
        <v>0</v>
      </c>
      <c r="AC277" s="73">
        <v>0</v>
      </c>
      <c r="AD277" s="73">
        <v>0</v>
      </c>
      <c r="AE277" s="73">
        <v>0</v>
      </c>
      <c r="AF277" s="74">
        <f>tblData[[#This Row],[Gross Sales]]+tblData[[#This Row],[Trade Discounts]]+tblData[[#This Row],[Returns]]</f>
        <v>922</v>
      </c>
      <c r="AG277" s="74">
        <f>tblData[[#This Row],[Material Cost]]+tblData[[#This Row],[Conversion Cost]]+tblData[[#This Row],[Inbound Freight]]</f>
        <v>-480</v>
      </c>
      <c r="AH277" s="74">
        <f>tblData[[#This Row],[Net Revenue]]+tblData[[#This Row],[COGS]]</f>
        <v>442</v>
      </c>
      <c r="AI277" s="74">
        <f>tblData[[#This Row],[Advertising]]+tblData[[#This Row],[Promotions]]</f>
        <v>-37</v>
      </c>
      <c r="AJ277" s="74">
        <f>tblData[[#This Row],[Outbound Logistics]]+tblData[[#This Row],[Direct Selling]]</f>
        <v>-77</v>
      </c>
      <c r="AK277" s="74">
        <f>tblData[[#This Row],[Gross Profit]]+tblData[[#This Row],[AP Spend]]+tblData[[#This Row],[Cost to Serve]]</f>
        <v>328</v>
      </c>
    </row>
    <row r="278" spans="2:37" x14ac:dyDescent="0.25">
      <c r="B278" s="71" t="s">
        <v>36</v>
      </c>
      <c r="C278" s="71">
        <v>2025</v>
      </c>
      <c r="D278" s="71">
        <v>7</v>
      </c>
      <c r="E278" s="71" t="s">
        <v>44</v>
      </c>
      <c r="F278" s="71" t="s">
        <v>43</v>
      </c>
      <c r="G278" s="72">
        <v>38.700000000000003</v>
      </c>
      <c r="H278" s="73">
        <v>683</v>
      </c>
      <c r="I278" s="73">
        <v>-107</v>
      </c>
      <c r="J278" s="73">
        <v>-8</v>
      </c>
      <c r="K278" s="73">
        <v>-184</v>
      </c>
      <c r="L278" s="73">
        <v>-47</v>
      </c>
      <c r="M278" s="73">
        <v>-25</v>
      </c>
      <c r="N278" s="73">
        <v>-66</v>
      </c>
      <c r="O278" s="73">
        <v>-36</v>
      </c>
      <c r="P278" s="73">
        <v>-27</v>
      </c>
      <c r="Q278" s="73">
        <v>-20</v>
      </c>
      <c r="R278" s="73">
        <v>0</v>
      </c>
      <c r="S278" s="73">
        <v>0</v>
      </c>
      <c r="T278" s="73">
        <v>0</v>
      </c>
      <c r="U278" s="73">
        <v>0</v>
      </c>
      <c r="V278" s="73">
        <v>0</v>
      </c>
      <c r="W278" s="73">
        <v>0</v>
      </c>
      <c r="X278" s="73">
        <v>0</v>
      </c>
      <c r="Y278" s="73">
        <v>0</v>
      </c>
      <c r="Z278" s="73">
        <v>952</v>
      </c>
      <c r="AA278" s="73">
        <v>1028</v>
      </c>
      <c r="AB278" s="73">
        <v>0</v>
      </c>
      <c r="AC278" s="73">
        <v>0</v>
      </c>
      <c r="AD278" s="73">
        <v>0</v>
      </c>
      <c r="AE278" s="73">
        <v>0</v>
      </c>
      <c r="AF278" s="74">
        <f>tblData[[#This Row],[Gross Sales]]+tblData[[#This Row],[Trade Discounts]]+tblData[[#This Row],[Returns]]</f>
        <v>568</v>
      </c>
      <c r="AG278" s="74">
        <f>tblData[[#This Row],[Material Cost]]+tblData[[#This Row],[Conversion Cost]]+tblData[[#This Row],[Inbound Freight]]</f>
        <v>-256</v>
      </c>
      <c r="AH278" s="74">
        <f>tblData[[#This Row],[Net Revenue]]+tblData[[#This Row],[COGS]]</f>
        <v>312</v>
      </c>
      <c r="AI278" s="74">
        <f>tblData[[#This Row],[Advertising]]+tblData[[#This Row],[Promotions]]</f>
        <v>-102</v>
      </c>
      <c r="AJ278" s="74">
        <f>tblData[[#This Row],[Outbound Logistics]]+tblData[[#This Row],[Direct Selling]]</f>
        <v>-47</v>
      </c>
      <c r="AK278" s="74">
        <f>tblData[[#This Row],[Gross Profit]]+tblData[[#This Row],[AP Spend]]+tblData[[#This Row],[Cost to Serve]]</f>
        <v>163</v>
      </c>
    </row>
    <row r="279" spans="2:37" x14ac:dyDescent="0.25">
      <c r="B279" s="71" t="s">
        <v>36</v>
      </c>
      <c r="C279" s="71">
        <v>2025</v>
      </c>
      <c r="D279" s="71">
        <v>7</v>
      </c>
      <c r="E279" s="71" t="s">
        <v>45</v>
      </c>
      <c r="F279" s="71" t="s">
        <v>38</v>
      </c>
      <c r="G279" s="72">
        <v>134.80000000000001</v>
      </c>
      <c r="H279" s="73">
        <v>1849</v>
      </c>
      <c r="I279" s="73">
        <v>-399</v>
      </c>
      <c r="J279" s="73">
        <v>-18</v>
      </c>
      <c r="K279" s="73">
        <v>-393</v>
      </c>
      <c r="L279" s="73">
        <v>-100</v>
      </c>
      <c r="M279" s="73">
        <v>-53</v>
      </c>
      <c r="N279" s="73">
        <v>-116</v>
      </c>
      <c r="O279" s="73">
        <v>-62</v>
      </c>
      <c r="P279" s="73">
        <v>-65</v>
      </c>
      <c r="Q279" s="73">
        <v>-37</v>
      </c>
      <c r="R279" s="73">
        <v>0</v>
      </c>
      <c r="S279" s="73">
        <v>0</v>
      </c>
      <c r="T279" s="73">
        <v>0</v>
      </c>
      <c r="U279" s="73">
        <v>0</v>
      </c>
      <c r="V279" s="73">
        <v>0</v>
      </c>
      <c r="W279" s="73">
        <v>0</v>
      </c>
      <c r="X279" s="73">
        <v>0</v>
      </c>
      <c r="Y279" s="73">
        <v>0</v>
      </c>
      <c r="Z279" s="73">
        <v>2147</v>
      </c>
      <c r="AA279" s="73">
        <v>1729</v>
      </c>
      <c r="AB279" s="73">
        <v>0</v>
      </c>
      <c r="AC279" s="73">
        <v>0</v>
      </c>
      <c r="AD279" s="73">
        <v>0</v>
      </c>
      <c r="AE279" s="73">
        <v>0</v>
      </c>
      <c r="AF279" s="74">
        <f>tblData[[#This Row],[Gross Sales]]+tblData[[#This Row],[Trade Discounts]]+tblData[[#This Row],[Returns]]</f>
        <v>1432</v>
      </c>
      <c r="AG279" s="74">
        <f>tblData[[#This Row],[Material Cost]]+tblData[[#This Row],[Conversion Cost]]+tblData[[#This Row],[Inbound Freight]]</f>
        <v>-546</v>
      </c>
      <c r="AH279" s="74">
        <f>tblData[[#This Row],[Net Revenue]]+tblData[[#This Row],[COGS]]</f>
        <v>886</v>
      </c>
      <c r="AI279" s="74">
        <f>tblData[[#This Row],[Advertising]]+tblData[[#This Row],[Promotions]]</f>
        <v>-178</v>
      </c>
      <c r="AJ279" s="74">
        <f>tblData[[#This Row],[Outbound Logistics]]+tblData[[#This Row],[Direct Selling]]</f>
        <v>-102</v>
      </c>
      <c r="AK279" s="74">
        <f>tblData[[#This Row],[Gross Profit]]+tblData[[#This Row],[AP Spend]]+tblData[[#This Row],[Cost to Serve]]</f>
        <v>606</v>
      </c>
    </row>
    <row r="280" spans="2:37" x14ac:dyDescent="0.25">
      <c r="B280" s="71" t="s">
        <v>36</v>
      </c>
      <c r="C280" s="71">
        <v>2025</v>
      </c>
      <c r="D280" s="71">
        <v>7</v>
      </c>
      <c r="E280" s="71" t="s">
        <v>45</v>
      </c>
      <c r="F280" s="71" t="s">
        <v>39</v>
      </c>
      <c r="G280" s="72">
        <v>181.7</v>
      </c>
      <c r="H280" s="73">
        <v>1603</v>
      </c>
      <c r="I280" s="73">
        <v>-346</v>
      </c>
      <c r="J280" s="73">
        <v>-16</v>
      </c>
      <c r="K280" s="73">
        <v>-409</v>
      </c>
      <c r="L280" s="73">
        <v>-104</v>
      </c>
      <c r="M280" s="73">
        <v>-55</v>
      </c>
      <c r="N280" s="73">
        <v>-66</v>
      </c>
      <c r="O280" s="73">
        <v>-36</v>
      </c>
      <c r="P280" s="73">
        <v>-56</v>
      </c>
      <c r="Q280" s="73">
        <v>-32</v>
      </c>
      <c r="R280" s="73">
        <v>0</v>
      </c>
      <c r="S280" s="73">
        <v>0</v>
      </c>
      <c r="T280" s="73">
        <v>0</v>
      </c>
      <c r="U280" s="73">
        <v>0</v>
      </c>
      <c r="V280" s="73">
        <v>0</v>
      </c>
      <c r="W280" s="73">
        <v>0</v>
      </c>
      <c r="X280" s="73">
        <v>0</v>
      </c>
      <c r="Y280" s="73">
        <v>0</v>
      </c>
      <c r="Z280" s="73">
        <v>1876</v>
      </c>
      <c r="AA280" s="73">
        <v>1526</v>
      </c>
      <c r="AB280" s="73">
        <v>0</v>
      </c>
      <c r="AC280" s="73">
        <v>0</v>
      </c>
      <c r="AD280" s="73">
        <v>0</v>
      </c>
      <c r="AE280" s="73">
        <v>0</v>
      </c>
      <c r="AF280" s="74">
        <f>tblData[[#This Row],[Gross Sales]]+tblData[[#This Row],[Trade Discounts]]+tblData[[#This Row],[Returns]]</f>
        <v>1241</v>
      </c>
      <c r="AG280" s="74">
        <f>tblData[[#This Row],[Material Cost]]+tblData[[#This Row],[Conversion Cost]]+tblData[[#This Row],[Inbound Freight]]</f>
        <v>-568</v>
      </c>
      <c r="AH280" s="74">
        <f>tblData[[#This Row],[Net Revenue]]+tblData[[#This Row],[COGS]]</f>
        <v>673</v>
      </c>
      <c r="AI280" s="74">
        <f>tblData[[#This Row],[Advertising]]+tblData[[#This Row],[Promotions]]</f>
        <v>-102</v>
      </c>
      <c r="AJ280" s="74">
        <f>tblData[[#This Row],[Outbound Logistics]]+tblData[[#This Row],[Direct Selling]]</f>
        <v>-88</v>
      </c>
      <c r="AK280" s="74">
        <f>tblData[[#This Row],[Gross Profit]]+tblData[[#This Row],[AP Spend]]+tblData[[#This Row],[Cost to Serve]]</f>
        <v>483</v>
      </c>
    </row>
    <row r="281" spans="2:37" x14ac:dyDescent="0.25">
      <c r="B281" s="71" t="s">
        <v>36</v>
      </c>
      <c r="C281" s="71">
        <v>2025</v>
      </c>
      <c r="D281" s="71">
        <v>7</v>
      </c>
      <c r="E281" s="71" t="s">
        <v>45</v>
      </c>
      <c r="F281" s="71" t="s">
        <v>40</v>
      </c>
      <c r="G281" s="72">
        <v>170.5</v>
      </c>
      <c r="H281" s="73">
        <v>1170</v>
      </c>
      <c r="I281" s="73">
        <v>-253</v>
      </c>
      <c r="J281" s="73">
        <v>-12</v>
      </c>
      <c r="K281" s="73">
        <v>-332</v>
      </c>
      <c r="L281" s="73">
        <v>-84</v>
      </c>
      <c r="M281" s="73">
        <v>-44</v>
      </c>
      <c r="N281" s="73">
        <v>-33</v>
      </c>
      <c r="O281" s="73">
        <v>-18</v>
      </c>
      <c r="P281" s="73">
        <v>-41</v>
      </c>
      <c r="Q281" s="73">
        <v>-23</v>
      </c>
      <c r="R281" s="73">
        <v>0</v>
      </c>
      <c r="S281" s="73">
        <v>0</v>
      </c>
      <c r="T281" s="73">
        <v>0</v>
      </c>
      <c r="U281" s="73">
        <v>0</v>
      </c>
      <c r="V281" s="73">
        <v>0</v>
      </c>
      <c r="W281" s="73">
        <v>0</v>
      </c>
      <c r="X281" s="73">
        <v>0</v>
      </c>
      <c r="Y281" s="73">
        <v>0</v>
      </c>
      <c r="Z281" s="73">
        <v>1377</v>
      </c>
      <c r="AA281" s="73">
        <v>1168</v>
      </c>
      <c r="AB281" s="73">
        <v>0</v>
      </c>
      <c r="AC281" s="73">
        <v>0</v>
      </c>
      <c r="AD281" s="73">
        <v>0</v>
      </c>
      <c r="AE281" s="73">
        <v>0</v>
      </c>
      <c r="AF281" s="74">
        <f>tblData[[#This Row],[Gross Sales]]+tblData[[#This Row],[Trade Discounts]]+tblData[[#This Row],[Returns]]</f>
        <v>905</v>
      </c>
      <c r="AG281" s="74">
        <f>tblData[[#This Row],[Material Cost]]+tblData[[#This Row],[Conversion Cost]]+tblData[[#This Row],[Inbound Freight]]</f>
        <v>-460</v>
      </c>
      <c r="AH281" s="74">
        <f>tblData[[#This Row],[Net Revenue]]+tblData[[#This Row],[COGS]]</f>
        <v>445</v>
      </c>
      <c r="AI281" s="74">
        <f>tblData[[#This Row],[Advertising]]+tblData[[#This Row],[Promotions]]</f>
        <v>-51</v>
      </c>
      <c r="AJ281" s="74">
        <f>tblData[[#This Row],[Outbound Logistics]]+tblData[[#This Row],[Direct Selling]]</f>
        <v>-64</v>
      </c>
      <c r="AK281" s="74">
        <f>tblData[[#This Row],[Gross Profit]]+tblData[[#This Row],[AP Spend]]+tblData[[#This Row],[Cost to Serve]]</f>
        <v>330</v>
      </c>
    </row>
    <row r="282" spans="2:37" x14ac:dyDescent="0.25">
      <c r="B282" s="71" t="s">
        <v>36</v>
      </c>
      <c r="C282" s="71">
        <v>2025</v>
      </c>
      <c r="D282" s="71">
        <v>7</v>
      </c>
      <c r="E282" s="71" t="s">
        <v>45</v>
      </c>
      <c r="F282" s="71" t="s">
        <v>41</v>
      </c>
      <c r="G282" s="72">
        <v>83.9</v>
      </c>
      <c r="H282" s="73">
        <v>904</v>
      </c>
      <c r="I282" s="73">
        <v>-195</v>
      </c>
      <c r="J282" s="73">
        <v>-9</v>
      </c>
      <c r="K282" s="73">
        <v>-212</v>
      </c>
      <c r="L282" s="73">
        <v>-54</v>
      </c>
      <c r="M282" s="73">
        <v>-28</v>
      </c>
      <c r="N282" s="73">
        <v>-71</v>
      </c>
      <c r="O282" s="73">
        <v>-38</v>
      </c>
      <c r="P282" s="73">
        <v>-32</v>
      </c>
      <c r="Q282" s="73">
        <v>-18</v>
      </c>
      <c r="R282" s="73">
        <v>0</v>
      </c>
      <c r="S282" s="73">
        <v>0</v>
      </c>
      <c r="T282" s="73">
        <v>0</v>
      </c>
      <c r="U282" s="73">
        <v>0</v>
      </c>
      <c r="V282" s="73">
        <v>0</v>
      </c>
      <c r="W282" s="73">
        <v>0</v>
      </c>
      <c r="X282" s="73">
        <v>0</v>
      </c>
      <c r="Y282" s="73">
        <v>0</v>
      </c>
      <c r="Z282" s="73">
        <v>1078</v>
      </c>
      <c r="AA282" s="73">
        <v>905</v>
      </c>
      <c r="AB282" s="73">
        <v>0</v>
      </c>
      <c r="AC282" s="73">
        <v>0</v>
      </c>
      <c r="AD282" s="73">
        <v>0</v>
      </c>
      <c r="AE282" s="73">
        <v>0</v>
      </c>
      <c r="AF282" s="74">
        <f>tblData[[#This Row],[Gross Sales]]+tblData[[#This Row],[Trade Discounts]]+tblData[[#This Row],[Returns]]</f>
        <v>700</v>
      </c>
      <c r="AG282" s="74">
        <f>tblData[[#This Row],[Material Cost]]+tblData[[#This Row],[Conversion Cost]]+tblData[[#This Row],[Inbound Freight]]</f>
        <v>-294</v>
      </c>
      <c r="AH282" s="74">
        <f>tblData[[#This Row],[Net Revenue]]+tblData[[#This Row],[COGS]]</f>
        <v>406</v>
      </c>
      <c r="AI282" s="74">
        <f>tblData[[#This Row],[Advertising]]+tblData[[#This Row],[Promotions]]</f>
        <v>-109</v>
      </c>
      <c r="AJ282" s="74">
        <f>tblData[[#This Row],[Outbound Logistics]]+tblData[[#This Row],[Direct Selling]]</f>
        <v>-50</v>
      </c>
      <c r="AK282" s="74">
        <f>tblData[[#This Row],[Gross Profit]]+tblData[[#This Row],[AP Spend]]+tblData[[#This Row],[Cost to Serve]]</f>
        <v>247</v>
      </c>
    </row>
    <row r="283" spans="2:37" x14ac:dyDescent="0.25">
      <c r="B283" s="71" t="s">
        <v>36</v>
      </c>
      <c r="C283" s="71">
        <v>2025</v>
      </c>
      <c r="D283" s="71">
        <v>7</v>
      </c>
      <c r="E283" s="71" t="s">
        <v>45</v>
      </c>
      <c r="F283" s="71" t="s">
        <v>42</v>
      </c>
      <c r="G283" s="72">
        <v>109.8</v>
      </c>
      <c r="H283" s="73">
        <v>646</v>
      </c>
      <c r="I283" s="73">
        <v>-139</v>
      </c>
      <c r="J283" s="73">
        <v>-6</v>
      </c>
      <c r="K283" s="73">
        <v>-201</v>
      </c>
      <c r="L283" s="73">
        <v>-51</v>
      </c>
      <c r="M283" s="73">
        <v>-27</v>
      </c>
      <c r="N283" s="73">
        <v>-14</v>
      </c>
      <c r="O283" s="73">
        <v>-7</v>
      </c>
      <c r="P283" s="73">
        <v>-23</v>
      </c>
      <c r="Q283" s="73">
        <v>-13</v>
      </c>
      <c r="R283" s="73">
        <v>0</v>
      </c>
      <c r="S283" s="73">
        <v>0</v>
      </c>
      <c r="T283" s="73">
        <v>0</v>
      </c>
      <c r="U283" s="73">
        <v>0</v>
      </c>
      <c r="V283" s="73">
        <v>0</v>
      </c>
      <c r="W283" s="73">
        <v>0</v>
      </c>
      <c r="X283" s="73">
        <v>0</v>
      </c>
      <c r="Y283" s="73">
        <v>0</v>
      </c>
      <c r="Z283" s="73">
        <v>753</v>
      </c>
      <c r="AA283" s="73">
        <v>1030</v>
      </c>
      <c r="AB283" s="73">
        <v>0</v>
      </c>
      <c r="AC283" s="73">
        <v>0</v>
      </c>
      <c r="AD283" s="73">
        <v>0</v>
      </c>
      <c r="AE283" s="73">
        <v>0</v>
      </c>
      <c r="AF283" s="74">
        <f>tblData[[#This Row],[Gross Sales]]+tblData[[#This Row],[Trade Discounts]]+tblData[[#This Row],[Returns]]</f>
        <v>501</v>
      </c>
      <c r="AG283" s="74">
        <f>tblData[[#This Row],[Material Cost]]+tblData[[#This Row],[Conversion Cost]]+tblData[[#This Row],[Inbound Freight]]</f>
        <v>-279</v>
      </c>
      <c r="AH283" s="74">
        <f>tblData[[#This Row],[Net Revenue]]+tblData[[#This Row],[COGS]]</f>
        <v>222</v>
      </c>
      <c r="AI283" s="74">
        <f>tblData[[#This Row],[Advertising]]+tblData[[#This Row],[Promotions]]</f>
        <v>-21</v>
      </c>
      <c r="AJ283" s="74">
        <f>tblData[[#This Row],[Outbound Logistics]]+tblData[[#This Row],[Direct Selling]]</f>
        <v>-36</v>
      </c>
      <c r="AK283" s="74">
        <f>tblData[[#This Row],[Gross Profit]]+tblData[[#This Row],[AP Spend]]+tblData[[#This Row],[Cost to Serve]]</f>
        <v>165</v>
      </c>
    </row>
    <row r="284" spans="2:37" x14ac:dyDescent="0.25">
      <c r="B284" s="71" t="s">
        <v>36</v>
      </c>
      <c r="C284" s="71">
        <v>2025</v>
      </c>
      <c r="D284" s="71">
        <v>7</v>
      </c>
      <c r="E284" s="71" t="s">
        <v>45</v>
      </c>
      <c r="F284" s="71" t="s">
        <v>43</v>
      </c>
      <c r="G284" s="72">
        <v>22.2</v>
      </c>
      <c r="H284" s="73">
        <v>392</v>
      </c>
      <c r="I284" s="73">
        <v>-85</v>
      </c>
      <c r="J284" s="73">
        <v>-4</v>
      </c>
      <c r="K284" s="73">
        <v>-106</v>
      </c>
      <c r="L284" s="73">
        <v>-27</v>
      </c>
      <c r="M284" s="73">
        <v>-14</v>
      </c>
      <c r="N284" s="73">
        <v>-39</v>
      </c>
      <c r="O284" s="73">
        <v>-21</v>
      </c>
      <c r="P284" s="73">
        <v>-14</v>
      </c>
      <c r="Q284" s="73">
        <v>-8</v>
      </c>
      <c r="R284" s="73">
        <v>0</v>
      </c>
      <c r="S284" s="73">
        <v>0</v>
      </c>
      <c r="T284" s="73">
        <v>0</v>
      </c>
      <c r="U284" s="73">
        <v>0</v>
      </c>
      <c r="V284" s="73">
        <v>0</v>
      </c>
      <c r="W284" s="73">
        <v>0</v>
      </c>
      <c r="X284" s="73">
        <v>0</v>
      </c>
      <c r="Y284" s="73">
        <v>0</v>
      </c>
      <c r="Z284" s="73">
        <v>449</v>
      </c>
      <c r="AA284" s="73">
        <v>578</v>
      </c>
      <c r="AB284" s="73">
        <v>0</v>
      </c>
      <c r="AC284" s="73">
        <v>0</v>
      </c>
      <c r="AD284" s="73">
        <v>0</v>
      </c>
      <c r="AE284" s="73">
        <v>0</v>
      </c>
      <c r="AF284" s="74">
        <f>tblData[[#This Row],[Gross Sales]]+tblData[[#This Row],[Trade Discounts]]+tblData[[#This Row],[Returns]]</f>
        <v>303</v>
      </c>
      <c r="AG284" s="74">
        <f>tblData[[#This Row],[Material Cost]]+tblData[[#This Row],[Conversion Cost]]+tblData[[#This Row],[Inbound Freight]]</f>
        <v>-147</v>
      </c>
      <c r="AH284" s="74">
        <f>tblData[[#This Row],[Net Revenue]]+tblData[[#This Row],[COGS]]</f>
        <v>156</v>
      </c>
      <c r="AI284" s="74">
        <f>tblData[[#This Row],[Advertising]]+tblData[[#This Row],[Promotions]]</f>
        <v>-60</v>
      </c>
      <c r="AJ284" s="74">
        <f>tblData[[#This Row],[Outbound Logistics]]+tblData[[#This Row],[Direct Selling]]</f>
        <v>-22</v>
      </c>
      <c r="AK284" s="74">
        <f>tblData[[#This Row],[Gross Profit]]+tblData[[#This Row],[AP Spend]]+tblData[[#This Row],[Cost to Serve]]</f>
        <v>74</v>
      </c>
    </row>
    <row r="285" spans="2:37" x14ac:dyDescent="0.25">
      <c r="B285" s="71" t="s">
        <v>36</v>
      </c>
      <c r="C285" s="71">
        <v>2025</v>
      </c>
      <c r="D285" s="71">
        <v>7</v>
      </c>
      <c r="E285" s="71" t="s">
        <v>46</v>
      </c>
      <c r="F285" s="71" t="s">
        <v>38</v>
      </c>
      <c r="G285" s="72">
        <v>141.6</v>
      </c>
      <c r="H285" s="73">
        <v>1942</v>
      </c>
      <c r="I285" s="73">
        <v>-206</v>
      </c>
      <c r="J285" s="73">
        <v>-78</v>
      </c>
      <c r="K285" s="73">
        <v>-413</v>
      </c>
      <c r="L285" s="73">
        <v>-105</v>
      </c>
      <c r="M285" s="73">
        <v>-55</v>
      </c>
      <c r="N285" s="73">
        <v>-132</v>
      </c>
      <c r="O285" s="73">
        <v>-71</v>
      </c>
      <c r="P285" s="73">
        <v>-146</v>
      </c>
      <c r="Q285" s="73">
        <v>-39</v>
      </c>
      <c r="R285" s="73">
        <v>0</v>
      </c>
      <c r="S285" s="73">
        <v>0</v>
      </c>
      <c r="T285" s="73">
        <v>0</v>
      </c>
      <c r="U285" s="73">
        <v>0</v>
      </c>
      <c r="V285" s="73">
        <v>0</v>
      </c>
      <c r="W285" s="73">
        <v>0</v>
      </c>
      <c r="X285" s="73">
        <v>0</v>
      </c>
      <c r="Y285" s="73">
        <v>0</v>
      </c>
      <c r="Z285" s="73">
        <v>1380</v>
      </c>
      <c r="AA285" s="73">
        <v>1813</v>
      </c>
      <c r="AB285" s="73">
        <v>0</v>
      </c>
      <c r="AC285" s="73">
        <v>0</v>
      </c>
      <c r="AD285" s="73">
        <v>0</v>
      </c>
      <c r="AE285" s="73">
        <v>0</v>
      </c>
      <c r="AF285" s="74">
        <f>tblData[[#This Row],[Gross Sales]]+tblData[[#This Row],[Trade Discounts]]+tblData[[#This Row],[Returns]]</f>
        <v>1658</v>
      </c>
      <c r="AG285" s="74">
        <f>tblData[[#This Row],[Material Cost]]+tblData[[#This Row],[Conversion Cost]]+tblData[[#This Row],[Inbound Freight]]</f>
        <v>-573</v>
      </c>
      <c r="AH285" s="74">
        <f>tblData[[#This Row],[Net Revenue]]+tblData[[#This Row],[COGS]]</f>
        <v>1085</v>
      </c>
      <c r="AI285" s="74">
        <f>tblData[[#This Row],[Advertising]]+tblData[[#This Row],[Promotions]]</f>
        <v>-203</v>
      </c>
      <c r="AJ285" s="74">
        <f>tblData[[#This Row],[Outbound Logistics]]+tblData[[#This Row],[Direct Selling]]</f>
        <v>-185</v>
      </c>
      <c r="AK285" s="74">
        <f>tblData[[#This Row],[Gross Profit]]+tblData[[#This Row],[AP Spend]]+tblData[[#This Row],[Cost to Serve]]</f>
        <v>697</v>
      </c>
    </row>
    <row r="286" spans="2:37" x14ac:dyDescent="0.25">
      <c r="B286" s="71" t="s">
        <v>36</v>
      </c>
      <c r="C286" s="71">
        <v>2025</v>
      </c>
      <c r="D286" s="71">
        <v>7</v>
      </c>
      <c r="E286" s="71" t="s">
        <v>46</v>
      </c>
      <c r="F286" s="71" t="s">
        <v>39</v>
      </c>
      <c r="G286" s="72">
        <v>183.2</v>
      </c>
      <c r="H286" s="73">
        <v>1616</v>
      </c>
      <c r="I286" s="73">
        <v>-171</v>
      </c>
      <c r="J286" s="73">
        <v>-65</v>
      </c>
      <c r="K286" s="73">
        <v>-412</v>
      </c>
      <c r="L286" s="73">
        <v>-105</v>
      </c>
      <c r="M286" s="73">
        <v>-55</v>
      </c>
      <c r="N286" s="73">
        <v>-75</v>
      </c>
      <c r="O286" s="73">
        <v>-41</v>
      </c>
      <c r="P286" s="73">
        <v>-121</v>
      </c>
      <c r="Q286" s="73">
        <v>-32</v>
      </c>
      <c r="R286" s="73">
        <v>0</v>
      </c>
      <c r="S286" s="73">
        <v>0</v>
      </c>
      <c r="T286" s="73">
        <v>0</v>
      </c>
      <c r="U286" s="73">
        <v>0</v>
      </c>
      <c r="V286" s="73">
        <v>0</v>
      </c>
      <c r="W286" s="73">
        <v>0</v>
      </c>
      <c r="X286" s="73">
        <v>0</v>
      </c>
      <c r="Y286" s="73">
        <v>0</v>
      </c>
      <c r="Z286" s="73">
        <v>1147</v>
      </c>
      <c r="AA286" s="73">
        <v>1523</v>
      </c>
      <c r="AB286" s="73">
        <v>0</v>
      </c>
      <c r="AC286" s="73">
        <v>0</v>
      </c>
      <c r="AD286" s="73">
        <v>0</v>
      </c>
      <c r="AE286" s="73">
        <v>0</v>
      </c>
      <c r="AF286" s="74">
        <f>tblData[[#This Row],[Gross Sales]]+tblData[[#This Row],[Trade Discounts]]+tblData[[#This Row],[Returns]]</f>
        <v>1380</v>
      </c>
      <c r="AG286" s="74">
        <f>tblData[[#This Row],[Material Cost]]+tblData[[#This Row],[Conversion Cost]]+tblData[[#This Row],[Inbound Freight]]</f>
        <v>-572</v>
      </c>
      <c r="AH286" s="74">
        <f>tblData[[#This Row],[Net Revenue]]+tblData[[#This Row],[COGS]]</f>
        <v>808</v>
      </c>
      <c r="AI286" s="74">
        <f>tblData[[#This Row],[Advertising]]+tblData[[#This Row],[Promotions]]</f>
        <v>-116</v>
      </c>
      <c r="AJ286" s="74">
        <f>tblData[[#This Row],[Outbound Logistics]]+tblData[[#This Row],[Direct Selling]]</f>
        <v>-153</v>
      </c>
      <c r="AK286" s="74">
        <f>tblData[[#This Row],[Gross Profit]]+tblData[[#This Row],[AP Spend]]+tblData[[#This Row],[Cost to Serve]]</f>
        <v>539</v>
      </c>
    </row>
    <row r="287" spans="2:37" x14ac:dyDescent="0.25">
      <c r="B287" s="71" t="s">
        <v>36</v>
      </c>
      <c r="C287" s="71">
        <v>2025</v>
      </c>
      <c r="D287" s="71">
        <v>7</v>
      </c>
      <c r="E287" s="71" t="s">
        <v>46</v>
      </c>
      <c r="F287" s="71" t="s">
        <v>40</v>
      </c>
      <c r="G287" s="72">
        <v>178.4</v>
      </c>
      <c r="H287" s="73">
        <v>1224</v>
      </c>
      <c r="I287" s="73">
        <v>-130</v>
      </c>
      <c r="J287" s="73">
        <v>-49</v>
      </c>
      <c r="K287" s="73">
        <v>-347</v>
      </c>
      <c r="L287" s="73">
        <v>-88</v>
      </c>
      <c r="M287" s="73">
        <v>-47</v>
      </c>
      <c r="N287" s="73">
        <v>-38</v>
      </c>
      <c r="O287" s="73">
        <v>-20</v>
      </c>
      <c r="P287" s="73">
        <v>-92</v>
      </c>
      <c r="Q287" s="73">
        <v>-24</v>
      </c>
      <c r="R287" s="73">
        <v>0</v>
      </c>
      <c r="S287" s="73">
        <v>0</v>
      </c>
      <c r="T287" s="73">
        <v>0</v>
      </c>
      <c r="U287" s="73">
        <v>0</v>
      </c>
      <c r="V287" s="73">
        <v>0</v>
      </c>
      <c r="W287" s="73">
        <v>0</v>
      </c>
      <c r="X287" s="73">
        <v>0</v>
      </c>
      <c r="Y287" s="73">
        <v>0</v>
      </c>
      <c r="Z287" s="73">
        <v>873</v>
      </c>
      <c r="AA287" s="73">
        <v>1208</v>
      </c>
      <c r="AB287" s="73">
        <v>0</v>
      </c>
      <c r="AC287" s="73">
        <v>0</v>
      </c>
      <c r="AD287" s="73">
        <v>0</v>
      </c>
      <c r="AE287" s="73">
        <v>0</v>
      </c>
      <c r="AF287" s="74">
        <f>tblData[[#This Row],[Gross Sales]]+tblData[[#This Row],[Trade Discounts]]+tblData[[#This Row],[Returns]]</f>
        <v>1045</v>
      </c>
      <c r="AG287" s="74">
        <f>tblData[[#This Row],[Material Cost]]+tblData[[#This Row],[Conversion Cost]]+tblData[[#This Row],[Inbound Freight]]</f>
        <v>-482</v>
      </c>
      <c r="AH287" s="74">
        <f>tblData[[#This Row],[Net Revenue]]+tblData[[#This Row],[COGS]]</f>
        <v>563</v>
      </c>
      <c r="AI287" s="74">
        <f>tblData[[#This Row],[Advertising]]+tblData[[#This Row],[Promotions]]</f>
        <v>-58</v>
      </c>
      <c r="AJ287" s="74">
        <f>tblData[[#This Row],[Outbound Logistics]]+tblData[[#This Row],[Direct Selling]]</f>
        <v>-116</v>
      </c>
      <c r="AK287" s="74">
        <f>tblData[[#This Row],[Gross Profit]]+tblData[[#This Row],[AP Spend]]+tblData[[#This Row],[Cost to Serve]]</f>
        <v>389</v>
      </c>
    </row>
    <row r="288" spans="2:37" x14ac:dyDescent="0.25">
      <c r="B288" s="71" t="s">
        <v>36</v>
      </c>
      <c r="C288" s="71">
        <v>2025</v>
      </c>
      <c r="D288" s="71">
        <v>7</v>
      </c>
      <c r="E288" s="71" t="s">
        <v>46</v>
      </c>
      <c r="F288" s="71" t="s">
        <v>41</v>
      </c>
      <c r="G288" s="72">
        <v>89.4</v>
      </c>
      <c r="H288" s="73">
        <v>963</v>
      </c>
      <c r="I288" s="73">
        <v>-102</v>
      </c>
      <c r="J288" s="73">
        <v>-39</v>
      </c>
      <c r="K288" s="73">
        <v>-225</v>
      </c>
      <c r="L288" s="73">
        <v>-57</v>
      </c>
      <c r="M288" s="73">
        <v>-30</v>
      </c>
      <c r="N288" s="73">
        <v>-81</v>
      </c>
      <c r="O288" s="73">
        <v>-43</v>
      </c>
      <c r="P288" s="73">
        <v>-72</v>
      </c>
      <c r="Q288" s="73">
        <v>-19</v>
      </c>
      <c r="R288" s="73">
        <v>0</v>
      </c>
      <c r="S288" s="73">
        <v>0</v>
      </c>
      <c r="T288" s="73">
        <v>0</v>
      </c>
      <c r="U288" s="73">
        <v>0</v>
      </c>
      <c r="V288" s="73">
        <v>0</v>
      </c>
      <c r="W288" s="73">
        <v>0</v>
      </c>
      <c r="X288" s="73">
        <v>0</v>
      </c>
      <c r="Y288" s="73">
        <v>0</v>
      </c>
      <c r="Z288" s="73">
        <v>688</v>
      </c>
      <c r="AA288" s="73">
        <v>942</v>
      </c>
      <c r="AB288" s="73">
        <v>0</v>
      </c>
      <c r="AC288" s="73">
        <v>0</v>
      </c>
      <c r="AD288" s="73">
        <v>0</v>
      </c>
      <c r="AE288" s="73">
        <v>0</v>
      </c>
      <c r="AF288" s="74">
        <f>tblData[[#This Row],[Gross Sales]]+tblData[[#This Row],[Trade Discounts]]+tblData[[#This Row],[Returns]]</f>
        <v>822</v>
      </c>
      <c r="AG288" s="74">
        <f>tblData[[#This Row],[Material Cost]]+tblData[[#This Row],[Conversion Cost]]+tblData[[#This Row],[Inbound Freight]]</f>
        <v>-312</v>
      </c>
      <c r="AH288" s="74">
        <f>tblData[[#This Row],[Net Revenue]]+tblData[[#This Row],[COGS]]</f>
        <v>510</v>
      </c>
      <c r="AI288" s="74">
        <f>tblData[[#This Row],[Advertising]]+tblData[[#This Row],[Promotions]]</f>
        <v>-124</v>
      </c>
      <c r="AJ288" s="74">
        <f>tblData[[#This Row],[Outbound Logistics]]+tblData[[#This Row],[Direct Selling]]</f>
        <v>-91</v>
      </c>
      <c r="AK288" s="74">
        <f>tblData[[#This Row],[Gross Profit]]+tblData[[#This Row],[AP Spend]]+tblData[[#This Row],[Cost to Serve]]</f>
        <v>295</v>
      </c>
    </row>
    <row r="289" spans="2:37" x14ac:dyDescent="0.25">
      <c r="B289" s="71" t="s">
        <v>36</v>
      </c>
      <c r="C289" s="71">
        <v>2025</v>
      </c>
      <c r="D289" s="71">
        <v>7</v>
      </c>
      <c r="E289" s="71" t="s">
        <v>46</v>
      </c>
      <c r="F289" s="71" t="s">
        <v>42</v>
      </c>
      <c r="G289" s="72">
        <v>119</v>
      </c>
      <c r="H289" s="73">
        <v>700</v>
      </c>
      <c r="I289" s="73">
        <v>-74</v>
      </c>
      <c r="J289" s="73">
        <v>-28</v>
      </c>
      <c r="K289" s="73">
        <v>-218</v>
      </c>
      <c r="L289" s="73">
        <v>-55</v>
      </c>
      <c r="M289" s="73">
        <v>-29</v>
      </c>
      <c r="N289" s="73">
        <v>-16</v>
      </c>
      <c r="O289" s="73">
        <v>-8</v>
      </c>
      <c r="P289" s="73">
        <v>-52</v>
      </c>
      <c r="Q289" s="73">
        <v>-14</v>
      </c>
      <c r="R289" s="73">
        <v>0</v>
      </c>
      <c r="S289" s="73">
        <v>0</v>
      </c>
      <c r="T289" s="73">
        <v>0</v>
      </c>
      <c r="U289" s="73">
        <v>0</v>
      </c>
      <c r="V289" s="73">
        <v>0</v>
      </c>
      <c r="W289" s="73">
        <v>0</v>
      </c>
      <c r="X289" s="73">
        <v>0</v>
      </c>
      <c r="Y289" s="73">
        <v>0</v>
      </c>
      <c r="Z289" s="73">
        <v>485</v>
      </c>
      <c r="AA289" s="73">
        <v>1083</v>
      </c>
      <c r="AB289" s="73">
        <v>0</v>
      </c>
      <c r="AC289" s="73">
        <v>0</v>
      </c>
      <c r="AD289" s="73">
        <v>0</v>
      </c>
      <c r="AE289" s="73">
        <v>0</v>
      </c>
      <c r="AF289" s="74">
        <f>tblData[[#This Row],[Gross Sales]]+tblData[[#This Row],[Trade Discounts]]+tblData[[#This Row],[Returns]]</f>
        <v>598</v>
      </c>
      <c r="AG289" s="74">
        <f>tblData[[#This Row],[Material Cost]]+tblData[[#This Row],[Conversion Cost]]+tblData[[#This Row],[Inbound Freight]]</f>
        <v>-302</v>
      </c>
      <c r="AH289" s="74">
        <f>tblData[[#This Row],[Net Revenue]]+tblData[[#This Row],[COGS]]</f>
        <v>296</v>
      </c>
      <c r="AI289" s="74">
        <f>tblData[[#This Row],[Advertising]]+tblData[[#This Row],[Promotions]]</f>
        <v>-24</v>
      </c>
      <c r="AJ289" s="74">
        <f>tblData[[#This Row],[Outbound Logistics]]+tblData[[#This Row],[Direct Selling]]</f>
        <v>-66</v>
      </c>
      <c r="AK289" s="74">
        <f>tblData[[#This Row],[Gross Profit]]+tblData[[#This Row],[AP Spend]]+tblData[[#This Row],[Cost to Serve]]</f>
        <v>206</v>
      </c>
    </row>
    <row r="290" spans="2:37" x14ac:dyDescent="0.25">
      <c r="B290" s="71" t="s">
        <v>36</v>
      </c>
      <c r="C290" s="71">
        <v>2025</v>
      </c>
      <c r="D290" s="71">
        <v>7</v>
      </c>
      <c r="E290" s="71" t="s">
        <v>46</v>
      </c>
      <c r="F290" s="71" t="s">
        <v>43</v>
      </c>
      <c r="G290" s="72">
        <v>23.2</v>
      </c>
      <c r="H290" s="73">
        <v>410</v>
      </c>
      <c r="I290" s="73">
        <v>-43</v>
      </c>
      <c r="J290" s="73">
        <v>-16</v>
      </c>
      <c r="K290" s="73">
        <v>-110</v>
      </c>
      <c r="L290" s="73">
        <v>-28</v>
      </c>
      <c r="M290" s="73">
        <v>-15</v>
      </c>
      <c r="N290" s="73">
        <v>-44</v>
      </c>
      <c r="O290" s="73">
        <v>-24</v>
      </c>
      <c r="P290" s="73">
        <v>-31</v>
      </c>
      <c r="Q290" s="73">
        <v>-8</v>
      </c>
      <c r="R290" s="73">
        <v>0</v>
      </c>
      <c r="S290" s="73">
        <v>0</v>
      </c>
      <c r="T290" s="73">
        <v>0</v>
      </c>
      <c r="U290" s="73">
        <v>0</v>
      </c>
      <c r="V290" s="73">
        <v>0</v>
      </c>
      <c r="W290" s="73">
        <v>0</v>
      </c>
      <c r="X290" s="73">
        <v>0</v>
      </c>
      <c r="Y290" s="73">
        <v>0</v>
      </c>
      <c r="Z290" s="73">
        <v>288</v>
      </c>
      <c r="AA290" s="73">
        <v>606</v>
      </c>
      <c r="AB290" s="73">
        <v>0</v>
      </c>
      <c r="AC290" s="73">
        <v>0</v>
      </c>
      <c r="AD290" s="73">
        <v>0</v>
      </c>
      <c r="AE290" s="73">
        <v>0</v>
      </c>
      <c r="AF290" s="74">
        <f>tblData[[#This Row],[Gross Sales]]+tblData[[#This Row],[Trade Discounts]]+tblData[[#This Row],[Returns]]</f>
        <v>351</v>
      </c>
      <c r="AG290" s="74">
        <f>tblData[[#This Row],[Material Cost]]+tblData[[#This Row],[Conversion Cost]]+tblData[[#This Row],[Inbound Freight]]</f>
        <v>-153</v>
      </c>
      <c r="AH290" s="74">
        <f>tblData[[#This Row],[Net Revenue]]+tblData[[#This Row],[COGS]]</f>
        <v>198</v>
      </c>
      <c r="AI290" s="74">
        <f>tblData[[#This Row],[Advertising]]+tblData[[#This Row],[Promotions]]</f>
        <v>-68</v>
      </c>
      <c r="AJ290" s="74">
        <f>tblData[[#This Row],[Outbound Logistics]]+tblData[[#This Row],[Direct Selling]]</f>
        <v>-39</v>
      </c>
      <c r="AK290" s="74">
        <f>tblData[[#This Row],[Gross Profit]]+tblData[[#This Row],[AP Spend]]+tblData[[#This Row],[Cost to Serve]]</f>
        <v>91</v>
      </c>
    </row>
    <row r="291" spans="2:37" x14ac:dyDescent="0.25">
      <c r="B291" s="71" t="s">
        <v>36</v>
      </c>
      <c r="C291" s="71">
        <v>2025</v>
      </c>
      <c r="D291" s="71">
        <v>7</v>
      </c>
      <c r="E291" s="71" t="s">
        <v>47</v>
      </c>
      <c r="F291" s="71" t="s">
        <v>38</v>
      </c>
      <c r="G291" s="72">
        <v>59.1</v>
      </c>
      <c r="H291" s="73">
        <v>811</v>
      </c>
      <c r="I291" s="73">
        <v>-21</v>
      </c>
      <c r="J291" s="73">
        <v>-41</v>
      </c>
      <c r="K291" s="73">
        <v>-172</v>
      </c>
      <c r="L291" s="73">
        <v>-44</v>
      </c>
      <c r="M291" s="73">
        <v>-23</v>
      </c>
      <c r="N291" s="73">
        <v>-50</v>
      </c>
      <c r="O291" s="73">
        <v>-27</v>
      </c>
      <c r="P291" s="73">
        <v>-97</v>
      </c>
      <c r="Q291" s="73">
        <v>-32</v>
      </c>
      <c r="R291" s="73">
        <v>0</v>
      </c>
      <c r="S291" s="73">
        <v>0</v>
      </c>
      <c r="T291" s="73">
        <v>0</v>
      </c>
      <c r="U291" s="73">
        <v>0</v>
      </c>
      <c r="V291" s="73">
        <v>0</v>
      </c>
      <c r="W291" s="73">
        <v>0</v>
      </c>
      <c r="X291" s="73">
        <v>0</v>
      </c>
      <c r="Y291" s="73">
        <v>0</v>
      </c>
      <c r="Z291" s="73">
        <v>74</v>
      </c>
      <c r="AA291" s="73">
        <v>747</v>
      </c>
      <c r="AB291" s="73">
        <v>0</v>
      </c>
      <c r="AC291" s="73">
        <v>0</v>
      </c>
      <c r="AD291" s="73">
        <v>0</v>
      </c>
      <c r="AE291" s="73">
        <v>0</v>
      </c>
      <c r="AF291" s="74">
        <f>tblData[[#This Row],[Gross Sales]]+tblData[[#This Row],[Trade Discounts]]+tblData[[#This Row],[Returns]]</f>
        <v>749</v>
      </c>
      <c r="AG291" s="74">
        <f>tblData[[#This Row],[Material Cost]]+tblData[[#This Row],[Conversion Cost]]+tblData[[#This Row],[Inbound Freight]]</f>
        <v>-239</v>
      </c>
      <c r="AH291" s="74">
        <f>tblData[[#This Row],[Net Revenue]]+tblData[[#This Row],[COGS]]</f>
        <v>510</v>
      </c>
      <c r="AI291" s="74">
        <f>tblData[[#This Row],[Advertising]]+tblData[[#This Row],[Promotions]]</f>
        <v>-77</v>
      </c>
      <c r="AJ291" s="74">
        <f>tblData[[#This Row],[Outbound Logistics]]+tblData[[#This Row],[Direct Selling]]</f>
        <v>-129</v>
      </c>
      <c r="AK291" s="74">
        <f>tblData[[#This Row],[Gross Profit]]+tblData[[#This Row],[AP Spend]]+tblData[[#This Row],[Cost to Serve]]</f>
        <v>304</v>
      </c>
    </row>
    <row r="292" spans="2:37" x14ac:dyDescent="0.25">
      <c r="B292" s="71" t="s">
        <v>36</v>
      </c>
      <c r="C292" s="71">
        <v>2025</v>
      </c>
      <c r="D292" s="71">
        <v>7</v>
      </c>
      <c r="E292" s="71" t="s">
        <v>47</v>
      </c>
      <c r="F292" s="71" t="s">
        <v>39</v>
      </c>
      <c r="G292" s="72">
        <v>77.2</v>
      </c>
      <c r="H292" s="73">
        <v>681</v>
      </c>
      <c r="I292" s="73">
        <v>-18</v>
      </c>
      <c r="J292" s="73">
        <v>-34</v>
      </c>
      <c r="K292" s="73">
        <v>-174</v>
      </c>
      <c r="L292" s="73">
        <v>-44</v>
      </c>
      <c r="M292" s="73">
        <v>-23</v>
      </c>
      <c r="N292" s="73">
        <v>-28</v>
      </c>
      <c r="O292" s="73">
        <v>-15</v>
      </c>
      <c r="P292" s="73">
        <v>-82</v>
      </c>
      <c r="Q292" s="73">
        <v>-27</v>
      </c>
      <c r="R292" s="73">
        <v>0</v>
      </c>
      <c r="S292" s="73">
        <v>0</v>
      </c>
      <c r="T292" s="73">
        <v>0</v>
      </c>
      <c r="U292" s="73">
        <v>0</v>
      </c>
      <c r="V292" s="73">
        <v>0</v>
      </c>
      <c r="W292" s="73">
        <v>0</v>
      </c>
      <c r="X292" s="73">
        <v>0</v>
      </c>
      <c r="Y292" s="73">
        <v>0</v>
      </c>
      <c r="Z292" s="73">
        <v>62</v>
      </c>
      <c r="AA292" s="73">
        <v>634</v>
      </c>
      <c r="AB292" s="73">
        <v>0</v>
      </c>
      <c r="AC292" s="73">
        <v>0</v>
      </c>
      <c r="AD292" s="73">
        <v>0</v>
      </c>
      <c r="AE292" s="73">
        <v>0</v>
      </c>
      <c r="AF292" s="74">
        <f>tblData[[#This Row],[Gross Sales]]+tblData[[#This Row],[Trade Discounts]]+tblData[[#This Row],[Returns]]</f>
        <v>629</v>
      </c>
      <c r="AG292" s="74">
        <f>tblData[[#This Row],[Material Cost]]+tblData[[#This Row],[Conversion Cost]]+tblData[[#This Row],[Inbound Freight]]</f>
        <v>-241</v>
      </c>
      <c r="AH292" s="74">
        <f>tblData[[#This Row],[Net Revenue]]+tblData[[#This Row],[COGS]]</f>
        <v>388</v>
      </c>
      <c r="AI292" s="74">
        <f>tblData[[#This Row],[Advertising]]+tblData[[#This Row],[Promotions]]</f>
        <v>-43</v>
      </c>
      <c r="AJ292" s="74">
        <f>tblData[[#This Row],[Outbound Logistics]]+tblData[[#This Row],[Direct Selling]]</f>
        <v>-109</v>
      </c>
      <c r="AK292" s="74">
        <f>tblData[[#This Row],[Gross Profit]]+tblData[[#This Row],[AP Spend]]+tblData[[#This Row],[Cost to Serve]]</f>
        <v>236</v>
      </c>
    </row>
    <row r="293" spans="2:37" x14ac:dyDescent="0.25">
      <c r="B293" s="71" t="s">
        <v>36</v>
      </c>
      <c r="C293" s="71">
        <v>2025</v>
      </c>
      <c r="D293" s="71">
        <v>7</v>
      </c>
      <c r="E293" s="71" t="s">
        <v>47</v>
      </c>
      <c r="F293" s="71" t="s">
        <v>40</v>
      </c>
      <c r="G293" s="72">
        <v>73.400000000000006</v>
      </c>
      <c r="H293" s="73">
        <v>503</v>
      </c>
      <c r="I293" s="73">
        <v>-13</v>
      </c>
      <c r="J293" s="73">
        <v>-25</v>
      </c>
      <c r="K293" s="73">
        <v>-143</v>
      </c>
      <c r="L293" s="73">
        <v>-36</v>
      </c>
      <c r="M293" s="73">
        <v>-19</v>
      </c>
      <c r="N293" s="73">
        <v>-14</v>
      </c>
      <c r="O293" s="73">
        <v>-8</v>
      </c>
      <c r="P293" s="73">
        <v>-60</v>
      </c>
      <c r="Q293" s="73">
        <v>-20</v>
      </c>
      <c r="R293" s="73">
        <v>0</v>
      </c>
      <c r="S293" s="73">
        <v>0</v>
      </c>
      <c r="T293" s="73">
        <v>0</v>
      </c>
      <c r="U293" s="73">
        <v>0</v>
      </c>
      <c r="V293" s="73">
        <v>0</v>
      </c>
      <c r="W293" s="73">
        <v>0</v>
      </c>
      <c r="X293" s="73">
        <v>0</v>
      </c>
      <c r="Y293" s="73">
        <v>0</v>
      </c>
      <c r="Z293" s="73">
        <v>47</v>
      </c>
      <c r="AA293" s="73">
        <v>499</v>
      </c>
      <c r="AB293" s="73">
        <v>0</v>
      </c>
      <c r="AC293" s="73">
        <v>0</v>
      </c>
      <c r="AD293" s="73">
        <v>0</v>
      </c>
      <c r="AE293" s="73">
        <v>0</v>
      </c>
      <c r="AF293" s="74">
        <f>tblData[[#This Row],[Gross Sales]]+tblData[[#This Row],[Trade Discounts]]+tblData[[#This Row],[Returns]]</f>
        <v>465</v>
      </c>
      <c r="AG293" s="74">
        <f>tblData[[#This Row],[Material Cost]]+tblData[[#This Row],[Conversion Cost]]+tblData[[#This Row],[Inbound Freight]]</f>
        <v>-198</v>
      </c>
      <c r="AH293" s="74">
        <f>tblData[[#This Row],[Net Revenue]]+tblData[[#This Row],[COGS]]</f>
        <v>267</v>
      </c>
      <c r="AI293" s="74">
        <f>tblData[[#This Row],[Advertising]]+tblData[[#This Row],[Promotions]]</f>
        <v>-22</v>
      </c>
      <c r="AJ293" s="74">
        <f>tblData[[#This Row],[Outbound Logistics]]+tblData[[#This Row],[Direct Selling]]</f>
        <v>-80</v>
      </c>
      <c r="AK293" s="74">
        <f>tblData[[#This Row],[Gross Profit]]+tblData[[#This Row],[AP Spend]]+tblData[[#This Row],[Cost to Serve]]</f>
        <v>165</v>
      </c>
    </row>
    <row r="294" spans="2:37" x14ac:dyDescent="0.25">
      <c r="B294" s="71" t="s">
        <v>36</v>
      </c>
      <c r="C294" s="71">
        <v>2025</v>
      </c>
      <c r="D294" s="71">
        <v>7</v>
      </c>
      <c r="E294" s="71" t="s">
        <v>47</v>
      </c>
      <c r="F294" s="71" t="s">
        <v>41</v>
      </c>
      <c r="G294" s="72">
        <v>37.4</v>
      </c>
      <c r="H294" s="73">
        <v>404</v>
      </c>
      <c r="I294" s="73">
        <v>-10</v>
      </c>
      <c r="J294" s="73">
        <v>-20</v>
      </c>
      <c r="K294" s="73">
        <v>-94</v>
      </c>
      <c r="L294" s="73">
        <v>-24</v>
      </c>
      <c r="M294" s="73">
        <v>-13</v>
      </c>
      <c r="N294" s="73">
        <v>-30</v>
      </c>
      <c r="O294" s="73">
        <v>-16</v>
      </c>
      <c r="P294" s="73">
        <v>-48</v>
      </c>
      <c r="Q294" s="73">
        <v>-16</v>
      </c>
      <c r="R294" s="73">
        <v>0</v>
      </c>
      <c r="S294" s="73">
        <v>0</v>
      </c>
      <c r="T294" s="73">
        <v>0</v>
      </c>
      <c r="U294" s="73">
        <v>0</v>
      </c>
      <c r="V294" s="73">
        <v>0</v>
      </c>
      <c r="W294" s="73">
        <v>0</v>
      </c>
      <c r="X294" s="73">
        <v>0</v>
      </c>
      <c r="Y294" s="73">
        <v>0</v>
      </c>
      <c r="Z294" s="73">
        <v>37</v>
      </c>
      <c r="AA294" s="73">
        <v>386</v>
      </c>
      <c r="AB294" s="73">
        <v>0</v>
      </c>
      <c r="AC294" s="73">
        <v>0</v>
      </c>
      <c r="AD294" s="73">
        <v>0</v>
      </c>
      <c r="AE294" s="73">
        <v>0</v>
      </c>
      <c r="AF294" s="74">
        <f>tblData[[#This Row],[Gross Sales]]+tblData[[#This Row],[Trade Discounts]]+tblData[[#This Row],[Returns]]</f>
        <v>374</v>
      </c>
      <c r="AG294" s="74">
        <f>tblData[[#This Row],[Material Cost]]+tblData[[#This Row],[Conversion Cost]]+tblData[[#This Row],[Inbound Freight]]</f>
        <v>-131</v>
      </c>
      <c r="AH294" s="74">
        <f>tblData[[#This Row],[Net Revenue]]+tblData[[#This Row],[COGS]]</f>
        <v>243</v>
      </c>
      <c r="AI294" s="74">
        <f>tblData[[#This Row],[Advertising]]+tblData[[#This Row],[Promotions]]</f>
        <v>-46</v>
      </c>
      <c r="AJ294" s="74">
        <f>tblData[[#This Row],[Outbound Logistics]]+tblData[[#This Row],[Direct Selling]]</f>
        <v>-64</v>
      </c>
      <c r="AK294" s="74">
        <f>tblData[[#This Row],[Gross Profit]]+tblData[[#This Row],[AP Spend]]+tblData[[#This Row],[Cost to Serve]]</f>
        <v>133</v>
      </c>
    </row>
    <row r="295" spans="2:37" x14ac:dyDescent="0.25">
      <c r="B295" s="71" t="s">
        <v>36</v>
      </c>
      <c r="C295" s="71">
        <v>2025</v>
      </c>
      <c r="D295" s="71">
        <v>7</v>
      </c>
      <c r="E295" s="71" t="s">
        <v>47</v>
      </c>
      <c r="F295" s="71" t="s">
        <v>42</v>
      </c>
      <c r="G295" s="72">
        <v>48.6</v>
      </c>
      <c r="H295" s="73">
        <v>286</v>
      </c>
      <c r="I295" s="73">
        <v>-7</v>
      </c>
      <c r="J295" s="73">
        <v>-14</v>
      </c>
      <c r="K295" s="73">
        <v>-89</v>
      </c>
      <c r="L295" s="73">
        <v>-23</v>
      </c>
      <c r="M295" s="73">
        <v>-12</v>
      </c>
      <c r="N295" s="73">
        <v>-6</v>
      </c>
      <c r="O295" s="73">
        <v>-3</v>
      </c>
      <c r="P295" s="73">
        <v>-34</v>
      </c>
      <c r="Q295" s="73">
        <v>-11</v>
      </c>
      <c r="R295" s="73">
        <v>0</v>
      </c>
      <c r="S295" s="73">
        <v>0</v>
      </c>
      <c r="T295" s="73">
        <v>0</v>
      </c>
      <c r="U295" s="73">
        <v>0</v>
      </c>
      <c r="V295" s="73">
        <v>0</v>
      </c>
      <c r="W295" s="73">
        <v>0</v>
      </c>
      <c r="X295" s="73">
        <v>0</v>
      </c>
      <c r="Y295" s="73">
        <v>0</v>
      </c>
      <c r="Z295" s="73">
        <v>26</v>
      </c>
      <c r="AA295" s="73">
        <v>444</v>
      </c>
      <c r="AB295" s="73">
        <v>0</v>
      </c>
      <c r="AC295" s="73">
        <v>0</v>
      </c>
      <c r="AD295" s="73">
        <v>0</v>
      </c>
      <c r="AE295" s="73">
        <v>0</v>
      </c>
      <c r="AF295" s="74">
        <f>tblData[[#This Row],[Gross Sales]]+tblData[[#This Row],[Trade Discounts]]+tblData[[#This Row],[Returns]]</f>
        <v>265</v>
      </c>
      <c r="AG295" s="74">
        <f>tblData[[#This Row],[Material Cost]]+tblData[[#This Row],[Conversion Cost]]+tblData[[#This Row],[Inbound Freight]]</f>
        <v>-124</v>
      </c>
      <c r="AH295" s="74">
        <f>tblData[[#This Row],[Net Revenue]]+tblData[[#This Row],[COGS]]</f>
        <v>141</v>
      </c>
      <c r="AI295" s="74">
        <f>tblData[[#This Row],[Advertising]]+tblData[[#This Row],[Promotions]]</f>
        <v>-9</v>
      </c>
      <c r="AJ295" s="74">
        <f>tblData[[#This Row],[Outbound Logistics]]+tblData[[#This Row],[Direct Selling]]</f>
        <v>-45</v>
      </c>
      <c r="AK295" s="74">
        <f>tblData[[#This Row],[Gross Profit]]+tblData[[#This Row],[AP Spend]]+tblData[[#This Row],[Cost to Serve]]</f>
        <v>87</v>
      </c>
    </row>
    <row r="296" spans="2:37" x14ac:dyDescent="0.25">
      <c r="B296" s="71" t="s">
        <v>36</v>
      </c>
      <c r="C296" s="71">
        <v>2025</v>
      </c>
      <c r="D296" s="71">
        <v>7</v>
      </c>
      <c r="E296" s="71" t="s">
        <v>47</v>
      </c>
      <c r="F296" s="71" t="s">
        <v>43</v>
      </c>
      <c r="G296" s="72">
        <v>9.6999999999999993</v>
      </c>
      <c r="H296" s="73">
        <v>170</v>
      </c>
      <c r="I296" s="73">
        <v>-4</v>
      </c>
      <c r="J296" s="73">
        <v>-9</v>
      </c>
      <c r="K296" s="73">
        <v>-46</v>
      </c>
      <c r="L296" s="73">
        <v>-12</v>
      </c>
      <c r="M296" s="73">
        <v>-6</v>
      </c>
      <c r="N296" s="73">
        <v>-17</v>
      </c>
      <c r="O296" s="73">
        <v>-9</v>
      </c>
      <c r="P296" s="73">
        <v>-20</v>
      </c>
      <c r="Q296" s="73">
        <v>-7</v>
      </c>
      <c r="R296" s="73">
        <v>0</v>
      </c>
      <c r="S296" s="73">
        <v>0</v>
      </c>
      <c r="T296" s="73">
        <v>0</v>
      </c>
      <c r="U296" s="73">
        <v>0</v>
      </c>
      <c r="V296" s="73">
        <v>0</v>
      </c>
      <c r="W296" s="73">
        <v>0</v>
      </c>
      <c r="X296" s="73">
        <v>0</v>
      </c>
      <c r="Y296" s="73">
        <v>0</v>
      </c>
      <c r="Z296" s="73">
        <v>15</v>
      </c>
      <c r="AA296" s="73">
        <v>249</v>
      </c>
      <c r="AB296" s="73">
        <v>0</v>
      </c>
      <c r="AC296" s="73">
        <v>0</v>
      </c>
      <c r="AD296" s="73">
        <v>0</v>
      </c>
      <c r="AE296" s="73">
        <v>0</v>
      </c>
      <c r="AF296" s="74">
        <f>tblData[[#This Row],[Gross Sales]]+tblData[[#This Row],[Trade Discounts]]+tblData[[#This Row],[Returns]]</f>
        <v>157</v>
      </c>
      <c r="AG296" s="74">
        <f>tblData[[#This Row],[Material Cost]]+tblData[[#This Row],[Conversion Cost]]+tblData[[#This Row],[Inbound Freight]]</f>
        <v>-64</v>
      </c>
      <c r="AH296" s="74">
        <f>tblData[[#This Row],[Net Revenue]]+tblData[[#This Row],[COGS]]</f>
        <v>93</v>
      </c>
      <c r="AI296" s="74">
        <f>tblData[[#This Row],[Advertising]]+tblData[[#This Row],[Promotions]]</f>
        <v>-26</v>
      </c>
      <c r="AJ296" s="74">
        <f>tblData[[#This Row],[Outbound Logistics]]+tblData[[#This Row],[Direct Selling]]</f>
        <v>-27</v>
      </c>
      <c r="AK296" s="74">
        <f>tblData[[#This Row],[Gross Profit]]+tblData[[#This Row],[AP Spend]]+tblData[[#This Row],[Cost to Serve]]</f>
        <v>40</v>
      </c>
    </row>
    <row r="297" spans="2:37" x14ac:dyDescent="0.25">
      <c r="B297" s="71" t="s">
        <v>36</v>
      </c>
      <c r="C297" s="71">
        <v>2025</v>
      </c>
      <c r="D297" s="71">
        <v>7</v>
      </c>
      <c r="E297" s="71" t="s">
        <v>48</v>
      </c>
      <c r="F297" s="71" t="s">
        <v>38</v>
      </c>
      <c r="G297" s="72">
        <v>96.4</v>
      </c>
      <c r="H297" s="73">
        <v>1322</v>
      </c>
      <c r="I297" s="73">
        <v>-114</v>
      </c>
      <c r="J297" s="73">
        <v>-13</v>
      </c>
      <c r="K297" s="73">
        <v>-281</v>
      </c>
      <c r="L297" s="73">
        <v>-71</v>
      </c>
      <c r="M297" s="73">
        <v>-38</v>
      </c>
      <c r="N297" s="73">
        <v>-83</v>
      </c>
      <c r="O297" s="73">
        <v>-44</v>
      </c>
      <c r="P297" s="73">
        <v>-40</v>
      </c>
      <c r="Q297" s="73">
        <v>-20</v>
      </c>
      <c r="R297" s="73">
        <v>0</v>
      </c>
      <c r="S297" s="73">
        <v>0</v>
      </c>
      <c r="T297" s="73">
        <v>0</v>
      </c>
      <c r="U297" s="73">
        <v>0</v>
      </c>
      <c r="V297" s="73">
        <v>0</v>
      </c>
      <c r="W297" s="73">
        <v>0</v>
      </c>
      <c r="X297" s="73">
        <v>0</v>
      </c>
      <c r="Y297" s="73">
        <v>0</v>
      </c>
      <c r="Z297" s="73">
        <v>2725</v>
      </c>
      <c r="AA297" s="73">
        <v>1208</v>
      </c>
      <c r="AB297" s="73">
        <v>0</v>
      </c>
      <c r="AC297" s="73">
        <v>0</v>
      </c>
      <c r="AD297" s="73">
        <v>0</v>
      </c>
      <c r="AE297" s="73">
        <v>0</v>
      </c>
      <c r="AF297" s="74">
        <f>tblData[[#This Row],[Gross Sales]]+tblData[[#This Row],[Trade Discounts]]+tblData[[#This Row],[Returns]]</f>
        <v>1195</v>
      </c>
      <c r="AG297" s="74">
        <f>tblData[[#This Row],[Material Cost]]+tblData[[#This Row],[Conversion Cost]]+tblData[[#This Row],[Inbound Freight]]</f>
        <v>-390</v>
      </c>
      <c r="AH297" s="74">
        <f>tblData[[#This Row],[Net Revenue]]+tblData[[#This Row],[COGS]]</f>
        <v>805</v>
      </c>
      <c r="AI297" s="74">
        <f>tblData[[#This Row],[Advertising]]+tblData[[#This Row],[Promotions]]</f>
        <v>-127</v>
      </c>
      <c r="AJ297" s="74">
        <f>tblData[[#This Row],[Outbound Logistics]]+tblData[[#This Row],[Direct Selling]]</f>
        <v>-60</v>
      </c>
      <c r="AK297" s="74">
        <f>tblData[[#This Row],[Gross Profit]]+tblData[[#This Row],[AP Spend]]+tblData[[#This Row],[Cost to Serve]]</f>
        <v>618</v>
      </c>
    </row>
    <row r="298" spans="2:37" x14ac:dyDescent="0.25">
      <c r="B298" s="71" t="s">
        <v>36</v>
      </c>
      <c r="C298" s="71">
        <v>2025</v>
      </c>
      <c r="D298" s="71">
        <v>7</v>
      </c>
      <c r="E298" s="71" t="s">
        <v>48</v>
      </c>
      <c r="F298" s="71" t="s">
        <v>39</v>
      </c>
      <c r="G298" s="72">
        <v>129</v>
      </c>
      <c r="H298" s="73">
        <v>1138</v>
      </c>
      <c r="I298" s="73">
        <v>-98</v>
      </c>
      <c r="J298" s="73">
        <v>-11</v>
      </c>
      <c r="K298" s="73">
        <v>-290</v>
      </c>
      <c r="L298" s="73">
        <v>-74</v>
      </c>
      <c r="M298" s="73">
        <v>-39</v>
      </c>
      <c r="N298" s="73">
        <v>-47</v>
      </c>
      <c r="O298" s="73">
        <v>-25</v>
      </c>
      <c r="P298" s="73">
        <v>-34</v>
      </c>
      <c r="Q298" s="73">
        <v>-17</v>
      </c>
      <c r="R298" s="73">
        <v>0</v>
      </c>
      <c r="S298" s="73">
        <v>0</v>
      </c>
      <c r="T298" s="73">
        <v>0</v>
      </c>
      <c r="U298" s="73">
        <v>0</v>
      </c>
      <c r="V298" s="73">
        <v>0</v>
      </c>
      <c r="W298" s="73">
        <v>0</v>
      </c>
      <c r="X298" s="73">
        <v>0</v>
      </c>
      <c r="Y298" s="73">
        <v>0</v>
      </c>
      <c r="Z298" s="73">
        <v>2362</v>
      </c>
      <c r="AA298" s="73">
        <v>1058</v>
      </c>
      <c r="AB298" s="73">
        <v>0</v>
      </c>
      <c r="AC298" s="73">
        <v>0</v>
      </c>
      <c r="AD298" s="73">
        <v>0</v>
      </c>
      <c r="AE298" s="73">
        <v>0</v>
      </c>
      <c r="AF298" s="74">
        <f>tblData[[#This Row],[Gross Sales]]+tblData[[#This Row],[Trade Discounts]]+tblData[[#This Row],[Returns]]</f>
        <v>1029</v>
      </c>
      <c r="AG298" s="74">
        <f>tblData[[#This Row],[Material Cost]]+tblData[[#This Row],[Conversion Cost]]+tblData[[#This Row],[Inbound Freight]]</f>
        <v>-403</v>
      </c>
      <c r="AH298" s="74">
        <f>tblData[[#This Row],[Net Revenue]]+tblData[[#This Row],[COGS]]</f>
        <v>626</v>
      </c>
      <c r="AI298" s="74">
        <f>tblData[[#This Row],[Advertising]]+tblData[[#This Row],[Promotions]]</f>
        <v>-72</v>
      </c>
      <c r="AJ298" s="74">
        <f>tblData[[#This Row],[Outbound Logistics]]+tblData[[#This Row],[Direct Selling]]</f>
        <v>-51</v>
      </c>
      <c r="AK298" s="74">
        <f>tblData[[#This Row],[Gross Profit]]+tblData[[#This Row],[AP Spend]]+tblData[[#This Row],[Cost to Serve]]</f>
        <v>503</v>
      </c>
    </row>
    <row r="299" spans="2:37" x14ac:dyDescent="0.25">
      <c r="B299" s="71" t="s">
        <v>36</v>
      </c>
      <c r="C299" s="71">
        <v>2025</v>
      </c>
      <c r="D299" s="71">
        <v>7</v>
      </c>
      <c r="E299" s="71" t="s">
        <v>48</v>
      </c>
      <c r="F299" s="71" t="s">
        <v>40</v>
      </c>
      <c r="G299" s="72">
        <v>119.1</v>
      </c>
      <c r="H299" s="73">
        <v>817</v>
      </c>
      <c r="I299" s="73">
        <v>-70</v>
      </c>
      <c r="J299" s="73">
        <v>-8</v>
      </c>
      <c r="K299" s="73">
        <v>-232</v>
      </c>
      <c r="L299" s="73">
        <v>-59</v>
      </c>
      <c r="M299" s="73">
        <v>-31</v>
      </c>
      <c r="N299" s="73">
        <v>-24</v>
      </c>
      <c r="O299" s="73">
        <v>-13</v>
      </c>
      <c r="P299" s="73">
        <v>-25</v>
      </c>
      <c r="Q299" s="73">
        <v>-12</v>
      </c>
      <c r="R299" s="73">
        <v>0</v>
      </c>
      <c r="S299" s="73">
        <v>0</v>
      </c>
      <c r="T299" s="73">
        <v>0</v>
      </c>
      <c r="U299" s="73">
        <v>0</v>
      </c>
      <c r="V299" s="73">
        <v>0</v>
      </c>
      <c r="W299" s="73">
        <v>0</v>
      </c>
      <c r="X299" s="73">
        <v>0</v>
      </c>
      <c r="Y299" s="73">
        <v>0</v>
      </c>
      <c r="Z299" s="73">
        <v>1773</v>
      </c>
      <c r="AA299" s="73">
        <v>827</v>
      </c>
      <c r="AB299" s="73">
        <v>0</v>
      </c>
      <c r="AC299" s="73">
        <v>0</v>
      </c>
      <c r="AD299" s="73">
        <v>0</v>
      </c>
      <c r="AE299" s="73">
        <v>0</v>
      </c>
      <c r="AF299" s="74">
        <f>tblData[[#This Row],[Gross Sales]]+tblData[[#This Row],[Trade Discounts]]+tblData[[#This Row],[Returns]]</f>
        <v>739</v>
      </c>
      <c r="AG299" s="74">
        <f>tblData[[#This Row],[Material Cost]]+tblData[[#This Row],[Conversion Cost]]+tblData[[#This Row],[Inbound Freight]]</f>
        <v>-322</v>
      </c>
      <c r="AH299" s="74">
        <f>tblData[[#This Row],[Net Revenue]]+tblData[[#This Row],[COGS]]</f>
        <v>417</v>
      </c>
      <c r="AI299" s="74">
        <f>tblData[[#This Row],[Advertising]]+tblData[[#This Row],[Promotions]]</f>
        <v>-37</v>
      </c>
      <c r="AJ299" s="74">
        <f>tblData[[#This Row],[Outbound Logistics]]+tblData[[#This Row],[Direct Selling]]</f>
        <v>-37</v>
      </c>
      <c r="AK299" s="74">
        <f>tblData[[#This Row],[Gross Profit]]+tblData[[#This Row],[AP Spend]]+tblData[[#This Row],[Cost to Serve]]</f>
        <v>343</v>
      </c>
    </row>
    <row r="300" spans="2:37" x14ac:dyDescent="0.25">
      <c r="B300" s="71" t="s">
        <v>36</v>
      </c>
      <c r="C300" s="71">
        <v>2025</v>
      </c>
      <c r="D300" s="71">
        <v>7</v>
      </c>
      <c r="E300" s="71" t="s">
        <v>48</v>
      </c>
      <c r="F300" s="71" t="s">
        <v>41</v>
      </c>
      <c r="G300" s="72">
        <v>60.1</v>
      </c>
      <c r="H300" s="73">
        <v>648</v>
      </c>
      <c r="I300" s="73">
        <v>-56</v>
      </c>
      <c r="J300" s="73">
        <v>-6</v>
      </c>
      <c r="K300" s="73">
        <v>-152</v>
      </c>
      <c r="L300" s="73">
        <v>-38</v>
      </c>
      <c r="M300" s="73">
        <v>-20</v>
      </c>
      <c r="N300" s="73">
        <v>-50</v>
      </c>
      <c r="O300" s="73">
        <v>-27</v>
      </c>
      <c r="P300" s="73">
        <v>-19</v>
      </c>
      <c r="Q300" s="73">
        <v>-10</v>
      </c>
      <c r="R300" s="73">
        <v>0</v>
      </c>
      <c r="S300" s="73">
        <v>0</v>
      </c>
      <c r="T300" s="73">
        <v>0</v>
      </c>
      <c r="U300" s="73">
        <v>0</v>
      </c>
      <c r="V300" s="73">
        <v>0</v>
      </c>
      <c r="W300" s="73">
        <v>0</v>
      </c>
      <c r="X300" s="73">
        <v>0</v>
      </c>
      <c r="Y300" s="73">
        <v>0</v>
      </c>
      <c r="Z300" s="73">
        <v>1362</v>
      </c>
      <c r="AA300" s="73">
        <v>629</v>
      </c>
      <c r="AB300" s="73">
        <v>0</v>
      </c>
      <c r="AC300" s="73">
        <v>0</v>
      </c>
      <c r="AD300" s="73">
        <v>0</v>
      </c>
      <c r="AE300" s="73">
        <v>0</v>
      </c>
      <c r="AF300" s="74">
        <f>tblData[[#This Row],[Gross Sales]]+tblData[[#This Row],[Trade Discounts]]+tblData[[#This Row],[Returns]]</f>
        <v>586</v>
      </c>
      <c r="AG300" s="74">
        <f>tblData[[#This Row],[Material Cost]]+tblData[[#This Row],[Conversion Cost]]+tblData[[#This Row],[Inbound Freight]]</f>
        <v>-210</v>
      </c>
      <c r="AH300" s="74">
        <f>tblData[[#This Row],[Net Revenue]]+tblData[[#This Row],[COGS]]</f>
        <v>376</v>
      </c>
      <c r="AI300" s="74">
        <f>tblData[[#This Row],[Advertising]]+tblData[[#This Row],[Promotions]]</f>
        <v>-77</v>
      </c>
      <c r="AJ300" s="74">
        <f>tblData[[#This Row],[Outbound Logistics]]+tblData[[#This Row],[Direct Selling]]</f>
        <v>-29</v>
      </c>
      <c r="AK300" s="74">
        <f>tblData[[#This Row],[Gross Profit]]+tblData[[#This Row],[AP Spend]]+tblData[[#This Row],[Cost to Serve]]</f>
        <v>270</v>
      </c>
    </row>
    <row r="301" spans="2:37" x14ac:dyDescent="0.25">
      <c r="B301" s="71" t="s">
        <v>36</v>
      </c>
      <c r="C301" s="71">
        <v>2025</v>
      </c>
      <c r="D301" s="71">
        <v>7</v>
      </c>
      <c r="E301" s="71" t="s">
        <v>48</v>
      </c>
      <c r="F301" s="71" t="s">
        <v>42</v>
      </c>
      <c r="G301" s="72">
        <v>80.7</v>
      </c>
      <c r="H301" s="73">
        <v>474</v>
      </c>
      <c r="I301" s="73">
        <v>-41</v>
      </c>
      <c r="J301" s="73">
        <v>-5</v>
      </c>
      <c r="K301" s="73">
        <v>-148</v>
      </c>
      <c r="L301" s="73">
        <v>-38</v>
      </c>
      <c r="M301" s="73">
        <v>-20</v>
      </c>
      <c r="N301" s="73">
        <v>-10</v>
      </c>
      <c r="O301" s="73">
        <v>-5</v>
      </c>
      <c r="P301" s="73">
        <v>-14</v>
      </c>
      <c r="Q301" s="73">
        <v>-7</v>
      </c>
      <c r="R301" s="73">
        <v>0</v>
      </c>
      <c r="S301" s="73">
        <v>0</v>
      </c>
      <c r="T301" s="73">
        <v>0</v>
      </c>
      <c r="U301" s="73">
        <v>0</v>
      </c>
      <c r="V301" s="73">
        <v>0</v>
      </c>
      <c r="W301" s="73">
        <v>0</v>
      </c>
      <c r="X301" s="73">
        <v>0</v>
      </c>
      <c r="Y301" s="73">
        <v>0</v>
      </c>
      <c r="Z301" s="73">
        <v>981</v>
      </c>
      <c r="AA301" s="73">
        <v>739</v>
      </c>
      <c r="AB301" s="73">
        <v>0</v>
      </c>
      <c r="AC301" s="73">
        <v>0</v>
      </c>
      <c r="AD301" s="73">
        <v>0</v>
      </c>
      <c r="AE301" s="73">
        <v>0</v>
      </c>
      <c r="AF301" s="74">
        <f>tblData[[#This Row],[Gross Sales]]+tblData[[#This Row],[Trade Discounts]]+tblData[[#This Row],[Returns]]</f>
        <v>428</v>
      </c>
      <c r="AG301" s="74">
        <f>tblData[[#This Row],[Material Cost]]+tblData[[#This Row],[Conversion Cost]]+tblData[[#This Row],[Inbound Freight]]</f>
        <v>-206</v>
      </c>
      <c r="AH301" s="74">
        <f>tblData[[#This Row],[Net Revenue]]+tblData[[#This Row],[COGS]]</f>
        <v>222</v>
      </c>
      <c r="AI301" s="74">
        <f>tblData[[#This Row],[Advertising]]+tblData[[#This Row],[Promotions]]</f>
        <v>-15</v>
      </c>
      <c r="AJ301" s="74">
        <f>tblData[[#This Row],[Outbound Logistics]]+tblData[[#This Row],[Direct Selling]]</f>
        <v>-21</v>
      </c>
      <c r="AK301" s="74">
        <f>tblData[[#This Row],[Gross Profit]]+tblData[[#This Row],[AP Spend]]+tblData[[#This Row],[Cost to Serve]]</f>
        <v>186</v>
      </c>
    </row>
    <row r="302" spans="2:37" x14ac:dyDescent="0.25">
      <c r="B302" s="71" t="s">
        <v>36</v>
      </c>
      <c r="C302" s="71">
        <v>2025</v>
      </c>
      <c r="D302" s="71">
        <v>7</v>
      </c>
      <c r="E302" s="71" t="s">
        <v>48</v>
      </c>
      <c r="F302" s="71" t="s">
        <v>43</v>
      </c>
      <c r="G302" s="72">
        <v>15.8</v>
      </c>
      <c r="H302" s="73">
        <v>279</v>
      </c>
      <c r="I302" s="73">
        <v>-24</v>
      </c>
      <c r="J302" s="73">
        <v>-3</v>
      </c>
      <c r="K302" s="73">
        <v>-75</v>
      </c>
      <c r="L302" s="73">
        <v>-19</v>
      </c>
      <c r="M302" s="73">
        <v>-10</v>
      </c>
      <c r="N302" s="73">
        <v>-28</v>
      </c>
      <c r="O302" s="73">
        <v>-15</v>
      </c>
      <c r="P302" s="73">
        <v>-8</v>
      </c>
      <c r="Q302" s="73">
        <v>-4</v>
      </c>
      <c r="R302" s="73">
        <v>0</v>
      </c>
      <c r="S302" s="73">
        <v>0</v>
      </c>
      <c r="T302" s="73">
        <v>0</v>
      </c>
      <c r="U302" s="73">
        <v>0</v>
      </c>
      <c r="V302" s="73">
        <v>0</v>
      </c>
      <c r="W302" s="73">
        <v>0</v>
      </c>
      <c r="X302" s="73">
        <v>0</v>
      </c>
      <c r="Y302" s="73">
        <v>0</v>
      </c>
      <c r="Z302" s="73">
        <v>591</v>
      </c>
      <c r="AA302" s="73">
        <v>419</v>
      </c>
      <c r="AB302" s="73">
        <v>0</v>
      </c>
      <c r="AC302" s="73">
        <v>0</v>
      </c>
      <c r="AD302" s="73">
        <v>0</v>
      </c>
      <c r="AE302" s="73">
        <v>0</v>
      </c>
      <c r="AF302" s="74">
        <f>tblData[[#This Row],[Gross Sales]]+tblData[[#This Row],[Trade Discounts]]+tblData[[#This Row],[Returns]]</f>
        <v>252</v>
      </c>
      <c r="AG302" s="74">
        <f>tblData[[#This Row],[Material Cost]]+tblData[[#This Row],[Conversion Cost]]+tblData[[#This Row],[Inbound Freight]]</f>
        <v>-104</v>
      </c>
      <c r="AH302" s="74">
        <f>tblData[[#This Row],[Net Revenue]]+tblData[[#This Row],[COGS]]</f>
        <v>148</v>
      </c>
      <c r="AI302" s="74">
        <f>tblData[[#This Row],[Advertising]]+tblData[[#This Row],[Promotions]]</f>
        <v>-43</v>
      </c>
      <c r="AJ302" s="74">
        <f>tblData[[#This Row],[Outbound Logistics]]+tblData[[#This Row],[Direct Selling]]</f>
        <v>-12</v>
      </c>
      <c r="AK302" s="74">
        <f>tblData[[#This Row],[Gross Profit]]+tblData[[#This Row],[AP Spend]]+tblData[[#This Row],[Cost to Serve]]</f>
        <v>93</v>
      </c>
    </row>
    <row r="303" spans="2:37" x14ac:dyDescent="0.25">
      <c r="B303" s="71" t="s">
        <v>36</v>
      </c>
      <c r="C303" s="71">
        <v>2025</v>
      </c>
      <c r="D303" s="71">
        <v>7</v>
      </c>
      <c r="E303" s="71" t="s">
        <v>49</v>
      </c>
      <c r="F303" s="71" t="s">
        <v>49</v>
      </c>
      <c r="G303" s="72">
        <v>0</v>
      </c>
      <c r="H303" s="73">
        <v>0</v>
      </c>
      <c r="I303" s="73">
        <v>0</v>
      </c>
      <c r="J303" s="73">
        <v>0</v>
      </c>
      <c r="K303" s="73">
        <v>0</v>
      </c>
      <c r="L303" s="73">
        <v>0</v>
      </c>
      <c r="M303" s="73">
        <v>0</v>
      </c>
      <c r="N303" s="73">
        <v>0</v>
      </c>
      <c r="O303" s="73">
        <v>0</v>
      </c>
      <c r="P303" s="73">
        <v>0</v>
      </c>
      <c r="Q303" s="73">
        <v>0</v>
      </c>
      <c r="R303" s="73">
        <v>-4058</v>
      </c>
      <c r="S303" s="73">
        <v>-974</v>
      </c>
      <c r="T303" s="73">
        <v>-1261</v>
      </c>
      <c r="U303" s="73">
        <v>-1079</v>
      </c>
      <c r="V303" s="73">
        <v>-1413</v>
      </c>
      <c r="W303" s="73">
        <v>-731</v>
      </c>
      <c r="X303" s="73">
        <v>-1396</v>
      </c>
      <c r="Y303" s="73">
        <v>-1193</v>
      </c>
      <c r="Z303" s="73">
        <v>0</v>
      </c>
      <c r="AA303" s="73">
        <v>0</v>
      </c>
      <c r="AB303" s="73">
        <v>30943</v>
      </c>
      <c r="AC303" s="73">
        <v>32125</v>
      </c>
      <c r="AD303" s="73">
        <v>195000</v>
      </c>
      <c r="AE303" s="73">
        <v>1156</v>
      </c>
      <c r="AF303" s="74">
        <f>tblData[[#This Row],[Gross Sales]]+tblData[[#This Row],[Trade Discounts]]+tblData[[#This Row],[Returns]]</f>
        <v>0</v>
      </c>
      <c r="AG303" s="74">
        <f>tblData[[#This Row],[Material Cost]]+tblData[[#This Row],[Conversion Cost]]+tblData[[#This Row],[Inbound Freight]]</f>
        <v>0</v>
      </c>
      <c r="AH303" s="74">
        <f>tblData[[#This Row],[Net Revenue]]+tblData[[#This Row],[COGS]]</f>
        <v>0</v>
      </c>
      <c r="AI303" s="74">
        <f>tblData[[#This Row],[Advertising]]+tblData[[#This Row],[Promotions]]</f>
        <v>0</v>
      </c>
      <c r="AJ303" s="74">
        <f>tblData[[#This Row],[Outbound Logistics]]+tblData[[#This Row],[Direct Selling]]</f>
        <v>0</v>
      </c>
      <c r="AK303" s="74">
        <f>tblData[[#This Row],[Gross Profit]]+tblData[[#This Row],[AP Spend]]+tblData[[#This Row],[Cost to Serve]]</f>
        <v>0</v>
      </c>
    </row>
    <row r="304" spans="2:37" x14ac:dyDescent="0.25">
      <c r="B304" s="71" t="s">
        <v>36</v>
      </c>
      <c r="C304" s="71">
        <v>2025</v>
      </c>
      <c r="D304" s="71">
        <v>8</v>
      </c>
      <c r="E304" s="71" t="s">
        <v>37</v>
      </c>
      <c r="F304" s="71" t="s">
        <v>38</v>
      </c>
      <c r="G304" s="72">
        <v>298.7</v>
      </c>
      <c r="H304" s="73">
        <v>4098</v>
      </c>
      <c r="I304" s="73">
        <v>-762</v>
      </c>
      <c r="J304" s="73">
        <v>-61</v>
      </c>
      <c r="K304" s="73">
        <v>-872</v>
      </c>
      <c r="L304" s="73">
        <v>-221</v>
      </c>
      <c r="M304" s="73">
        <v>-117</v>
      </c>
      <c r="N304" s="73">
        <v>-254</v>
      </c>
      <c r="O304" s="73">
        <v>-137</v>
      </c>
      <c r="P304" s="73">
        <v>-164</v>
      </c>
      <c r="Q304" s="73">
        <v>-123</v>
      </c>
      <c r="R304" s="73">
        <v>0</v>
      </c>
      <c r="S304" s="73">
        <v>0</v>
      </c>
      <c r="T304" s="73">
        <v>0</v>
      </c>
      <c r="U304" s="73">
        <v>0</v>
      </c>
      <c r="V304" s="73">
        <v>0</v>
      </c>
      <c r="W304" s="73">
        <v>0</v>
      </c>
      <c r="X304" s="73">
        <v>0</v>
      </c>
      <c r="Y304" s="73">
        <v>0</v>
      </c>
      <c r="Z304" s="73">
        <v>5850</v>
      </c>
      <c r="AA304" s="73">
        <v>3734</v>
      </c>
      <c r="AB304" s="73">
        <v>0</v>
      </c>
      <c r="AC304" s="73">
        <v>0</v>
      </c>
      <c r="AD304" s="73">
        <v>0</v>
      </c>
      <c r="AE304" s="73">
        <v>0</v>
      </c>
      <c r="AF304" s="74">
        <f>tblData[[#This Row],[Gross Sales]]+tblData[[#This Row],[Trade Discounts]]+tblData[[#This Row],[Returns]]</f>
        <v>3275</v>
      </c>
      <c r="AG304" s="74">
        <f>tblData[[#This Row],[Material Cost]]+tblData[[#This Row],[Conversion Cost]]+tblData[[#This Row],[Inbound Freight]]</f>
        <v>-1210</v>
      </c>
      <c r="AH304" s="74">
        <f>tblData[[#This Row],[Net Revenue]]+tblData[[#This Row],[COGS]]</f>
        <v>2065</v>
      </c>
      <c r="AI304" s="74">
        <f>tblData[[#This Row],[Advertising]]+tblData[[#This Row],[Promotions]]</f>
        <v>-391</v>
      </c>
      <c r="AJ304" s="74">
        <f>tblData[[#This Row],[Outbound Logistics]]+tblData[[#This Row],[Direct Selling]]</f>
        <v>-287</v>
      </c>
      <c r="AK304" s="74">
        <f>tblData[[#This Row],[Gross Profit]]+tblData[[#This Row],[AP Spend]]+tblData[[#This Row],[Cost to Serve]]</f>
        <v>1387</v>
      </c>
    </row>
    <row r="305" spans="2:37" x14ac:dyDescent="0.25">
      <c r="B305" s="71" t="s">
        <v>36</v>
      </c>
      <c r="C305" s="71">
        <v>2025</v>
      </c>
      <c r="D305" s="71">
        <v>8</v>
      </c>
      <c r="E305" s="71" t="s">
        <v>37</v>
      </c>
      <c r="F305" s="71" t="s">
        <v>39</v>
      </c>
      <c r="G305" s="72">
        <v>385.6</v>
      </c>
      <c r="H305" s="73">
        <v>3401</v>
      </c>
      <c r="I305" s="73">
        <v>-633</v>
      </c>
      <c r="J305" s="73">
        <v>-51</v>
      </c>
      <c r="K305" s="73">
        <v>-868</v>
      </c>
      <c r="L305" s="73">
        <v>-220</v>
      </c>
      <c r="M305" s="73">
        <v>-116</v>
      </c>
      <c r="N305" s="73">
        <v>-145</v>
      </c>
      <c r="O305" s="73">
        <v>-78</v>
      </c>
      <c r="P305" s="73">
        <v>-136</v>
      </c>
      <c r="Q305" s="73">
        <v>-102</v>
      </c>
      <c r="R305" s="73">
        <v>0</v>
      </c>
      <c r="S305" s="73">
        <v>0</v>
      </c>
      <c r="T305" s="73">
        <v>0</v>
      </c>
      <c r="U305" s="73">
        <v>0</v>
      </c>
      <c r="V305" s="73">
        <v>0</v>
      </c>
      <c r="W305" s="73">
        <v>0</v>
      </c>
      <c r="X305" s="73">
        <v>0</v>
      </c>
      <c r="Y305" s="73">
        <v>0</v>
      </c>
      <c r="Z305" s="73">
        <v>4959</v>
      </c>
      <c r="AA305" s="73">
        <v>3198</v>
      </c>
      <c r="AB305" s="73">
        <v>0</v>
      </c>
      <c r="AC305" s="73">
        <v>0</v>
      </c>
      <c r="AD305" s="73">
        <v>0</v>
      </c>
      <c r="AE305" s="73">
        <v>0</v>
      </c>
      <c r="AF305" s="74">
        <f>tblData[[#This Row],[Gross Sales]]+tblData[[#This Row],[Trade Discounts]]+tblData[[#This Row],[Returns]]</f>
        <v>2717</v>
      </c>
      <c r="AG305" s="74">
        <f>tblData[[#This Row],[Material Cost]]+tblData[[#This Row],[Conversion Cost]]+tblData[[#This Row],[Inbound Freight]]</f>
        <v>-1204</v>
      </c>
      <c r="AH305" s="74">
        <f>tblData[[#This Row],[Net Revenue]]+tblData[[#This Row],[COGS]]</f>
        <v>1513</v>
      </c>
      <c r="AI305" s="74">
        <f>tblData[[#This Row],[Advertising]]+tblData[[#This Row],[Promotions]]</f>
        <v>-223</v>
      </c>
      <c r="AJ305" s="74">
        <f>tblData[[#This Row],[Outbound Logistics]]+tblData[[#This Row],[Direct Selling]]</f>
        <v>-238</v>
      </c>
      <c r="AK305" s="74">
        <f>tblData[[#This Row],[Gross Profit]]+tblData[[#This Row],[AP Spend]]+tblData[[#This Row],[Cost to Serve]]</f>
        <v>1052</v>
      </c>
    </row>
    <row r="306" spans="2:37" x14ac:dyDescent="0.25">
      <c r="B306" s="71" t="s">
        <v>36</v>
      </c>
      <c r="C306" s="71">
        <v>2025</v>
      </c>
      <c r="D306" s="71">
        <v>8</v>
      </c>
      <c r="E306" s="71" t="s">
        <v>37</v>
      </c>
      <c r="F306" s="71" t="s">
        <v>40</v>
      </c>
      <c r="G306" s="72">
        <v>376.9</v>
      </c>
      <c r="H306" s="73">
        <v>2585</v>
      </c>
      <c r="I306" s="73">
        <v>-481</v>
      </c>
      <c r="J306" s="73">
        <v>-39</v>
      </c>
      <c r="K306" s="73">
        <v>-733</v>
      </c>
      <c r="L306" s="73">
        <v>-186</v>
      </c>
      <c r="M306" s="73">
        <v>-98</v>
      </c>
      <c r="N306" s="73">
        <v>-73</v>
      </c>
      <c r="O306" s="73">
        <v>-39</v>
      </c>
      <c r="P306" s="73">
        <v>-103</v>
      </c>
      <c r="Q306" s="73">
        <v>-78</v>
      </c>
      <c r="R306" s="73">
        <v>0</v>
      </c>
      <c r="S306" s="73">
        <v>0</v>
      </c>
      <c r="T306" s="73">
        <v>0</v>
      </c>
      <c r="U306" s="73">
        <v>0</v>
      </c>
      <c r="V306" s="73">
        <v>0</v>
      </c>
      <c r="W306" s="73">
        <v>0</v>
      </c>
      <c r="X306" s="73">
        <v>0</v>
      </c>
      <c r="Y306" s="73">
        <v>0</v>
      </c>
      <c r="Z306" s="73">
        <v>3714</v>
      </c>
      <c r="AA306" s="73">
        <v>2495</v>
      </c>
      <c r="AB306" s="73">
        <v>0</v>
      </c>
      <c r="AC306" s="73">
        <v>0</v>
      </c>
      <c r="AD306" s="73">
        <v>0</v>
      </c>
      <c r="AE306" s="73">
        <v>0</v>
      </c>
      <c r="AF306" s="74">
        <f>tblData[[#This Row],[Gross Sales]]+tblData[[#This Row],[Trade Discounts]]+tblData[[#This Row],[Returns]]</f>
        <v>2065</v>
      </c>
      <c r="AG306" s="74">
        <f>tblData[[#This Row],[Material Cost]]+tblData[[#This Row],[Conversion Cost]]+tblData[[#This Row],[Inbound Freight]]</f>
        <v>-1017</v>
      </c>
      <c r="AH306" s="74">
        <f>tblData[[#This Row],[Net Revenue]]+tblData[[#This Row],[COGS]]</f>
        <v>1048</v>
      </c>
      <c r="AI306" s="74">
        <f>tblData[[#This Row],[Advertising]]+tblData[[#This Row],[Promotions]]</f>
        <v>-112</v>
      </c>
      <c r="AJ306" s="74">
        <f>tblData[[#This Row],[Outbound Logistics]]+tblData[[#This Row],[Direct Selling]]</f>
        <v>-181</v>
      </c>
      <c r="AK306" s="74">
        <f>tblData[[#This Row],[Gross Profit]]+tblData[[#This Row],[AP Spend]]+tblData[[#This Row],[Cost to Serve]]</f>
        <v>755</v>
      </c>
    </row>
    <row r="307" spans="2:37" x14ac:dyDescent="0.25">
      <c r="B307" s="71" t="s">
        <v>36</v>
      </c>
      <c r="C307" s="71">
        <v>2025</v>
      </c>
      <c r="D307" s="71">
        <v>8</v>
      </c>
      <c r="E307" s="71" t="s">
        <v>37</v>
      </c>
      <c r="F307" s="71" t="s">
        <v>41</v>
      </c>
      <c r="G307" s="72">
        <v>182.8</v>
      </c>
      <c r="H307" s="73">
        <v>1970</v>
      </c>
      <c r="I307" s="73">
        <v>-366</v>
      </c>
      <c r="J307" s="73">
        <v>-30</v>
      </c>
      <c r="K307" s="73">
        <v>-461</v>
      </c>
      <c r="L307" s="73">
        <v>-117</v>
      </c>
      <c r="M307" s="73">
        <v>-62</v>
      </c>
      <c r="N307" s="73">
        <v>-155</v>
      </c>
      <c r="O307" s="73">
        <v>-84</v>
      </c>
      <c r="P307" s="73">
        <v>-79</v>
      </c>
      <c r="Q307" s="73">
        <v>-59</v>
      </c>
      <c r="R307" s="73">
        <v>0</v>
      </c>
      <c r="S307" s="73">
        <v>0</v>
      </c>
      <c r="T307" s="73">
        <v>0</v>
      </c>
      <c r="U307" s="73">
        <v>0</v>
      </c>
      <c r="V307" s="73">
        <v>0</v>
      </c>
      <c r="W307" s="73">
        <v>0</v>
      </c>
      <c r="X307" s="73">
        <v>0</v>
      </c>
      <c r="Y307" s="73">
        <v>0</v>
      </c>
      <c r="Z307" s="73">
        <v>2868</v>
      </c>
      <c r="AA307" s="73">
        <v>1908</v>
      </c>
      <c r="AB307" s="73">
        <v>0</v>
      </c>
      <c r="AC307" s="73">
        <v>0</v>
      </c>
      <c r="AD307" s="73">
        <v>0</v>
      </c>
      <c r="AE307" s="73">
        <v>0</v>
      </c>
      <c r="AF307" s="74">
        <f>tblData[[#This Row],[Gross Sales]]+tblData[[#This Row],[Trade Discounts]]+tblData[[#This Row],[Returns]]</f>
        <v>1574</v>
      </c>
      <c r="AG307" s="74">
        <f>tblData[[#This Row],[Material Cost]]+tblData[[#This Row],[Conversion Cost]]+tblData[[#This Row],[Inbound Freight]]</f>
        <v>-640</v>
      </c>
      <c r="AH307" s="74">
        <f>tblData[[#This Row],[Net Revenue]]+tblData[[#This Row],[COGS]]</f>
        <v>934</v>
      </c>
      <c r="AI307" s="74">
        <f>tblData[[#This Row],[Advertising]]+tblData[[#This Row],[Promotions]]</f>
        <v>-239</v>
      </c>
      <c r="AJ307" s="74">
        <f>tblData[[#This Row],[Outbound Logistics]]+tblData[[#This Row],[Direct Selling]]</f>
        <v>-138</v>
      </c>
      <c r="AK307" s="74">
        <f>tblData[[#This Row],[Gross Profit]]+tblData[[#This Row],[AP Spend]]+tblData[[#This Row],[Cost to Serve]]</f>
        <v>557</v>
      </c>
    </row>
    <row r="308" spans="2:37" x14ac:dyDescent="0.25">
      <c r="B308" s="71" t="s">
        <v>36</v>
      </c>
      <c r="C308" s="71">
        <v>2025</v>
      </c>
      <c r="D308" s="71">
        <v>8</v>
      </c>
      <c r="E308" s="71" t="s">
        <v>37</v>
      </c>
      <c r="F308" s="71" t="s">
        <v>42</v>
      </c>
      <c r="G308" s="72">
        <v>249.3</v>
      </c>
      <c r="H308" s="73">
        <v>1466</v>
      </c>
      <c r="I308" s="73">
        <v>-273</v>
      </c>
      <c r="J308" s="73">
        <v>-22</v>
      </c>
      <c r="K308" s="73">
        <v>-457</v>
      </c>
      <c r="L308" s="73">
        <v>-116</v>
      </c>
      <c r="M308" s="73">
        <v>-61</v>
      </c>
      <c r="N308" s="73">
        <v>-30</v>
      </c>
      <c r="O308" s="73">
        <v>-16</v>
      </c>
      <c r="P308" s="73">
        <v>-59</v>
      </c>
      <c r="Q308" s="73">
        <v>-44</v>
      </c>
      <c r="R308" s="73">
        <v>0</v>
      </c>
      <c r="S308" s="73">
        <v>0</v>
      </c>
      <c r="T308" s="73">
        <v>0</v>
      </c>
      <c r="U308" s="73">
        <v>0</v>
      </c>
      <c r="V308" s="73">
        <v>0</v>
      </c>
      <c r="W308" s="73">
        <v>0</v>
      </c>
      <c r="X308" s="73">
        <v>0</v>
      </c>
      <c r="Y308" s="73">
        <v>0</v>
      </c>
      <c r="Z308" s="73">
        <v>2094</v>
      </c>
      <c r="AA308" s="73">
        <v>2270</v>
      </c>
      <c r="AB308" s="73">
        <v>0</v>
      </c>
      <c r="AC308" s="73">
        <v>0</v>
      </c>
      <c r="AD308" s="73">
        <v>0</v>
      </c>
      <c r="AE308" s="73">
        <v>0</v>
      </c>
      <c r="AF308" s="74">
        <f>tblData[[#This Row],[Gross Sales]]+tblData[[#This Row],[Trade Discounts]]+tblData[[#This Row],[Returns]]</f>
        <v>1171</v>
      </c>
      <c r="AG308" s="74">
        <f>tblData[[#This Row],[Material Cost]]+tblData[[#This Row],[Conversion Cost]]+tblData[[#This Row],[Inbound Freight]]</f>
        <v>-634</v>
      </c>
      <c r="AH308" s="74">
        <f>tblData[[#This Row],[Net Revenue]]+tblData[[#This Row],[COGS]]</f>
        <v>537</v>
      </c>
      <c r="AI308" s="74">
        <f>tblData[[#This Row],[Advertising]]+tblData[[#This Row],[Promotions]]</f>
        <v>-46</v>
      </c>
      <c r="AJ308" s="74">
        <f>tblData[[#This Row],[Outbound Logistics]]+tblData[[#This Row],[Direct Selling]]</f>
        <v>-103</v>
      </c>
      <c r="AK308" s="74">
        <f>tblData[[#This Row],[Gross Profit]]+tblData[[#This Row],[AP Spend]]+tblData[[#This Row],[Cost to Serve]]</f>
        <v>388</v>
      </c>
    </row>
    <row r="309" spans="2:37" x14ac:dyDescent="0.25">
      <c r="B309" s="71" t="s">
        <v>36</v>
      </c>
      <c r="C309" s="71">
        <v>2025</v>
      </c>
      <c r="D309" s="71">
        <v>8</v>
      </c>
      <c r="E309" s="71" t="s">
        <v>37</v>
      </c>
      <c r="F309" s="71" t="s">
        <v>43</v>
      </c>
      <c r="G309" s="72">
        <v>50.6</v>
      </c>
      <c r="H309" s="73">
        <v>892</v>
      </c>
      <c r="I309" s="73">
        <v>-166</v>
      </c>
      <c r="J309" s="73">
        <v>-13</v>
      </c>
      <c r="K309" s="73">
        <v>-240</v>
      </c>
      <c r="L309" s="73">
        <v>-61</v>
      </c>
      <c r="M309" s="73">
        <v>-32</v>
      </c>
      <c r="N309" s="73">
        <v>-85</v>
      </c>
      <c r="O309" s="73">
        <v>-46</v>
      </c>
      <c r="P309" s="73">
        <v>-36</v>
      </c>
      <c r="Q309" s="73">
        <v>-27</v>
      </c>
      <c r="R309" s="73">
        <v>0</v>
      </c>
      <c r="S309" s="73">
        <v>0</v>
      </c>
      <c r="T309" s="73">
        <v>0</v>
      </c>
      <c r="U309" s="73">
        <v>0</v>
      </c>
      <c r="V309" s="73">
        <v>0</v>
      </c>
      <c r="W309" s="73">
        <v>0</v>
      </c>
      <c r="X309" s="73">
        <v>0</v>
      </c>
      <c r="Y309" s="73">
        <v>0</v>
      </c>
      <c r="Z309" s="73">
        <v>1257</v>
      </c>
      <c r="AA309" s="73">
        <v>1284</v>
      </c>
      <c r="AB309" s="73">
        <v>0</v>
      </c>
      <c r="AC309" s="73">
        <v>0</v>
      </c>
      <c r="AD309" s="73">
        <v>0</v>
      </c>
      <c r="AE309" s="73">
        <v>0</v>
      </c>
      <c r="AF309" s="74">
        <f>tblData[[#This Row],[Gross Sales]]+tblData[[#This Row],[Trade Discounts]]+tblData[[#This Row],[Returns]]</f>
        <v>713</v>
      </c>
      <c r="AG309" s="74">
        <f>tblData[[#This Row],[Material Cost]]+tblData[[#This Row],[Conversion Cost]]+tblData[[#This Row],[Inbound Freight]]</f>
        <v>-333</v>
      </c>
      <c r="AH309" s="74">
        <f>tblData[[#This Row],[Net Revenue]]+tblData[[#This Row],[COGS]]</f>
        <v>380</v>
      </c>
      <c r="AI309" s="74">
        <f>tblData[[#This Row],[Advertising]]+tblData[[#This Row],[Promotions]]</f>
        <v>-131</v>
      </c>
      <c r="AJ309" s="74">
        <f>tblData[[#This Row],[Outbound Logistics]]+tblData[[#This Row],[Direct Selling]]</f>
        <v>-63</v>
      </c>
      <c r="AK309" s="74">
        <f>tblData[[#This Row],[Gross Profit]]+tblData[[#This Row],[AP Spend]]+tblData[[#This Row],[Cost to Serve]]</f>
        <v>186</v>
      </c>
    </row>
    <row r="310" spans="2:37" x14ac:dyDescent="0.25">
      <c r="B310" s="71" t="s">
        <v>36</v>
      </c>
      <c r="C310" s="71">
        <v>2025</v>
      </c>
      <c r="D310" s="71">
        <v>8</v>
      </c>
      <c r="E310" s="71" t="s">
        <v>44</v>
      </c>
      <c r="F310" s="71" t="s">
        <v>38</v>
      </c>
      <c r="G310" s="72">
        <v>232</v>
      </c>
      <c r="H310" s="73">
        <v>3183</v>
      </c>
      <c r="I310" s="73">
        <v>-497</v>
      </c>
      <c r="J310" s="73">
        <v>-38</v>
      </c>
      <c r="K310" s="73">
        <v>-677</v>
      </c>
      <c r="L310" s="73">
        <v>-172</v>
      </c>
      <c r="M310" s="73">
        <v>-91</v>
      </c>
      <c r="N310" s="73">
        <v>-203</v>
      </c>
      <c r="O310" s="73">
        <v>-109</v>
      </c>
      <c r="P310" s="73">
        <v>-127</v>
      </c>
      <c r="Q310" s="73">
        <v>-95</v>
      </c>
      <c r="R310" s="73">
        <v>0</v>
      </c>
      <c r="S310" s="73">
        <v>0</v>
      </c>
      <c r="T310" s="73">
        <v>0</v>
      </c>
      <c r="U310" s="73">
        <v>0</v>
      </c>
      <c r="V310" s="73">
        <v>0</v>
      </c>
      <c r="W310" s="73">
        <v>0</v>
      </c>
      <c r="X310" s="73">
        <v>0</v>
      </c>
      <c r="Y310" s="73">
        <v>0</v>
      </c>
      <c r="Z310" s="73">
        <v>4372</v>
      </c>
      <c r="AA310" s="73">
        <v>2948</v>
      </c>
      <c r="AB310" s="73">
        <v>0</v>
      </c>
      <c r="AC310" s="73">
        <v>0</v>
      </c>
      <c r="AD310" s="73">
        <v>0</v>
      </c>
      <c r="AE310" s="73">
        <v>0</v>
      </c>
      <c r="AF310" s="74">
        <f>tblData[[#This Row],[Gross Sales]]+tblData[[#This Row],[Trade Discounts]]+tblData[[#This Row],[Returns]]</f>
        <v>2648</v>
      </c>
      <c r="AG310" s="74">
        <f>tblData[[#This Row],[Material Cost]]+tblData[[#This Row],[Conversion Cost]]+tblData[[#This Row],[Inbound Freight]]</f>
        <v>-940</v>
      </c>
      <c r="AH310" s="74">
        <f>tblData[[#This Row],[Net Revenue]]+tblData[[#This Row],[COGS]]</f>
        <v>1708</v>
      </c>
      <c r="AI310" s="74">
        <f>tblData[[#This Row],[Advertising]]+tblData[[#This Row],[Promotions]]</f>
        <v>-312</v>
      </c>
      <c r="AJ310" s="74">
        <f>tblData[[#This Row],[Outbound Logistics]]+tblData[[#This Row],[Direct Selling]]</f>
        <v>-222</v>
      </c>
      <c r="AK310" s="74">
        <f>tblData[[#This Row],[Gross Profit]]+tblData[[#This Row],[AP Spend]]+tblData[[#This Row],[Cost to Serve]]</f>
        <v>1174</v>
      </c>
    </row>
    <row r="311" spans="2:37" x14ac:dyDescent="0.25">
      <c r="B311" s="71" t="s">
        <v>36</v>
      </c>
      <c r="C311" s="71">
        <v>2025</v>
      </c>
      <c r="D311" s="71">
        <v>8</v>
      </c>
      <c r="E311" s="71" t="s">
        <v>44</v>
      </c>
      <c r="F311" s="71" t="s">
        <v>39</v>
      </c>
      <c r="G311" s="72">
        <v>321.60000000000002</v>
      </c>
      <c r="H311" s="73">
        <v>2837</v>
      </c>
      <c r="I311" s="73">
        <v>-443</v>
      </c>
      <c r="J311" s="73">
        <v>-34</v>
      </c>
      <c r="K311" s="73">
        <v>-724</v>
      </c>
      <c r="L311" s="73">
        <v>-184</v>
      </c>
      <c r="M311" s="73">
        <v>-97</v>
      </c>
      <c r="N311" s="73">
        <v>-116</v>
      </c>
      <c r="O311" s="73">
        <v>-62</v>
      </c>
      <c r="P311" s="73">
        <v>-113</v>
      </c>
      <c r="Q311" s="73">
        <v>-85</v>
      </c>
      <c r="R311" s="73">
        <v>0</v>
      </c>
      <c r="S311" s="73">
        <v>0</v>
      </c>
      <c r="T311" s="73">
        <v>0</v>
      </c>
      <c r="U311" s="73">
        <v>0</v>
      </c>
      <c r="V311" s="73">
        <v>0</v>
      </c>
      <c r="W311" s="73">
        <v>0</v>
      </c>
      <c r="X311" s="73">
        <v>0</v>
      </c>
      <c r="Y311" s="73">
        <v>0</v>
      </c>
      <c r="Z311" s="73">
        <v>3744</v>
      </c>
      <c r="AA311" s="73">
        <v>2551</v>
      </c>
      <c r="AB311" s="73">
        <v>0</v>
      </c>
      <c r="AC311" s="73">
        <v>0</v>
      </c>
      <c r="AD311" s="73">
        <v>0</v>
      </c>
      <c r="AE311" s="73">
        <v>0</v>
      </c>
      <c r="AF311" s="74">
        <f>tblData[[#This Row],[Gross Sales]]+tblData[[#This Row],[Trade Discounts]]+tblData[[#This Row],[Returns]]</f>
        <v>2360</v>
      </c>
      <c r="AG311" s="74">
        <f>tblData[[#This Row],[Material Cost]]+tblData[[#This Row],[Conversion Cost]]+tblData[[#This Row],[Inbound Freight]]</f>
        <v>-1005</v>
      </c>
      <c r="AH311" s="74">
        <f>tblData[[#This Row],[Net Revenue]]+tblData[[#This Row],[COGS]]</f>
        <v>1355</v>
      </c>
      <c r="AI311" s="74">
        <f>tblData[[#This Row],[Advertising]]+tblData[[#This Row],[Promotions]]</f>
        <v>-178</v>
      </c>
      <c r="AJ311" s="74">
        <f>tblData[[#This Row],[Outbound Logistics]]+tblData[[#This Row],[Direct Selling]]</f>
        <v>-198</v>
      </c>
      <c r="AK311" s="74">
        <f>tblData[[#This Row],[Gross Profit]]+tblData[[#This Row],[AP Spend]]+tblData[[#This Row],[Cost to Serve]]</f>
        <v>979</v>
      </c>
    </row>
    <row r="312" spans="2:37" x14ac:dyDescent="0.25">
      <c r="B312" s="71" t="s">
        <v>36</v>
      </c>
      <c r="C312" s="71">
        <v>2025</v>
      </c>
      <c r="D312" s="71">
        <v>8</v>
      </c>
      <c r="E312" s="71" t="s">
        <v>44</v>
      </c>
      <c r="F312" s="71" t="s">
        <v>40</v>
      </c>
      <c r="G312" s="72">
        <v>308.3</v>
      </c>
      <c r="H312" s="73">
        <v>2115</v>
      </c>
      <c r="I312" s="73">
        <v>-330</v>
      </c>
      <c r="J312" s="73">
        <v>-25</v>
      </c>
      <c r="K312" s="73">
        <v>-600</v>
      </c>
      <c r="L312" s="73">
        <v>-152</v>
      </c>
      <c r="M312" s="73">
        <v>-80</v>
      </c>
      <c r="N312" s="73">
        <v>-58</v>
      </c>
      <c r="O312" s="73">
        <v>-31</v>
      </c>
      <c r="P312" s="73">
        <v>-85</v>
      </c>
      <c r="Q312" s="73">
        <v>-63</v>
      </c>
      <c r="R312" s="73">
        <v>0</v>
      </c>
      <c r="S312" s="73">
        <v>0</v>
      </c>
      <c r="T312" s="73">
        <v>0</v>
      </c>
      <c r="U312" s="73">
        <v>0</v>
      </c>
      <c r="V312" s="73">
        <v>0</v>
      </c>
      <c r="W312" s="73">
        <v>0</v>
      </c>
      <c r="X312" s="73">
        <v>0</v>
      </c>
      <c r="Y312" s="73">
        <v>0</v>
      </c>
      <c r="Z312" s="73">
        <v>2861</v>
      </c>
      <c r="AA312" s="73">
        <v>2030</v>
      </c>
      <c r="AB312" s="73">
        <v>0</v>
      </c>
      <c r="AC312" s="73">
        <v>0</v>
      </c>
      <c r="AD312" s="73">
        <v>0</v>
      </c>
      <c r="AE312" s="73">
        <v>0</v>
      </c>
      <c r="AF312" s="74">
        <f>tblData[[#This Row],[Gross Sales]]+tblData[[#This Row],[Trade Discounts]]+tblData[[#This Row],[Returns]]</f>
        <v>1760</v>
      </c>
      <c r="AG312" s="74">
        <f>tblData[[#This Row],[Material Cost]]+tblData[[#This Row],[Conversion Cost]]+tblData[[#This Row],[Inbound Freight]]</f>
        <v>-832</v>
      </c>
      <c r="AH312" s="74">
        <f>tblData[[#This Row],[Net Revenue]]+tblData[[#This Row],[COGS]]</f>
        <v>928</v>
      </c>
      <c r="AI312" s="74">
        <f>tblData[[#This Row],[Advertising]]+tblData[[#This Row],[Promotions]]</f>
        <v>-89</v>
      </c>
      <c r="AJ312" s="74">
        <f>tblData[[#This Row],[Outbound Logistics]]+tblData[[#This Row],[Direct Selling]]</f>
        <v>-148</v>
      </c>
      <c r="AK312" s="74">
        <f>tblData[[#This Row],[Gross Profit]]+tblData[[#This Row],[AP Spend]]+tblData[[#This Row],[Cost to Serve]]</f>
        <v>691</v>
      </c>
    </row>
    <row r="313" spans="2:37" x14ac:dyDescent="0.25">
      <c r="B313" s="71" t="s">
        <v>36</v>
      </c>
      <c r="C313" s="71">
        <v>2025</v>
      </c>
      <c r="D313" s="71">
        <v>8</v>
      </c>
      <c r="E313" s="71" t="s">
        <v>44</v>
      </c>
      <c r="F313" s="71" t="s">
        <v>41</v>
      </c>
      <c r="G313" s="72">
        <v>151.5</v>
      </c>
      <c r="H313" s="73">
        <v>1633</v>
      </c>
      <c r="I313" s="73">
        <v>-255</v>
      </c>
      <c r="J313" s="73">
        <v>-20</v>
      </c>
      <c r="K313" s="73">
        <v>-382</v>
      </c>
      <c r="L313" s="73">
        <v>-97</v>
      </c>
      <c r="M313" s="73">
        <v>-51</v>
      </c>
      <c r="N313" s="73">
        <v>-124</v>
      </c>
      <c r="O313" s="73">
        <v>-67</v>
      </c>
      <c r="P313" s="73">
        <v>-65</v>
      </c>
      <c r="Q313" s="73">
        <v>-49</v>
      </c>
      <c r="R313" s="73">
        <v>0</v>
      </c>
      <c r="S313" s="73">
        <v>0</v>
      </c>
      <c r="T313" s="73">
        <v>0</v>
      </c>
      <c r="U313" s="73">
        <v>0</v>
      </c>
      <c r="V313" s="73">
        <v>0</v>
      </c>
      <c r="W313" s="73">
        <v>0</v>
      </c>
      <c r="X313" s="73">
        <v>0</v>
      </c>
      <c r="Y313" s="73">
        <v>0</v>
      </c>
      <c r="Z313" s="73">
        <v>2224</v>
      </c>
      <c r="AA313" s="73">
        <v>1563</v>
      </c>
      <c r="AB313" s="73">
        <v>0</v>
      </c>
      <c r="AC313" s="73">
        <v>0</v>
      </c>
      <c r="AD313" s="73">
        <v>0</v>
      </c>
      <c r="AE313" s="73">
        <v>0</v>
      </c>
      <c r="AF313" s="74">
        <f>tblData[[#This Row],[Gross Sales]]+tblData[[#This Row],[Trade Discounts]]+tblData[[#This Row],[Returns]]</f>
        <v>1358</v>
      </c>
      <c r="AG313" s="74">
        <f>tblData[[#This Row],[Material Cost]]+tblData[[#This Row],[Conversion Cost]]+tblData[[#This Row],[Inbound Freight]]</f>
        <v>-530</v>
      </c>
      <c r="AH313" s="74">
        <f>tblData[[#This Row],[Net Revenue]]+tblData[[#This Row],[COGS]]</f>
        <v>828</v>
      </c>
      <c r="AI313" s="74">
        <f>tblData[[#This Row],[Advertising]]+tblData[[#This Row],[Promotions]]</f>
        <v>-191</v>
      </c>
      <c r="AJ313" s="74">
        <f>tblData[[#This Row],[Outbound Logistics]]+tblData[[#This Row],[Direct Selling]]</f>
        <v>-114</v>
      </c>
      <c r="AK313" s="74">
        <f>tblData[[#This Row],[Gross Profit]]+tblData[[#This Row],[AP Spend]]+tblData[[#This Row],[Cost to Serve]]</f>
        <v>523</v>
      </c>
    </row>
    <row r="314" spans="2:37" x14ac:dyDescent="0.25">
      <c r="B314" s="71" t="s">
        <v>36</v>
      </c>
      <c r="C314" s="71">
        <v>2025</v>
      </c>
      <c r="D314" s="71">
        <v>8</v>
      </c>
      <c r="E314" s="71" t="s">
        <v>44</v>
      </c>
      <c r="F314" s="71" t="s">
        <v>42</v>
      </c>
      <c r="G314" s="72">
        <v>198.4</v>
      </c>
      <c r="H314" s="73">
        <v>1166</v>
      </c>
      <c r="I314" s="73">
        <v>-182</v>
      </c>
      <c r="J314" s="73">
        <v>-14</v>
      </c>
      <c r="K314" s="73">
        <v>-364</v>
      </c>
      <c r="L314" s="73">
        <v>-92</v>
      </c>
      <c r="M314" s="73">
        <v>-49</v>
      </c>
      <c r="N314" s="73">
        <v>-24</v>
      </c>
      <c r="O314" s="73">
        <v>-13</v>
      </c>
      <c r="P314" s="73">
        <v>-47</v>
      </c>
      <c r="Q314" s="73">
        <v>-35</v>
      </c>
      <c r="R314" s="73">
        <v>0</v>
      </c>
      <c r="S314" s="73">
        <v>0</v>
      </c>
      <c r="T314" s="73">
        <v>0</v>
      </c>
      <c r="U314" s="73">
        <v>0</v>
      </c>
      <c r="V314" s="73">
        <v>0</v>
      </c>
      <c r="W314" s="73">
        <v>0</v>
      </c>
      <c r="X314" s="73">
        <v>0</v>
      </c>
      <c r="Y314" s="73">
        <v>0</v>
      </c>
      <c r="Z314" s="73">
        <v>1580</v>
      </c>
      <c r="AA314" s="73">
        <v>1809</v>
      </c>
      <c r="AB314" s="73">
        <v>0</v>
      </c>
      <c r="AC314" s="73">
        <v>0</v>
      </c>
      <c r="AD314" s="73">
        <v>0</v>
      </c>
      <c r="AE314" s="73">
        <v>0</v>
      </c>
      <c r="AF314" s="74">
        <f>tblData[[#This Row],[Gross Sales]]+tblData[[#This Row],[Trade Discounts]]+tblData[[#This Row],[Returns]]</f>
        <v>970</v>
      </c>
      <c r="AG314" s="74">
        <f>tblData[[#This Row],[Material Cost]]+tblData[[#This Row],[Conversion Cost]]+tblData[[#This Row],[Inbound Freight]]</f>
        <v>-505</v>
      </c>
      <c r="AH314" s="74">
        <f>tblData[[#This Row],[Net Revenue]]+tblData[[#This Row],[COGS]]</f>
        <v>465</v>
      </c>
      <c r="AI314" s="74">
        <f>tblData[[#This Row],[Advertising]]+tblData[[#This Row],[Promotions]]</f>
        <v>-37</v>
      </c>
      <c r="AJ314" s="74">
        <f>tblData[[#This Row],[Outbound Logistics]]+tblData[[#This Row],[Direct Selling]]</f>
        <v>-82</v>
      </c>
      <c r="AK314" s="74">
        <f>tblData[[#This Row],[Gross Profit]]+tblData[[#This Row],[AP Spend]]+tblData[[#This Row],[Cost to Serve]]</f>
        <v>346</v>
      </c>
    </row>
    <row r="315" spans="2:37" x14ac:dyDescent="0.25">
      <c r="B315" s="71" t="s">
        <v>36</v>
      </c>
      <c r="C315" s="71">
        <v>2025</v>
      </c>
      <c r="D315" s="71">
        <v>8</v>
      </c>
      <c r="E315" s="71" t="s">
        <v>44</v>
      </c>
      <c r="F315" s="71" t="s">
        <v>43</v>
      </c>
      <c r="G315" s="72">
        <v>39.299999999999997</v>
      </c>
      <c r="H315" s="73">
        <v>694</v>
      </c>
      <c r="I315" s="73">
        <v>-108</v>
      </c>
      <c r="J315" s="73">
        <v>-8</v>
      </c>
      <c r="K315" s="73">
        <v>-187</v>
      </c>
      <c r="L315" s="73">
        <v>-47</v>
      </c>
      <c r="M315" s="73">
        <v>-25</v>
      </c>
      <c r="N315" s="73">
        <v>-68</v>
      </c>
      <c r="O315" s="73">
        <v>-36</v>
      </c>
      <c r="P315" s="73">
        <v>-28</v>
      </c>
      <c r="Q315" s="73">
        <v>-21</v>
      </c>
      <c r="R315" s="73">
        <v>0</v>
      </c>
      <c r="S315" s="73">
        <v>0</v>
      </c>
      <c r="T315" s="73">
        <v>0</v>
      </c>
      <c r="U315" s="73">
        <v>0</v>
      </c>
      <c r="V315" s="73">
        <v>0</v>
      </c>
      <c r="W315" s="73">
        <v>0</v>
      </c>
      <c r="X315" s="73">
        <v>0</v>
      </c>
      <c r="Y315" s="73">
        <v>0</v>
      </c>
      <c r="Z315" s="73">
        <v>942</v>
      </c>
      <c r="AA315" s="73">
        <v>1016</v>
      </c>
      <c r="AB315" s="73">
        <v>0</v>
      </c>
      <c r="AC315" s="73">
        <v>0</v>
      </c>
      <c r="AD315" s="73">
        <v>0</v>
      </c>
      <c r="AE315" s="73">
        <v>0</v>
      </c>
      <c r="AF315" s="74">
        <f>tblData[[#This Row],[Gross Sales]]+tblData[[#This Row],[Trade Discounts]]+tblData[[#This Row],[Returns]]</f>
        <v>578</v>
      </c>
      <c r="AG315" s="74">
        <f>tblData[[#This Row],[Material Cost]]+tblData[[#This Row],[Conversion Cost]]+tblData[[#This Row],[Inbound Freight]]</f>
        <v>-259</v>
      </c>
      <c r="AH315" s="74">
        <f>tblData[[#This Row],[Net Revenue]]+tblData[[#This Row],[COGS]]</f>
        <v>319</v>
      </c>
      <c r="AI315" s="74">
        <f>tblData[[#This Row],[Advertising]]+tblData[[#This Row],[Promotions]]</f>
        <v>-104</v>
      </c>
      <c r="AJ315" s="74">
        <f>tblData[[#This Row],[Outbound Logistics]]+tblData[[#This Row],[Direct Selling]]</f>
        <v>-49</v>
      </c>
      <c r="AK315" s="74">
        <f>tblData[[#This Row],[Gross Profit]]+tblData[[#This Row],[AP Spend]]+tblData[[#This Row],[Cost to Serve]]</f>
        <v>166</v>
      </c>
    </row>
    <row r="316" spans="2:37" x14ac:dyDescent="0.25">
      <c r="B316" s="71" t="s">
        <v>36</v>
      </c>
      <c r="C316" s="71">
        <v>2025</v>
      </c>
      <c r="D316" s="71">
        <v>8</v>
      </c>
      <c r="E316" s="71" t="s">
        <v>45</v>
      </c>
      <c r="F316" s="71" t="s">
        <v>38</v>
      </c>
      <c r="G316" s="72">
        <v>139.6</v>
      </c>
      <c r="H316" s="73">
        <v>1916</v>
      </c>
      <c r="I316" s="73">
        <v>-414</v>
      </c>
      <c r="J316" s="73">
        <v>-19</v>
      </c>
      <c r="K316" s="73">
        <v>-408</v>
      </c>
      <c r="L316" s="73">
        <v>-103</v>
      </c>
      <c r="M316" s="73">
        <v>-55</v>
      </c>
      <c r="N316" s="73">
        <v>-118</v>
      </c>
      <c r="O316" s="73">
        <v>-64</v>
      </c>
      <c r="P316" s="73">
        <v>-67</v>
      </c>
      <c r="Q316" s="73">
        <v>-38</v>
      </c>
      <c r="R316" s="73">
        <v>0</v>
      </c>
      <c r="S316" s="73">
        <v>0</v>
      </c>
      <c r="T316" s="73">
        <v>0</v>
      </c>
      <c r="U316" s="73">
        <v>0</v>
      </c>
      <c r="V316" s="73">
        <v>0</v>
      </c>
      <c r="W316" s="73">
        <v>0</v>
      </c>
      <c r="X316" s="73">
        <v>0</v>
      </c>
      <c r="Y316" s="73">
        <v>0</v>
      </c>
      <c r="Z316" s="73">
        <v>2178</v>
      </c>
      <c r="AA316" s="73">
        <v>1754</v>
      </c>
      <c r="AB316" s="73">
        <v>0</v>
      </c>
      <c r="AC316" s="73">
        <v>0</v>
      </c>
      <c r="AD316" s="73">
        <v>0</v>
      </c>
      <c r="AE316" s="73">
        <v>0</v>
      </c>
      <c r="AF316" s="74">
        <f>tblData[[#This Row],[Gross Sales]]+tblData[[#This Row],[Trade Discounts]]+tblData[[#This Row],[Returns]]</f>
        <v>1483</v>
      </c>
      <c r="AG316" s="74">
        <f>tblData[[#This Row],[Material Cost]]+tblData[[#This Row],[Conversion Cost]]+tblData[[#This Row],[Inbound Freight]]</f>
        <v>-566</v>
      </c>
      <c r="AH316" s="74">
        <f>tblData[[#This Row],[Net Revenue]]+tblData[[#This Row],[COGS]]</f>
        <v>917</v>
      </c>
      <c r="AI316" s="74">
        <f>tblData[[#This Row],[Advertising]]+tblData[[#This Row],[Promotions]]</f>
        <v>-182</v>
      </c>
      <c r="AJ316" s="74">
        <f>tblData[[#This Row],[Outbound Logistics]]+tblData[[#This Row],[Direct Selling]]</f>
        <v>-105</v>
      </c>
      <c r="AK316" s="74">
        <f>tblData[[#This Row],[Gross Profit]]+tblData[[#This Row],[AP Spend]]+tblData[[#This Row],[Cost to Serve]]</f>
        <v>630</v>
      </c>
    </row>
    <row r="317" spans="2:37" x14ac:dyDescent="0.25">
      <c r="B317" s="71" t="s">
        <v>36</v>
      </c>
      <c r="C317" s="71">
        <v>2025</v>
      </c>
      <c r="D317" s="71">
        <v>8</v>
      </c>
      <c r="E317" s="71" t="s">
        <v>45</v>
      </c>
      <c r="F317" s="71" t="s">
        <v>39</v>
      </c>
      <c r="G317" s="72">
        <v>185.1</v>
      </c>
      <c r="H317" s="73">
        <v>1632</v>
      </c>
      <c r="I317" s="73">
        <v>-353</v>
      </c>
      <c r="J317" s="73">
        <v>-16</v>
      </c>
      <c r="K317" s="73">
        <v>-417</v>
      </c>
      <c r="L317" s="73">
        <v>-106</v>
      </c>
      <c r="M317" s="73">
        <v>-56</v>
      </c>
      <c r="N317" s="73">
        <v>-68</v>
      </c>
      <c r="O317" s="73">
        <v>-36</v>
      </c>
      <c r="P317" s="73">
        <v>-57</v>
      </c>
      <c r="Q317" s="73">
        <v>-33</v>
      </c>
      <c r="R317" s="73">
        <v>0</v>
      </c>
      <c r="S317" s="73">
        <v>0</v>
      </c>
      <c r="T317" s="73">
        <v>0</v>
      </c>
      <c r="U317" s="73">
        <v>0</v>
      </c>
      <c r="V317" s="73">
        <v>0</v>
      </c>
      <c r="W317" s="73">
        <v>0</v>
      </c>
      <c r="X317" s="73">
        <v>0</v>
      </c>
      <c r="Y317" s="73">
        <v>0</v>
      </c>
      <c r="Z317" s="73">
        <v>1877</v>
      </c>
      <c r="AA317" s="73">
        <v>1527</v>
      </c>
      <c r="AB317" s="73">
        <v>0</v>
      </c>
      <c r="AC317" s="73">
        <v>0</v>
      </c>
      <c r="AD317" s="73">
        <v>0</v>
      </c>
      <c r="AE317" s="73">
        <v>0</v>
      </c>
      <c r="AF317" s="74">
        <f>tblData[[#This Row],[Gross Sales]]+tblData[[#This Row],[Trade Discounts]]+tblData[[#This Row],[Returns]]</f>
        <v>1263</v>
      </c>
      <c r="AG317" s="74">
        <f>tblData[[#This Row],[Material Cost]]+tblData[[#This Row],[Conversion Cost]]+tblData[[#This Row],[Inbound Freight]]</f>
        <v>-579</v>
      </c>
      <c r="AH317" s="74">
        <f>tblData[[#This Row],[Net Revenue]]+tblData[[#This Row],[COGS]]</f>
        <v>684</v>
      </c>
      <c r="AI317" s="74">
        <f>tblData[[#This Row],[Advertising]]+tblData[[#This Row],[Promotions]]</f>
        <v>-104</v>
      </c>
      <c r="AJ317" s="74">
        <f>tblData[[#This Row],[Outbound Logistics]]+tblData[[#This Row],[Direct Selling]]</f>
        <v>-90</v>
      </c>
      <c r="AK317" s="74">
        <f>tblData[[#This Row],[Gross Profit]]+tblData[[#This Row],[AP Spend]]+tblData[[#This Row],[Cost to Serve]]</f>
        <v>490</v>
      </c>
    </row>
    <row r="318" spans="2:37" x14ac:dyDescent="0.25">
      <c r="B318" s="71" t="s">
        <v>36</v>
      </c>
      <c r="C318" s="71">
        <v>2025</v>
      </c>
      <c r="D318" s="71">
        <v>8</v>
      </c>
      <c r="E318" s="71" t="s">
        <v>45</v>
      </c>
      <c r="F318" s="71" t="s">
        <v>40</v>
      </c>
      <c r="G318" s="72">
        <v>178</v>
      </c>
      <c r="H318" s="73">
        <v>1221</v>
      </c>
      <c r="I318" s="73">
        <v>-264</v>
      </c>
      <c r="J318" s="73">
        <v>-12</v>
      </c>
      <c r="K318" s="73">
        <v>-346</v>
      </c>
      <c r="L318" s="73">
        <v>-88</v>
      </c>
      <c r="M318" s="73">
        <v>-46</v>
      </c>
      <c r="N318" s="73">
        <v>-34</v>
      </c>
      <c r="O318" s="73">
        <v>-18</v>
      </c>
      <c r="P318" s="73">
        <v>-43</v>
      </c>
      <c r="Q318" s="73">
        <v>-24</v>
      </c>
      <c r="R318" s="73">
        <v>0</v>
      </c>
      <c r="S318" s="73">
        <v>0</v>
      </c>
      <c r="T318" s="73">
        <v>0</v>
      </c>
      <c r="U318" s="73">
        <v>0</v>
      </c>
      <c r="V318" s="73">
        <v>0</v>
      </c>
      <c r="W318" s="73">
        <v>0</v>
      </c>
      <c r="X318" s="73">
        <v>0</v>
      </c>
      <c r="Y318" s="73">
        <v>0</v>
      </c>
      <c r="Z318" s="73">
        <v>1391</v>
      </c>
      <c r="AA318" s="73">
        <v>1179</v>
      </c>
      <c r="AB318" s="73">
        <v>0</v>
      </c>
      <c r="AC318" s="73">
        <v>0</v>
      </c>
      <c r="AD318" s="73">
        <v>0</v>
      </c>
      <c r="AE318" s="73">
        <v>0</v>
      </c>
      <c r="AF318" s="74">
        <f>tblData[[#This Row],[Gross Sales]]+tblData[[#This Row],[Trade Discounts]]+tblData[[#This Row],[Returns]]</f>
        <v>945</v>
      </c>
      <c r="AG318" s="74">
        <f>tblData[[#This Row],[Material Cost]]+tblData[[#This Row],[Conversion Cost]]+tblData[[#This Row],[Inbound Freight]]</f>
        <v>-480</v>
      </c>
      <c r="AH318" s="74">
        <f>tblData[[#This Row],[Net Revenue]]+tblData[[#This Row],[COGS]]</f>
        <v>465</v>
      </c>
      <c r="AI318" s="74">
        <f>tblData[[#This Row],[Advertising]]+tblData[[#This Row],[Promotions]]</f>
        <v>-52</v>
      </c>
      <c r="AJ318" s="74">
        <f>tblData[[#This Row],[Outbound Logistics]]+tblData[[#This Row],[Direct Selling]]</f>
        <v>-67</v>
      </c>
      <c r="AK318" s="74">
        <f>tblData[[#This Row],[Gross Profit]]+tblData[[#This Row],[AP Spend]]+tblData[[#This Row],[Cost to Serve]]</f>
        <v>346</v>
      </c>
    </row>
    <row r="319" spans="2:37" x14ac:dyDescent="0.25">
      <c r="B319" s="71" t="s">
        <v>36</v>
      </c>
      <c r="C319" s="71">
        <v>2025</v>
      </c>
      <c r="D319" s="71">
        <v>8</v>
      </c>
      <c r="E319" s="71" t="s">
        <v>45</v>
      </c>
      <c r="F319" s="71" t="s">
        <v>41</v>
      </c>
      <c r="G319" s="72">
        <v>85.3</v>
      </c>
      <c r="H319" s="73">
        <v>920</v>
      </c>
      <c r="I319" s="73">
        <v>-199</v>
      </c>
      <c r="J319" s="73">
        <v>-9</v>
      </c>
      <c r="K319" s="73">
        <v>-215</v>
      </c>
      <c r="L319" s="73">
        <v>-55</v>
      </c>
      <c r="M319" s="73">
        <v>-29</v>
      </c>
      <c r="N319" s="73">
        <v>-72</v>
      </c>
      <c r="O319" s="73">
        <v>-39</v>
      </c>
      <c r="P319" s="73">
        <v>-32</v>
      </c>
      <c r="Q319" s="73">
        <v>-18</v>
      </c>
      <c r="R319" s="73">
        <v>0</v>
      </c>
      <c r="S319" s="73">
        <v>0</v>
      </c>
      <c r="T319" s="73">
        <v>0</v>
      </c>
      <c r="U319" s="73">
        <v>0</v>
      </c>
      <c r="V319" s="73">
        <v>0</v>
      </c>
      <c r="W319" s="73">
        <v>0</v>
      </c>
      <c r="X319" s="73">
        <v>0</v>
      </c>
      <c r="Y319" s="73">
        <v>0</v>
      </c>
      <c r="Z319" s="73">
        <v>1073</v>
      </c>
      <c r="AA319" s="73">
        <v>900</v>
      </c>
      <c r="AB319" s="73">
        <v>0</v>
      </c>
      <c r="AC319" s="73">
        <v>0</v>
      </c>
      <c r="AD319" s="73">
        <v>0</v>
      </c>
      <c r="AE319" s="73">
        <v>0</v>
      </c>
      <c r="AF319" s="74">
        <f>tblData[[#This Row],[Gross Sales]]+tblData[[#This Row],[Trade Discounts]]+tblData[[#This Row],[Returns]]</f>
        <v>712</v>
      </c>
      <c r="AG319" s="74">
        <f>tblData[[#This Row],[Material Cost]]+tblData[[#This Row],[Conversion Cost]]+tblData[[#This Row],[Inbound Freight]]</f>
        <v>-299</v>
      </c>
      <c r="AH319" s="74">
        <f>tblData[[#This Row],[Net Revenue]]+tblData[[#This Row],[COGS]]</f>
        <v>413</v>
      </c>
      <c r="AI319" s="74">
        <f>tblData[[#This Row],[Advertising]]+tblData[[#This Row],[Promotions]]</f>
        <v>-111</v>
      </c>
      <c r="AJ319" s="74">
        <f>tblData[[#This Row],[Outbound Logistics]]+tblData[[#This Row],[Direct Selling]]</f>
        <v>-50</v>
      </c>
      <c r="AK319" s="74">
        <f>tblData[[#This Row],[Gross Profit]]+tblData[[#This Row],[AP Spend]]+tblData[[#This Row],[Cost to Serve]]</f>
        <v>252</v>
      </c>
    </row>
    <row r="320" spans="2:37" x14ac:dyDescent="0.25">
      <c r="B320" s="71" t="s">
        <v>36</v>
      </c>
      <c r="C320" s="71">
        <v>2025</v>
      </c>
      <c r="D320" s="71">
        <v>8</v>
      </c>
      <c r="E320" s="71" t="s">
        <v>45</v>
      </c>
      <c r="F320" s="71" t="s">
        <v>42</v>
      </c>
      <c r="G320" s="72">
        <v>114.7</v>
      </c>
      <c r="H320" s="73">
        <v>674</v>
      </c>
      <c r="I320" s="73">
        <v>-146</v>
      </c>
      <c r="J320" s="73">
        <v>-7</v>
      </c>
      <c r="K320" s="73">
        <v>-210</v>
      </c>
      <c r="L320" s="73">
        <v>-53</v>
      </c>
      <c r="M320" s="73">
        <v>-28</v>
      </c>
      <c r="N320" s="73">
        <v>-14</v>
      </c>
      <c r="O320" s="73">
        <v>-8</v>
      </c>
      <c r="P320" s="73">
        <v>-24</v>
      </c>
      <c r="Q320" s="73">
        <v>-13</v>
      </c>
      <c r="R320" s="73">
        <v>0</v>
      </c>
      <c r="S320" s="73">
        <v>0</v>
      </c>
      <c r="T320" s="73">
        <v>0</v>
      </c>
      <c r="U320" s="73">
        <v>0</v>
      </c>
      <c r="V320" s="73">
        <v>0</v>
      </c>
      <c r="W320" s="73">
        <v>0</v>
      </c>
      <c r="X320" s="73">
        <v>0</v>
      </c>
      <c r="Y320" s="73">
        <v>0</v>
      </c>
      <c r="Z320" s="73">
        <v>764</v>
      </c>
      <c r="AA320" s="73">
        <v>1045</v>
      </c>
      <c r="AB320" s="73">
        <v>0</v>
      </c>
      <c r="AC320" s="73">
        <v>0</v>
      </c>
      <c r="AD320" s="73">
        <v>0</v>
      </c>
      <c r="AE320" s="73">
        <v>0</v>
      </c>
      <c r="AF320" s="74">
        <f>tblData[[#This Row],[Gross Sales]]+tblData[[#This Row],[Trade Discounts]]+tblData[[#This Row],[Returns]]</f>
        <v>521</v>
      </c>
      <c r="AG320" s="74">
        <f>tblData[[#This Row],[Material Cost]]+tblData[[#This Row],[Conversion Cost]]+tblData[[#This Row],[Inbound Freight]]</f>
        <v>-291</v>
      </c>
      <c r="AH320" s="74">
        <f>tblData[[#This Row],[Net Revenue]]+tblData[[#This Row],[COGS]]</f>
        <v>230</v>
      </c>
      <c r="AI320" s="74">
        <f>tblData[[#This Row],[Advertising]]+tblData[[#This Row],[Promotions]]</f>
        <v>-22</v>
      </c>
      <c r="AJ320" s="74">
        <f>tblData[[#This Row],[Outbound Logistics]]+tblData[[#This Row],[Direct Selling]]</f>
        <v>-37</v>
      </c>
      <c r="AK320" s="74">
        <f>tblData[[#This Row],[Gross Profit]]+tblData[[#This Row],[AP Spend]]+tblData[[#This Row],[Cost to Serve]]</f>
        <v>171</v>
      </c>
    </row>
    <row r="321" spans="2:37" x14ac:dyDescent="0.25">
      <c r="B321" s="71" t="s">
        <v>36</v>
      </c>
      <c r="C321" s="71">
        <v>2025</v>
      </c>
      <c r="D321" s="71">
        <v>8</v>
      </c>
      <c r="E321" s="71" t="s">
        <v>45</v>
      </c>
      <c r="F321" s="71" t="s">
        <v>43</v>
      </c>
      <c r="G321" s="72">
        <v>21.7</v>
      </c>
      <c r="H321" s="73">
        <v>383</v>
      </c>
      <c r="I321" s="73">
        <v>-83</v>
      </c>
      <c r="J321" s="73">
        <v>-4</v>
      </c>
      <c r="K321" s="73">
        <v>-103</v>
      </c>
      <c r="L321" s="73">
        <v>-26</v>
      </c>
      <c r="M321" s="73">
        <v>-14</v>
      </c>
      <c r="N321" s="73">
        <v>-39</v>
      </c>
      <c r="O321" s="73">
        <v>-21</v>
      </c>
      <c r="P321" s="73">
        <v>-13</v>
      </c>
      <c r="Q321" s="73">
        <v>-8</v>
      </c>
      <c r="R321" s="73">
        <v>0</v>
      </c>
      <c r="S321" s="73">
        <v>0</v>
      </c>
      <c r="T321" s="73">
        <v>0</v>
      </c>
      <c r="U321" s="73">
        <v>0</v>
      </c>
      <c r="V321" s="73">
        <v>0</v>
      </c>
      <c r="W321" s="73">
        <v>0</v>
      </c>
      <c r="X321" s="73">
        <v>0</v>
      </c>
      <c r="Y321" s="73">
        <v>0</v>
      </c>
      <c r="Z321" s="73">
        <v>446</v>
      </c>
      <c r="AA321" s="73">
        <v>575</v>
      </c>
      <c r="AB321" s="73">
        <v>0</v>
      </c>
      <c r="AC321" s="73">
        <v>0</v>
      </c>
      <c r="AD321" s="73">
        <v>0</v>
      </c>
      <c r="AE321" s="73">
        <v>0</v>
      </c>
      <c r="AF321" s="74">
        <f>tblData[[#This Row],[Gross Sales]]+tblData[[#This Row],[Trade Discounts]]+tblData[[#This Row],[Returns]]</f>
        <v>296</v>
      </c>
      <c r="AG321" s="74">
        <f>tblData[[#This Row],[Material Cost]]+tblData[[#This Row],[Conversion Cost]]+tblData[[#This Row],[Inbound Freight]]</f>
        <v>-143</v>
      </c>
      <c r="AH321" s="74">
        <f>tblData[[#This Row],[Net Revenue]]+tblData[[#This Row],[COGS]]</f>
        <v>153</v>
      </c>
      <c r="AI321" s="74">
        <f>tblData[[#This Row],[Advertising]]+tblData[[#This Row],[Promotions]]</f>
        <v>-60</v>
      </c>
      <c r="AJ321" s="74">
        <f>tblData[[#This Row],[Outbound Logistics]]+tblData[[#This Row],[Direct Selling]]</f>
        <v>-21</v>
      </c>
      <c r="AK321" s="74">
        <f>tblData[[#This Row],[Gross Profit]]+tblData[[#This Row],[AP Spend]]+tblData[[#This Row],[Cost to Serve]]</f>
        <v>72</v>
      </c>
    </row>
    <row r="322" spans="2:37" x14ac:dyDescent="0.25">
      <c r="B322" s="71" t="s">
        <v>36</v>
      </c>
      <c r="C322" s="71">
        <v>2025</v>
      </c>
      <c r="D322" s="71">
        <v>8</v>
      </c>
      <c r="E322" s="71" t="s">
        <v>46</v>
      </c>
      <c r="F322" s="71" t="s">
        <v>38</v>
      </c>
      <c r="G322" s="72">
        <v>142</v>
      </c>
      <c r="H322" s="73">
        <v>1948</v>
      </c>
      <c r="I322" s="73">
        <v>-206</v>
      </c>
      <c r="J322" s="73">
        <v>-78</v>
      </c>
      <c r="K322" s="73">
        <v>-414</v>
      </c>
      <c r="L322" s="73">
        <v>-105</v>
      </c>
      <c r="M322" s="73">
        <v>-56</v>
      </c>
      <c r="N322" s="73">
        <v>-135</v>
      </c>
      <c r="O322" s="73">
        <v>-73</v>
      </c>
      <c r="P322" s="73">
        <v>-146</v>
      </c>
      <c r="Q322" s="73">
        <v>-39</v>
      </c>
      <c r="R322" s="73">
        <v>0</v>
      </c>
      <c r="S322" s="73">
        <v>0</v>
      </c>
      <c r="T322" s="73">
        <v>0</v>
      </c>
      <c r="U322" s="73">
        <v>0</v>
      </c>
      <c r="V322" s="73">
        <v>0</v>
      </c>
      <c r="W322" s="73">
        <v>0</v>
      </c>
      <c r="X322" s="73">
        <v>0</v>
      </c>
      <c r="Y322" s="73">
        <v>0</v>
      </c>
      <c r="Z322" s="73">
        <v>1368</v>
      </c>
      <c r="AA322" s="73">
        <v>1797</v>
      </c>
      <c r="AB322" s="73">
        <v>0</v>
      </c>
      <c r="AC322" s="73">
        <v>0</v>
      </c>
      <c r="AD322" s="73">
        <v>0</v>
      </c>
      <c r="AE322" s="73">
        <v>0</v>
      </c>
      <c r="AF322" s="74">
        <f>tblData[[#This Row],[Gross Sales]]+tblData[[#This Row],[Trade Discounts]]+tblData[[#This Row],[Returns]]</f>
        <v>1664</v>
      </c>
      <c r="AG322" s="74">
        <f>tblData[[#This Row],[Material Cost]]+tblData[[#This Row],[Conversion Cost]]+tblData[[#This Row],[Inbound Freight]]</f>
        <v>-575</v>
      </c>
      <c r="AH322" s="74">
        <f>tblData[[#This Row],[Net Revenue]]+tblData[[#This Row],[COGS]]</f>
        <v>1089</v>
      </c>
      <c r="AI322" s="74">
        <f>tblData[[#This Row],[Advertising]]+tblData[[#This Row],[Promotions]]</f>
        <v>-208</v>
      </c>
      <c r="AJ322" s="74">
        <f>tblData[[#This Row],[Outbound Logistics]]+tblData[[#This Row],[Direct Selling]]</f>
        <v>-185</v>
      </c>
      <c r="AK322" s="74">
        <f>tblData[[#This Row],[Gross Profit]]+tblData[[#This Row],[AP Spend]]+tblData[[#This Row],[Cost to Serve]]</f>
        <v>696</v>
      </c>
    </row>
    <row r="323" spans="2:37" x14ac:dyDescent="0.25">
      <c r="B323" s="71" t="s">
        <v>36</v>
      </c>
      <c r="C323" s="71">
        <v>2025</v>
      </c>
      <c r="D323" s="71">
        <v>8</v>
      </c>
      <c r="E323" s="71" t="s">
        <v>46</v>
      </c>
      <c r="F323" s="71" t="s">
        <v>39</v>
      </c>
      <c r="G323" s="72">
        <v>191.2</v>
      </c>
      <c r="H323" s="73">
        <v>1687</v>
      </c>
      <c r="I323" s="73">
        <v>-179</v>
      </c>
      <c r="J323" s="73">
        <v>-67</v>
      </c>
      <c r="K323" s="73">
        <v>-431</v>
      </c>
      <c r="L323" s="73">
        <v>-109</v>
      </c>
      <c r="M323" s="73">
        <v>-58</v>
      </c>
      <c r="N323" s="73">
        <v>-77</v>
      </c>
      <c r="O323" s="73">
        <v>-42</v>
      </c>
      <c r="P323" s="73">
        <v>-127</v>
      </c>
      <c r="Q323" s="73">
        <v>-34</v>
      </c>
      <c r="R323" s="73">
        <v>0</v>
      </c>
      <c r="S323" s="73">
        <v>0</v>
      </c>
      <c r="T323" s="73">
        <v>0</v>
      </c>
      <c r="U323" s="73">
        <v>0</v>
      </c>
      <c r="V323" s="73">
        <v>0</v>
      </c>
      <c r="W323" s="73">
        <v>0</v>
      </c>
      <c r="X323" s="73">
        <v>0</v>
      </c>
      <c r="Y323" s="73">
        <v>0</v>
      </c>
      <c r="Z323" s="73">
        <v>1168</v>
      </c>
      <c r="AA323" s="73">
        <v>1551</v>
      </c>
      <c r="AB323" s="73">
        <v>0</v>
      </c>
      <c r="AC323" s="73">
        <v>0</v>
      </c>
      <c r="AD323" s="73">
        <v>0</v>
      </c>
      <c r="AE323" s="73">
        <v>0</v>
      </c>
      <c r="AF323" s="74">
        <f>tblData[[#This Row],[Gross Sales]]+tblData[[#This Row],[Trade Discounts]]+tblData[[#This Row],[Returns]]</f>
        <v>1441</v>
      </c>
      <c r="AG323" s="74">
        <f>tblData[[#This Row],[Material Cost]]+tblData[[#This Row],[Conversion Cost]]+tblData[[#This Row],[Inbound Freight]]</f>
        <v>-598</v>
      </c>
      <c r="AH323" s="74">
        <f>tblData[[#This Row],[Net Revenue]]+tblData[[#This Row],[COGS]]</f>
        <v>843</v>
      </c>
      <c r="AI323" s="74">
        <f>tblData[[#This Row],[Advertising]]+tblData[[#This Row],[Promotions]]</f>
        <v>-119</v>
      </c>
      <c r="AJ323" s="74">
        <f>tblData[[#This Row],[Outbound Logistics]]+tblData[[#This Row],[Direct Selling]]</f>
        <v>-161</v>
      </c>
      <c r="AK323" s="74">
        <f>tblData[[#This Row],[Gross Profit]]+tblData[[#This Row],[AP Spend]]+tblData[[#This Row],[Cost to Serve]]</f>
        <v>563</v>
      </c>
    </row>
    <row r="324" spans="2:37" x14ac:dyDescent="0.25">
      <c r="B324" s="71" t="s">
        <v>36</v>
      </c>
      <c r="C324" s="71">
        <v>2025</v>
      </c>
      <c r="D324" s="71">
        <v>8</v>
      </c>
      <c r="E324" s="71" t="s">
        <v>46</v>
      </c>
      <c r="F324" s="71" t="s">
        <v>40</v>
      </c>
      <c r="G324" s="72">
        <v>186.6</v>
      </c>
      <c r="H324" s="73">
        <v>1280</v>
      </c>
      <c r="I324" s="73">
        <v>-136</v>
      </c>
      <c r="J324" s="73">
        <v>-51</v>
      </c>
      <c r="K324" s="73">
        <v>-363</v>
      </c>
      <c r="L324" s="73">
        <v>-92</v>
      </c>
      <c r="M324" s="73">
        <v>-49</v>
      </c>
      <c r="N324" s="73">
        <v>-39</v>
      </c>
      <c r="O324" s="73">
        <v>-21</v>
      </c>
      <c r="P324" s="73">
        <v>-96</v>
      </c>
      <c r="Q324" s="73">
        <v>-26</v>
      </c>
      <c r="R324" s="73">
        <v>0</v>
      </c>
      <c r="S324" s="73">
        <v>0</v>
      </c>
      <c r="T324" s="73">
        <v>0</v>
      </c>
      <c r="U324" s="73">
        <v>0</v>
      </c>
      <c r="V324" s="73">
        <v>0</v>
      </c>
      <c r="W324" s="73">
        <v>0</v>
      </c>
      <c r="X324" s="73">
        <v>0</v>
      </c>
      <c r="Y324" s="73">
        <v>0</v>
      </c>
      <c r="Z324" s="73">
        <v>885</v>
      </c>
      <c r="AA324" s="73">
        <v>1224</v>
      </c>
      <c r="AB324" s="73">
        <v>0</v>
      </c>
      <c r="AC324" s="73">
        <v>0</v>
      </c>
      <c r="AD324" s="73">
        <v>0</v>
      </c>
      <c r="AE324" s="73">
        <v>0</v>
      </c>
      <c r="AF324" s="74">
        <f>tblData[[#This Row],[Gross Sales]]+tblData[[#This Row],[Trade Discounts]]+tblData[[#This Row],[Returns]]</f>
        <v>1093</v>
      </c>
      <c r="AG324" s="74">
        <f>tblData[[#This Row],[Material Cost]]+tblData[[#This Row],[Conversion Cost]]+tblData[[#This Row],[Inbound Freight]]</f>
        <v>-504</v>
      </c>
      <c r="AH324" s="74">
        <f>tblData[[#This Row],[Net Revenue]]+tblData[[#This Row],[COGS]]</f>
        <v>589</v>
      </c>
      <c r="AI324" s="74">
        <f>tblData[[#This Row],[Advertising]]+tblData[[#This Row],[Promotions]]</f>
        <v>-60</v>
      </c>
      <c r="AJ324" s="74">
        <f>tblData[[#This Row],[Outbound Logistics]]+tblData[[#This Row],[Direct Selling]]</f>
        <v>-122</v>
      </c>
      <c r="AK324" s="74">
        <f>tblData[[#This Row],[Gross Profit]]+tblData[[#This Row],[AP Spend]]+tblData[[#This Row],[Cost to Serve]]</f>
        <v>407</v>
      </c>
    </row>
    <row r="325" spans="2:37" x14ac:dyDescent="0.25">
      <c r="B325" s="71" t="s">
        <v>36</v>
      </c>
      <c r="C325" s="71">
        <v>2025</v>
      </c>
      <c r="D325" s="71">
        <v>8</v>
      </c>
      <c r="E325" s="71" t="s">
        <v>46</v>
      </c>
      <c r="F325" s="71" t="s">
        <v>41</v>
      </c>
      <c r="G325" s="72">
        <v>91.7</v>
      </c>
      <c r="H325" s="73">
        <v>988</v>
      </c>
      <c r="I325" s="73">
        <v>-105</v>
      </c>
      <c r="J325" s="73">
        <v>-40</v>
      </c>
      <c r="K325" s="73">
        <v>-231</v>
      </c>
      <c r="L325" s="73">
        <v>-59</v>
      </c>
      <c r="M325" s="73">
        <v>-31</v>
      </c>
      <c r="N325" s="73">
        <v>-83</v>
      </c>
      <c r="O325" s="73">
        <v>-45</v>
      </c>
      <c r="P325" s="73">
        <v>-74</v>
      </c>
      <c r="Q325" s="73">
        <v>-20</v>
      </c>
      <c r="R325" s="73">
        <v>0</v>
      </c>
      <c r="S325" s="73">
        <v>0</v>
      </c>
      <c r="T325" s="73">
        <v>0</v>
      </c>
      <c r="U325" s="73">
        <v>0</v>
      </c>
      <c r="V325" s="73">
        <v>0</v>
      </c>
      <c r="W325" s="73">
        <v>0</v>
      </c>
      <c r="X325" s="73">
        <v>0</v>
      </c>
      <c r="Y325" s="73">
        <v>0</v>
      </c>
      <c r="Z325" s="73">
        <v>694</v>
      </c>
      <c r="AA325" s="73">
        <v>950</v>
      </c>
      <c r="AB325" s="73">
        <v>0</v>
      </c>
      <c r="AC325" s="73">
        <v>0</v>
      </c>
      <c r="AD325" s="73">
        <v>0</v>
      </c>
      <c r="AE325" s="73">
        <v>0</v>
      </c>
      <c r="AF325" s="74">
        <f>tblData[[#This Row],[Gross Sales]]+tblData[[#This Row],[Trade Discounts]]+tblData[[#This Row],[Returns]]</f>
        <v>843</v>
      </c>
      <c r="AG325" s="74">
        <f>tblData[[#This Row],[Material Cost]]+tblData[[#This Row],[Conversion Cost]]+tblData[[#This Row],[Inbound Freight]]</f>
        <v>-321</v>
      </c>
      <c r="AH325" s="74">
        <f>tblData[[#This Row],[Net Revenue]]+tblData[[#This Row],[COGS]]</f>
        <v>522</v>
      </c>
      <c r="AI325" s="74">
        <f>tblData[[#This Row],[Advertising]]+tblData[[#This Row],[Promotions]]</f>
        <v>-128</v>
      </c>
      <c r="AJ325" s="74">
        <f>tblData[[#This Row],[Outbound Logistics]]+tblData[[#This Row],[Direct Selling]]</f>
        <v>-94</v>
      </c>
      <c r="AK325" s="74">
        <f>tblData[[#This Row],[Gross Profit]]+tblData[[#This Row],[AP Spend]]+tblData[[#This Row],[Cost to Serve]]</f>
        <v>300</v>
      </c>
    </row>
    <row r="326" spans="2:37" x14ac:dyDescent="0.25">
      <c r="B326" s="71" t="s">
        <v>36</v>
      </c>
      <c r="C326" s="71">
        <v>2025</v>
      </c>
      <c r="D326" s="71">
        <v>8</v>
      </c>
      <c r="E326" s="71" t="s">
        <v>46</v>
      </c>
      <c r="F326" s="71" t="s">
        <v>42</v>
      </c>
      <c r="G326" s="72">
        <v>123.1</v>
      </c>
      <c r="H326" s="73">
        <v>724</v>
      </c>
      <c r="I326" s="73">
        <v>-77</v>
      </c>
      <c r="J326" s="73">
        <v>-29</v>
      </c>
      <c r="K326" s="73">
        <v>-226</v>
      </c>
      <c r="L326" s="73">
        <v>-57</v>
      </c>
      <c r="M326" s="73">
        <v>-30</v>
      </c>
      <c r="N326" s="73">
        <v>-16</v>
      </c>
      <c r="O326" s="73">
        <v>-9</v>
      </c>
      <c r="P326" s="73">
        <v>-54</v>
      </c>
      <c r="Q326" s="73">
        <v>-14</v>
      </c>
      <c r="R326" s="73">
        <v>0</v>
      </c>
      <c r="S326" s="73">
        <v>0</v>
      </c>
      <c r="T326" s="73">
        <v>0</v>
      </c>
      <c r="U326" s="73">
        <v>0</v>
      </c>
      <c r="V326" s="73">
        <v>0</v>
      </c>
      <c r="W326" s="73">
        <v>0</v>
      </c>
      <c r="X326" s="73">
        <v>0</v>
      </c>
      <c r="Y326" s="73">
        <v>0</v>
      </c>
      <c r="Z326" s="73">
        <v>497</v>
      </c>
      <c r="AA326" s="73">
        <v>1108</v>
      </c>
      <c r="AB326" s="73">
        <v>0</v>
      </c>
      <c r="AC326" s="73">
        <v>0</v>
      </c>
      <c r="AD326" s="73">
        <v>0</v>
      </c>
      <c r="AE326" s="73">
        <v>0</v>
      </c>
      <c r="AF326" s="74">
        <f>tblData[[#This Row],[Gross Sales]]+tblData[[#This Row],[Trade Discounts]]+tblData[[#This Row],[Returns]]</f>
        <v>618</v>
      </c>
      <c r="AG326" s="74">
        <f>tblData[[#This Row],[Material Cost]]+tblData[[#This Row],[Conversion Cost]]+tblData[[#This Row],[Inbound Freight]]</f>
        <v>-313</v>
      </c>
      <c r="AH326" s="74">
        <f>tblData[[#This Row],[Net Revenue]]+tblData[[#This Row],[COGS]]</f>
        <v>305</v>
      </c>
      <c r="AI326" s="74">
        <f>tblData[[#This Row],[Advertising]]+tblData[[#This Row],[Promotions]]</f>
        <v>-25</v>
      </c>
      <c r="AJ326" s="74">
        <f>tblData[[#This Row],[Outbound Logistics]]+tblData[[#This Row],[Direct Selling]]</f>
        <v>-68</v>
      </c>
      <c r="AK326" s="74">
        <f>tblData[[#This Row],[Gross Profit]]+tblData[[#This Row],[AP Spend]]+tblData[[#This Row],[Cost to Serve]]</f>
        <v>212</v>
      </c>
    </row>
    <row r="327" spans="2:37" x14ac:dyDescent="0.25">
      <c r="B327" s="71" t="s">
        <v>36</v>
      </c>
      <c r="C327" s="71">
        <v>2025</v>
      </c>
      <c r="D327" s="71">
        <v>8</v>
      </c>
      <c r="E327" s="71" t="s">
        <v>46</v>
      </c>
      <c r="F327" s="71" t="s">
        <v>43</v>
      </c>
      <c r="G327" s="72">
        <v>23.6</v>
      </c>
      <c r="H327" s="73">
        <v>417</v>
      </c>
      <c r="I327" s="73">
        <v>-44</v>
      </c>
      <c r="J327" s="73">
        <v>-17</v>
      </c>
      <c r="K327" s="73">
        <v>-112</v>
      </c>
      <c r="L327" s="73">
        <v>-28</v>
      </c>
      <c r="M327" s="73">
        <v>-15</v>
      </c>
      <c r="N327" s="73">
        <v>-45</v>
      </c>
      <c r="O327" s="73">
        <v>-24</v>
      </c>
      <c r="P327" s="73">
        <v>-31</v>
      </c>
      <c r="Q327" s="73">
        <v>-8</v>
      </c>
      <c r="R327" s="73">
        <v>0</v>
      </c>
      <c r="S327" s="73">
        <v>0</v>
      </c>
      <c r="T327" s="73">
        <v>0</v>
      </c>
      <c r="U327" s="73">
        <v>0</v>
      </c>
      <c r="V327" s="73">
        <v>0</v>
      </c>
      <c r="W327" s="73">
        <v>0</v>
      </c>
      <c r="X327" s="73">
        <v>0</v>
      </c>
      <c r="Y327" s="73">
        <v>0</v>
      </c>
      <c r="Z327" s="73">
        <v>291</v>
      </c>
      <c r="AA327" s="73">
        <v>611</v>
      </c>
      <c r="AB327" s="73">
        <v>0</v>
      </c>
      <c r="AC327" s="73">
        <v>0</v>
      </c>
      <c r="AD327" s="73">
        <v>0</v>
      </c>
      <c r="AE327" s="73">
        <v>0</v>
      </c>
      <c r="AF327" s="74">
        <f>tblData[[#This Row],[Gross Sales]]+tblData[[#This Row],[Trade Discounts]]+tblData[[#This Row],[Returns]]</f>
        <v>356</v>
      </c>
      <c r="AG327" s="74">
        <f>tblData[[#This Row],[Material Cost]]+tblData[[#This Row],[Conversion Cost]]+tblData[[#This Row],[Inbound Freight]]</f>
        <v>-155</v>
      </c>
      <c r="AH327" s="74">
        <f>tblData[[#This Row],[Net Revenue]]+tblData[[#This Row],[COGS]]</f>
        <v>201</v>
      </c>
      <c r="AI327" s="74">
        <f>tblData[[#This Row],[Advertising]]+tblData[[#This Row],[Promotions]]</f>
        <v>-69</v>
      </c>
      <c r="AJ327" s="74">
        <f>tblData[[#This Row],[Outbound Logistics]]+tblData[[#This Row],[Direct Selling]]</f>
        <v>-39</v>
      </c>
      <c r="AK327" s="74">
        <f>tblData[[#This Row],[Gross Profit]]+tblData[[#This Row],[AP Spend]]+tblData[[#This Row],[Cost to Serve]]</f>
        <v>93</v>
      </c>
    </row>
    <row r="328" spans="2:37" x14ac:dyDescent="0.25">
      <c r="B328" s="71" t="s">
        <v>36</v>
      </c>
      <c r="C328" s="71">
        <v>2025</v>
      </c>
      <c r="D328" s="71">
        <v>8</v>
      </c>
      <c r="E328" s="71" t="s">
        <v>47</v>
      </c>
      <c r="F328" s="71" t="s">
        <v>38</v>
      </c>
      <c r="G328" s="72">
        <v>60.3</v>
      </c>
      <c r="H328" s="73">
        <v>828</v>
      </c>
      <c r="I328" s="73">
        <v>-22</v>
      </c>
      <c r="J328" s="73">
        <v>-41</v>
      </c>
      <c r="K328" s="73">
        <v>-176</v>
      </c>
      <c r="L328" s="73">
        <v>-45</v>
      </c>
      <c r="M328" s="73">
        <v>-24</v>
      </c>
      <c r="N328" s="73">
        <v>-51</v>
      </c>
      <c r="O328" s="73">
        <v>-27</v>
      </c>
      <c r="P328" s="73">
        <v>-99</v>
      </c>
      <c r="Q328" s="73">
        <v>-33</v>
      </c>
      <c r="R328" s="73">
        <v>0</v>
      </c>
      <c r="S328" s="73">
        <v>0</v>
      </c>
      <c r="T328" s="73">
        <v>0</v>
      </c>
      <c r="U328" s="73">
        <v>0</v>
      </c>
      <c r="V328" s="73">
        <v>0</v>
      </c>
      <c r="W328" s="73">
        <v>0</v>
      </c>
      <c r="X328" s="73">
        <v>0</v>
      </c>
      <c r="Y328" s="73">
        <v>0</v>
      </c>
      <c r="Z328" s="73">
        <v>75</v>
      </c>
      <c r="AA328" s="73">
        <v>760</v>
      </c>
      <c r="AB328" s="73">
        <v>0</v>
      </c>
      <c r="AC328" s="73">
        <v>0</v>
      </c>
      <c r="AD328" s="73">
        <v>0</v>
      </c>
      <c r="AE328" s="73">
        <v>0</v>
      </c>
      <c r="AF328" s="74">
        <f>tblData[[#This Row],[Gross Sales]]+tblData[[#This Row],[Trade Discounts]]+tblData[[#This Row],[Returns]]</f>
        <v>765</v>
      </c>
      <c r="AG328" s="74">
        <f>tblData[[#This Row],[Material Cost]]+tblData[[#This Row],[Conversion Cost]]+tblData[[#This Row],[Inbound Freight]]</f>
        <v>-245</v>
      </c>
      <c r="AH328" s="74">
        <f>tblData[[#This Row],[Net Revenue]]+tblData[[#This Row],[COGS]]</f>
        <v>520</v>
      </c>
      <c r="AI328" s="74">
        <f>tblData[[#This Row],[Advertising]]+tblData[[#This Row],[Promotions]]</f>
        <v>-78</v>
      </c>
      <c r="AJ328" s="74">
        <f>tblData[[#This Row],[Outbound Logistics]]+tblData[[#This Row],[Direct Selling]]</f>
        <v>-132</v>
      </c>
      <c r="AK328" s="74">
        <f>tblData[[#This Row],[Gross Profit]]+tblData[[#This Row],[AP Spend]]+tblData[[#This Row],[Cost to Serve]]</f>
        <v>310</v>
      </c>
    </row>
    <row r="329" spans="2:37" x14ac:dyDescent="0.25">
      <c r="B329" s="71" t="s">
        <v>36</v>
      </c>
      <c r="C329" s="71">
        <v>2025</v>
      </c>
      <c r="D329" s="71">
        <v>8</v>
      </c>
      <c r="E329" s="71" t="s">
        <v>47</v>
      </c>
      <c r="F329" s="71" t="s">
        <v>39</v>
      </c>
      <c r="G329" s="72">
        <v>78.599999999999994</v>
      </c>
      <c r="H329" s="73">
        <v>693</v>
      </c>
      <c r="I329" s="73">
        <v>-18</v>
      </c>
      <c r="J329" s="73">
        <v>-35</v>
      </c>
      <c r="K329" s="73">
        <v>-177</v>
      </c>
      <c r="L329" s="73">
        <v>-45</v>
      </c>
      <c r="M329" s="73">
        <v>-24</v>
      </c>
      <c r="N329" s="73">
        <v>-29</v>
      </c>
      <c r="O329" s="73">
        <v>-16</v>
      </c>
      <c r="P329" s="73">
        <v>-83</v>
      </c>
      <c r="Q329" s="73">
        <v>-28</v>
      </c>
      <c r="R329" s="73">
        <v>0</v>
      </c>
      <c r="S329" s="73">
        <v>0</v>
      </c>
      <c r="T329" s="73">
        <v>0</v>
      </c>
      <c r="U329" s="73">
        <v>0</v>
      </c>
      <c r="V329" s="73">
        <v>0</v>
      </c>
      <c r="W329" s="73">
        <v>0</v>
      </c>
      <c r="X329" s="73">
        <v>0</v>
      </c>
      <c r="Y329" s="73">
        <v>0</v>
      </c>
      <c r="Z329" s="73">
        <v>63</v>
      </c>
      <c r="AA329" s="73">
        <v>640</v>
      </c>
      <c r="AB329" s="73">
        <v>0</v>
      </c>
      <c r="AC329" s="73">
        <v>0</v>
      </c>
      <c r="AD329" s="73">
        <v>0</v>
      </c>
      <c r="AE329" s="73">
        <v>0</v>
      </c>
      <c r="AF329" s="74">
        <f>tblData[[#This Row],[Gross Sales]]+tblData[[#This Row],[Trade Discounts]]+tblData[[#This Row],[Returns]]</f>
        <v>640</v>
      </c>
      <c r="AG329" s="74">
        <f>tblData[[#This Row],[Material Cost]]+tblData[[#This Row],[Conversion Cost]]+tblData[[#This Row],[Inbound Freight]]</f>
        <v>-246</v>
      </c>
      <c r="AH329" s="74">
        <f>tblData[[#This Row],[Net Revenue]]+tblData[[#This Row],[COGS]]</f>
        <v>394</v>
      </c>
      <c r="AI329" s="74">
        <f>tblData[[#This Row],[Advertising]]+tblData[[#This Row],[Promotions]]</f>
        <v>-45</v>
      </c>
      <c r="AJ329" s="74">
        <f>tblData[[#This Row],[Outbound Logistics]]+tblData[[#This Row],[Direct Selling]]</f>
        <v>-111</v>
      </c>
      <c r="AK329" s="74">
        <f>tblData[[#This Row],[Gross Profit]]+tblData[[#This Row],[AP Spend]]+tblData[[#This Row],[Cost to Serve]]</f>
        <v>238</v>
      </c>
    </row>
    <row r="330" spans="2:37" x14ac:dyDescent="0.25">
      <c r="B330" s="71" t="s">
        <v>36</v>
      </c>
      <c r="C330" s="71">
        <v>2025</v>
      </c>
      <c r="D330" s="71">
        <v>8</v>
      </c>
      <c r="E330" s="71" t="s">
        <v>47</v>
      </c>
      <c r="F330" s="71" t="s">
        <v>40</v>
      </c>
      <c r="G330" s="72">
        <v>76.400000000000006</v>
      </c>
      <c r="H330" s="73">
        <v>524</v>
      </c>
      <c r="I330" s="73">
        <v>-14</v>
      </c>
      <c r="J330" s="73">
        <v>-26</v>
      </c>
      <c r="K330" s="73">
        <v>-149</v>
      </c>
      <c r="L330" s="73">
        <v>-38</v>
      </c>
      <c r="M330" s="73">
        <v>-20</v>
      </c>
      <c r="N330" s="73">
        <v>-15</v>
      </c>
      <c r="O330" s="73">
        <v>-8</v>
      </c>
      <c r="P330" s="73">
        <v>-63</v>
      </c>
      <c r="Q330" s="73">
        <v>-21</v>
      </c>
      <c r="R330" s="73">
        <v>0</v>
      </c>
      <c r="S330" s="73">
        <v>0</v>
      </c>
      <c r="T330" s="73">
        <v>0</v>
      </c>
      <c r="U330" s="73">
        <v>0</v>
      </c>
      <c r="V330" s="73">
        <v>0</v>
      </c>
      <c r="W330" s="73">
        <v>0</v>
      </c>
      <c r="X330" s="73">
        <v>0</v>
      </c>
      <c r="Y330" s="73">
        <v>0</v>
      </c>
      <c r="Z330" s="73">
        <v>47</v>
      </c>
      <c r="AA330" s="73">
        <v>501</v>
      </c>
      <c r="AB330" s="73">
        <v>0</v>
      </c>
      <c r="AC330" s="73">
        <v>0</v>
      </c>
      <c r="AD330" s="73">
        <v>0</v>
      </c>
      <c r="AE330" s="73">
        <v>0</v>
      </c>
      <c r="AF330" s="74">
        <f>tblData[[#This Row],[Gross Sales]]+tblData[[#This Row],[Trade Discounts]]+tblData[[#This Row],[Returns]]</f>
        <v>484</v>
      </c>
      <c r="AG330" s="74">
        <f>tblData[[#This Row],[Material Cost]]+tblData[[#This Row],[Conversion Cost]]+tblData[[#This Row],[Inbound Freight]]</f>
        <v>-207</v>
      </c>
      <c r="AH330" s="74">
        <f>tblData[[#This Row],[Net Revenue]]+tblData[[#This Row],[COGS]]</f>
        <v>277</v>
      </c>
      <c r="AI330" s="74">
        <f>tblData[[#This Row],[Advertising]]+tblData[[#This Row],[Promotions]]</f>
        <v>-23</v>
      </c>
      <c r="AJ330" s="74">
        <f>tblData[[#This Row],[Outbound Logistics]]+tblData[[#This Row],[Direct Selling]]</f>
        <v>-84</v>
      </c>
      <c r="AK330" s="74">
        <f>tblData[[#This Row],[Gross Profit]]+tblData[[#This Row],[AP Spend]]+tblData[[#This Row],[Cost to Serve]]</f>
        <v>170</v>
      </c>
    </row>
    <row r="331" spans="2:37" x14ac:dyDescent="0.25">
      <c r="B331" s="71" t="s">
        <v>36</v>
      </c>
      <c r="C331" s="71">
        <v>2025</v>
      </c>
      <c r="D331" s="71">
        <v>8</v>
      </c>
      <c r="E331" s="71" t="s">
        <v>47</v>
      </c>
      <c r="F331" s="71" t="s">
        <v>41</v>
      </c>
      <c r="G331" s="72">
        <v>37.799999999999997</v>
      </c>
      <c r="H331" s="73">
        <v>407</v>
      </c>
      <c r="I331" s="73">
        <v>-11</v>
      </c>
      <c r="J331" s="73">
        <v>-20</v>
      </c>
      <c r="K331" s="73">
        <v>-95</v>
      </c>
      <c r="L331" s="73">
        <v>-24</v>
      </c>
      <c r="M331" s="73">
        <v>-13</v>
      </c>
      <c r="N331" s="73">
        <v>-31</v>
      </c>
      <c r="O331" s="73">
        <v>-17</v>
      </c>
      <c r="P331" s="73">
        <v>-49</v>
      </c>
      <c r="Q331" s="73">
        <v>-16</v>
      </c>
      <c r="R331" s="73">
        <v>0</v>
      </c>
      <c r="S331" s="73">
        <v>0</v>
      </c>
      <c r="T331" s="73">
        <v>0</v>
      </c>
      <c r="U331" s="73">
        <v>0</v>
      </c>
      <c r="V331" s="73">
        <v>0</v>
      </c>
      <c r="W331" s="73">
        <v>0</v>
      </c>
      <c r="X331" s="73">
        <v>0</v>
      </c>
      <c r="Y331" s="73">
        <v>0</v>
      </c>
      <c r="Z331" s="73">
        <v>37</v>
      </c>
      <c r="AA331" s="73">
        <v>390</v>
      </c>
      <c r="AB331" s="73">
        <v>0</v>
      </c>
      <c r="AC331" s="73">
        <v>0</v>
      </c>
      <c r="AD331" s="73">
        <v>0</v>
      </c>
      <c r="AE331" s="73">
        <v>0</v>
      </c>
      <c r="AF331" s="74">
        <f>tblData[[#This Row],[Gross Sales]]+tblData[[#This Row],[Trade Discounts]]+tblData[[#This Row],[Returns]]</f>
        <v>376</v>
      </c>
      <c r="AG331" s="74">
        <f>tblData[[#This Row],[Material Cost]]+tblData[[#This Row],[Conversion Cost]]+tblData[[#This Row],[Inbound Freight]]</f>
        <v>-132</v>
      </c>
      <c r="AH331" s="74">
        <f>tblData[[#This Row],[Net Revenue]]+tblData[[#This Row],[COGS]]</f>
        <v>244</v>
      </c>
      <c r="AI331" s="74">
        <f>tblData[[#This Row],[Advertising]]+tblData[[#This Row],[Promotions]]</f>
        <v>-48</v>
      </c>
      <c r="AJ331" s="74">
        <f>tblData[[#This Row],[Outbound Logistics]]+tblData[[#This Row],[Direct Selling]]</f>
        <v>-65</v>
      </c>
      <c r="AK331" s="74">
        <f>tblData[[#This Row],[Gross Profit]]+tblData[[#This Row],[AP Spend]]+tblData[[#This Row],[Cost to Serve]]</f>
        <v>131</v>
      </c>
    </row>
    <row r="332" spans="2:37" x14ac:dyDescent="0.25">
      <c r="B332" s="71" t="s">
        <v>36</v>
      </c>
      <c r="C332" s="71">
        <v>2025</v>
      </c>
      <c r="D332" s="71">
        <v>8</v>
      </c>
      <c r="E332" s="71" t="s">
        <v>47</v>
      </c>
      <c r="F332" s="71" t="s">
        <v>42</v>
      </c>
      <c r="G332" s="72">
        <v>48.6</v>
      </c>
      <c r="H332" s="73">
        <v>286</v>
      </c>
      <c r="I332" s="73">
        <v>-7</v>
      </c>
      <c r="J332" s="73">
        <v>-14</v>
      </c>
      <c r="K332" s="73">
        <v>-89</v>
      </c>
      <c r="L332" s="73">
        <v>-23</v>
      </c>
      <c r="M332" s="73">
        <v>-12</v>
      </c>
      <c r="N332" s="73">
        <v>-6</v>
      </c>
      <c r="O332" s="73">
        <v>-3</v>
      </c>
      <c r="P332" s="73">
        <v>-34</v>
      </c>
      <c r="Q332" s="73">
        <v>-11</v>
      </c>
      <c r="R332" s="73">
        <v>0</v>
      </c>
      <c r="S332" s="73">
        <v>0</v>
      </c>
      <c r="T332" s="73">
        <v>0</v>
      </c>
      <c r="U332" s="73">
        <v>0</v>
      </c>
      <c r="V332" s="73">
        <v>0</v>
      </c>
      <c r="W332" s="73">
        <v>0</v>
      </c>
      <c r="X332" s="73">
        <v>0</v>
      </c>
      <c r="Y332" s="73">
        <v>0</v>
      </c>
      <c r="Z332" s="73">
        <v>26</v>
      </c>
      <c r="AA332" s="73">
        <v>449</v>
      </c>
      <c r="AB332" s="73">
        <v>0</v>
      </c>
      <c r="AC332" s="73">
        <v>0</v>
      </c>
      <c r="AD332" s="73">
        <v>0</v>
      </c>
      <c r="AE332" s="73">
        <v>0</v>
      </c>
      <c r="AF332" s="74">
        <f>tblData[[#This Row],[Gross Sales]]+tblData[[#This Row],[Trade Discounts]]+tblData[[#This Row],[Returns]]</f>
        <v>265</v>
      </c>
      <c r="AG332" s="74">
        <f>tblData[[#This Row],[Material Cost]]+tblData[[#This Row],[Conversion Cost]]+tblData[[#This Row],[Inbound Freight]]</f>
        <v>-124</v>
      </c>
      <c r="AH332" s="74">
        <f>tblData[[#This Row],[Net Revenue]]+tblData[[#This Row],[COGS]]</f>
        <v>141</v>
      </c>
      <c r="AI332" s="74">
        <f>tblData[[#This Row],[Advertising]]+tblData[[#This Row],[Promotions]]</f>
        <v>-9</v>
      </c>
      <c r="AJ332" s="74">
        <f>tblData[[#This Row],[Outbound Logistics]]+tblData[[#This Row],[Direct Selling]]</f>
        <v>-45</v>
      </c>
      <c r="AK332" s="74">
        <f>tblData[[#This Row],[Gross Profit]]+tblData[[#This Row],[AP Spend]]+tblData[[#This Row],[Cost to Serve]]</f>
        <v>87</v>
      </c>
    </row>
    <row r="333" spans="2:37" x14ac:dyDescent="0.25">
      <c r="B333" s="71" t="s">
        <v>36</v>
      </c>
      <c r="C333" s="71">
        <v>2025</v>
      </c>
      <c r="D333" s="71">
        <v>8</v>
      </c>
      <c r="E333" s="71" t="s">
        <v>47</v>
      </c>
      <c r="F333" s="71" t="s">
        <v>43</v>
      </c>
      <c r="G333" s="72">
        <v>9.6999999999999993</v>
      </c>
      <c r="H333" s="73">
        <v>171</v>
      </c>
      <c r="I333" s="73">
        <v>-4</v>
      </c>
      <c r="J333" s="73">
        <v>-9</v>
      </c>
      <c r="K333" s="73">
        <v>-46</v>
      </c>
      <c r="L333" s="73">
        <v>-12</v>
      </c>
      <c r="M333" s="73">
        <v>-6</v>
      </c>
      <c r="N333" s="73">
        <v>-17</v>
      </c>
      <c r="O333" s="73">
        <v>-9</v>
      </c>
      <c r="P333" s="73">
        <v>-20</v>
      </c>
      <c r="Q333" s="73">
        <v>-7</v>
      </c>
      <c r="R333" s="73">
        <v>0</v>
      </c>
      <c r="S333" s="73">
        <v>0</v>
      </c>
      <c r="T333" s="73">
        <v>0</v>
      </c>
      <c r="U333" s="73">
        <v>0</v>
      </c>
      <c r="V333" s="73">
        <v>0</v>
      </c>
      <c r="W333" s="73">
        <v>0</v>
      </c>
      <c r="X333" s="73">
        <v>0</v>
      </c>
      <c r="Y333" s="73">
        <v>0</v>
      </c>
      <c r="Z333" s="73">
        <v>15</v>
      </c>
      <c r="AA333" s="73">
        <v>251</v>
      </c>
      <c r="AB333" s="73">
        <v>0</v>
      </c>
      <c r="AC333" s="73">
        <v>0</v>
      </c>
      <c r="AD333" s="73">
        <v>0</v>
      </c>
      <c r="AE333" s="73">
        <v>0</v>
      </c>
      <c r="AF333" s="74">
        <f>tblData[[#This Row],[Gross Sales]]+tblData[[#This Row],[Trade Discounts]]+tblData[[#This Row],[Returns]]</f>
        <v>158</v>
      </c>
      <c r="AG333" s="74">
        <f>tblData[[#This Row],[Material Cost]]+tblData[[#This Row],[Conversion Cost]]+tblData[[#This Row],[Inbound Freight]]</f>
        <v>-64</v>
      </c>
      <c r="AH333" s="74">
        <f>tblData[[#This Row],[Net Revenue]]+tblData[[#This Row],[COGS]]</f>
        <v>94</v>
      </c>
      <c r="AI333" s="74">
        <f>tblData[[#This Row],[Advertising]]+tblData[[#This Row],[Promotions]]</f>
        <v>-26</v>
      </c>
      <c r="AJ333" s="74">
        <f>tblData[[#This Row],[Outbound Logistics]]+tblData[[#This Row],[Direct Selling]]</f>
        <v>-27</v>
      </c>
      <c r="AK333" s="74">
        <f>tblData[[#This Row],[Gross Profit]]+tblData[[#This Row],[AP Spend]]+tblData[[#This Row],[Cost to Serve]]</f>
        <v>41</v>
      </c>
    </row>
    <row r="334" spans="2:37" x14ac:dyDescent="0.25">
      <c r="B334" s="71" t="s">
        <v>36</v>
      </c>
      <c r="C334" s="71">
        <v>2025</v>
      </c>
      <c r="D334" s="71">
        <v>8</v>
      </c>
      <c r="E334" s="71" t="s">
        <v>48</v>
      </c>
      <c r="F334" s="71" t="s">
        <v>38</v>
      </c>
      <c r="G334" s="72">
        <v>98.8</v>
      </c>
      <c r="H334" s="73">
        <v>1355</v>
      </c>
      <c r="I334" s="73">
        <v>-117</v>
      </c>
      <c r="J334" s="73">
        <v>-14</v>
      </c>
      <c r="K334" s="73">
        <v>-288</v>
      </c>
      <c r="L334" s="73">
        <v>-73</v>
      </c>
      <c r="M334" s="73">
        <v>-39</v>
      </c>
      <c r="N334" s="73">
        <v>-85</v>
      </c>
      <c r="O334" s="73">
        <v>-46</v>
      </c>
      <c r="P334" s="73">
        <v>-41</v>
      </c>
      <c r="Q334" s="73">
        <v>-20</v>
      </c>
      <c r="R334" s="73">
        <v>0</v>
      </c>
      <c r="S334" s="73">
        <v>0</v>
      </c>
      <c r="T334" s="73">
        <v>0</v>
      </c>
      <c r="U334" s="73">
        <v>0</v>
      </c>
      <c r="V334" s="73">
        <v>0</v>
      </c>
      <c r="W334" s="73">
        <v>0</v>
      </c>
      <c r="X334" s="73">
        <v>0</v>
      </c>
      <c r="Y334" s="73">
        <v>0</v>
      </c>
      <c r="Z334" s="73">
        <v>2771</v>
      </c>
      <c r="AA334" s="73">
        <v>1228</v>
      </c>
      <c r="AB334" s="73">
        <v>0</v>
      </c>
      <c r="AC334" s="73">
        <v>0</v>
      </c>
      <c r="AD334" s="73">
        <v>0</v>
      </c>
      <c r="AE334" s="73">
        <v>0</v>
      </c>
      <c r="AF334" s="74">
        <f>tblData[[#This Row],[Gross Sales]]+tblData[[#This Row],[Trade Discounts]]+tblData[[#This Row],[Returns]]</f>
        <v>1224</v>
      </c>
      <c r="AG334" s="74">
        <f>tblData[[#This Row],[Material Cost]]+tblData[[#This Row],[Conversion Cost]]+tblData[[#This Row],[Inbound Freight]]</f>
        <v>-400</v>
      </c>
      <c r="AH334" s="74">
        <f>tblData[[#This Row],[Net Revenue]]+tblData[[#This Row],[COGS]]</f>
        <v>824</v>
      </c>
      <c r="AI334" s="74">
        <f>tblData[[#This Row],[Advertising]]+tblData[[#This Row],[Promotions]]</f>
        <v>-131</v>
      </c>
      <c r="AJ334" s="74">
        <f>tblData[[#This Row],[Outbound Logistics]]+tblData[[#This Row],[Direct Selling]]</f>
        <v>-61</v>
      </c>
      <c r="AK334" s="74">
        <f>tblData[[#This Row],[Gross Profit]]+tblData[[#This Row],[AP Spend]]+tblData[[#This Row],[Cost to Serve]]</f>
        <v>632</v>
      </c>
    </row>
    <row r="335" spans="2:37" x14ac:dyDescent="0.25">
      <c r="B335" s="71" t="s">
        <v>36</v>
      </c>
      <c r="C335" s="71">
        <v>2025</v>
      </c>
      <c r="D335" s="71">
        <v>8</v>
      </c>
      <c r="E335" s="71" t="s">
        <v>48</v>
      </c>
      <c r="F335" s="71" t="s">
        <v>39</v>
      </c>
      <c r="G335" s="72">
        <v>127.5</v>
      </c>
      <c r="H335" s="73">
        <v>1125</v>
      </c>
      <c r="I335" s="73">
        <v>-97</v>
      </c>
      <c r="J335" s="73">
        <v>-11</v>
      </c>
      <c r="K335" s="73">
        <v>-287</v>
      </c>
      <c r="L335" s="73">
        <v>-73</v>
      </c>
      <c r="M335" s="73">
        <v>-38</v>
      </c>
      <c r="N335" s="73">
        <v>-48</v>
      </c>
      <c r="O335" s="73">
        <v>-26</v>
      </c>
      <c r="P335" s="73">
        <v>-34</v>
      </c>
      <c r="Q335" s="73">
        <v>-17</v>
      </c>
      <c r="R335" s="73">
        <v>0</v>
      </c>
      <c r="S335" s="73">
        <v>0</v>
      </c>
      <c r="T335" s="73">
        <v>0</v>
      </c>
      <c r="U335" s="73">
        <v>0</v>
      </c>
      <c r="V335" s="73">
        <v>0</v>
      </c>
      <c r="W335" s="73">
        <v>0</v>
      </c>
      <c r="X335" s="73">
        <v>0</v>
      </c>
      <c r="Y335" s="73">
        <v>0</v>
      </c>
      <c r="Z335" s="73">
        <v>2361</v>
      </c>
      <c r="AA335" s="73">
        <v>1058</v>
      </c>
      <c r="AB335" s="73">
        <v>0</v>
      </c>
      <c r="AC335" s="73">
        <v>0</v>
      </c>
      <c r="AD335" s="73">
        <v>0</v>
      </c>
      <c r="AE335" s="73">
        <v>0</v>
      </c>
      <c r="AF335" s="74">
        <f>tblData[[#This Row],[Gross Sales]]+tblData[[#This Row],[Trade Discounts]]+tblData[[#This Row],[Returns]]</f>
        <v>1017</v>
      </c>
      <c r="AG335" s="74">
        <f>tblData[[#This Row],[Material Cost]]+tblData[[#This Row],[Conversion Cost]]+tblData[[#This Row],[Inbound Freight]]</f>
        <v>-398</v>
      </c>
      <c r="AH335" s="74">
        <f>tblData[[#This Row],[Net Revenue]]+tblData[[#This Row],[COGS]]</f>
        <v>619</v>
      </c>
      <c r="AI335" s="74">
        <f>tblData[[#This Row],[Advertising]]+tblData[[#This Row],[Promotions]]</f>
        <v>-74</v>
      </c>
      <c r="AJ335" s="74">
        <f>tblData[[#This Row],[Outbound Logistics]]+tblData[[#This Row],[Direct Selling]]</f>
        <v>-51</v>
      </c>
      <c r="AK335" s="74">
        <f>tblData[[#This Row],[Gross Profit]]+tblData[[#This Row],[AP Spend]]+tblData[[#This Row],[Cost to Serve]]</f>
        <v>494</v>
      </c>
    </row>
    <row r="336" spans="2:37" x14ac:dyDescent="0.25">
      <c r="B336" s="71" t="s">
        <v>36</v>
      </c>
      <c r="C336" s="71">
        <v>2025</v>
      </c>
      <c r="D336" s="71">
        <v>8</v>
      </c>
      <c r="E336" s="71" t="s">
        <v>48</v>
      </c>
      <c r="F336" s="71" t="s">
        <v>40</v>
      </c>
      <c r="G336" s="72">
        <v>126.8</v>
      </c>
      <c r="H336" s="73">
        <v>870</v>
      </c>
      <c r="I336" s="73">
        <v>-75</v>
      </c>
      <c r="J336" s="73">
        <v>-9</v>
      </c>
      <c r="K336" s="73">
        <v>-247</v>
      </c>
      <c r="L336" s="73">
        <v>-63</v>
      </c>
      <c r="M336" s="73">
        <v>-33</v>
      </c>
      <c r="N336" s="73">
        <v>-24</v>
      </c>
      <c r="O336" s="73">
        <v>-13</v>
      </c>
      <c r="P336" s="73">
        <v>-26</v>
      </c>
      <c r="Q336" s="73">
        <v>-13</v>
      </c>
      <c r="R336" s="73">
        <v>0</v>
      </c>
      <c r="S336" s="73">
        <v>0</v>
      </c>
      <c r="T336" s="73">
        <v>0</v>
      </c>
      <c r="U336" s="73">
        <v>0</v>
      </c>
      <c r="V336" s="73">
        <v>0</v>
      </c>
      <c r="W336" s="73">
        <v>0</v>
      </c>
      <c r="X336" s="73">
        <v>0</v>
      </c>
      <c r="Y336" s="73">
        <v>0</v>
      </c>
      <c r="Z336" s="73">
        <v>1782</v>
      </c>
      <c r="AA336" s="73">
        <v>832</v>
      </c>
      <c r="AB336" s="73">
        <v>0</v>
      </c>
      <c r="AC336" s="73">
        <v>0</v>
      </c>
      <c r="AD336" s="73">
        <v>0</v>
      </c>
      <c r="AE336" s="73">
        <v>0</v>
      </c>
      <c r="AF336" s="74">
        <f>tblData[[#This Row],[Gross Sales]]+tblData[[#This Row],[Trade Discounts]]+tblData[[#This Row],[Returns]]</f>
        <v>786</v>
      </c>
      <c r="AG336" s="74">
        <f>tblData[[#This Row],[Material Cost]]+tblData[[#This Row],[Conversion Cost]]+tblData[[#This Row],[Inbound Freight]]</f>
        <v>-343</v>
      </c>
      <c r="AH336" s="74">
        <f>tblData[[#This Row],[Net Revenue]]+tblData[[#This Row],[COGS]]</f>
        <v>443</v>
      </c>
      <c r="AI336" s="74">
        <f>tblData[[#This Row],[Advertising]]+tblData[[#This Row],[Promotions]]</f>
        <v>-37</v>
      </c>
      <c r="AJ336" s="74">
        <f>tblData[[#This Row],[Outbound Logistics]]+tblData[[#This Row],[Direct Selling]]</f>
        <v>-39</v>
      </c>
      <c r="AK336" s="74">
        <f>tblData[[#This Row],[Gross Profit]]+tblData[[#This Row],[AP Spend]]+tblData[[#This Row],[Cost to Serve]]</f>
        <v>367</v>
      </c>
    </row>
    <row r="337" spans="2:37" x14ac:dyDescent="0.25">
      <c r="B337" s="71" t="s">
        <v>36</v>
      </c>
      <c r="C337" s="71">
        <v>2025</v>
      </c>
      <c r="D337" s="71">
        <v>8</v>
      </c>
      <c r="E337" s="71" t="s">
        <v>48</v>
      </c>
      <c r="F337" s="71" t="s">
        <v>41</v>
      </c>
      <c r="G337" s="72">
        <v>60.5</v>
      </c>
      <c r="H337" s="73">
        <v>653</v>
      </c>
      <c r="I337" s="73">
        <v>-56</v>
      </c>
      <c r="J337" s="73">
        <v>-7</v>
      </c>
      <c r="K337" s="73">
        <v>-153</v>
      </c>
      <c r="L337" s="73">
        <v>-39</v>
      </c>
      <c r="M337" s="73">
        <v>-20</v>
      </c>
      <c r="N337" s="73">
        <v>-52</v>
      </c>
      <c r="O337" s="73">
        <v>-28</v>
      </c>
      <c r="P337" s="73">
        <v>-20</v>
      </c>
      <c r="Q337" s="73">
        <v>-10</v>
      </c>
      <c r="R337" s="73">
        <v>0</v>
      </c>
      <c r="S337" s="73">
        <v>0</v>
      </c>
      <c r="T337" s="73">
        <v>0</v>
      </c>
      <c r="U337" s="73">
        <v>0</v>
      </c>
      <c r="V337" s="73">
        <v>0</v>
      </c>
      <c r="W337" s="73">
        <v>0</v>
      </c>
      <c r="X337" s="73">
        <v>0</v>
      </c>
      <c r="Y337" s="73">
        <v>0</v>
      </c>
      <c r="Z337" s="73">
        <v>1362</v>
      </c>
      <c r="AA337" s="73">
        <v>629</v>
      </c>
      <c r="AB337" s="73">
        <v>0</v>
      </c>
      <c r="AC337" s="73">
        <v>0</v>
      </c>
      <c r="AD337" s="73">
        <v>0</v>
      </c>
      <c r="AE337" s="73">
        <v>0</v>
      </c>
      <c r="AF337" s="74">
        <f>tblData[[#This Row],[Gross Sales]]+tblData[[#This Row],[Trade Discounts]]+tblData[[#This Row],[Returns]]</f>
        <v>590</v>
      </c>
      <c r="AG337" s="74">
        <f>tblData[[#This Row],[Material Cost]]+tblData[[#This Row],[Conversion Cost]]+tblData[[#This Row],[Inbound Freight]]</f>
        <v>-212</v>
      </c>
      <c r="AH337" s="74">
        <f>tblData[[#This Row],[Net Revenue]]+tblData[[#This Row],[COGS]]</f>
        <v>378</v>
      </c>
      <c r="AI337" s="74">
        <f>tblData[[#This Row],[Advertising]]+tblData[[#This Row],[Promotions]]</f>
        <v>-80</v>
      </c>
      <c r="AJ337" s="74">
        <f>tblData[[#This Row],[Outbound Logistics]]+tblData[[#This Row],[Direct Selling]]</f>
        <v>-30</v>
      </c>
      <c r="AK337" s="74">
        <f>tblData[[#This Row],[Gross Profit]]+tblData[[#This Row],[AP Spend]]+tblData[[#This Row],[Cost to Serve]]</f>
        <v>268</v>
      </c>
    </row>
    <row r="338" spans="2:37" x14ac:dyDescent="0.25">
      <c r="B338" s="71" t="s">
        <v>36</v>
      </c>
      <c r="C338" s="71">
        <v>2025</v>
      </c>
      <c r="D338" s="71">
        <v>8</v>
      </c>
      <c r="E338" s="71" t="s">
        <v>48</v>
      </c>
      <c r="F338" s="71" t="s">
        <v>42</v>
      </c>
      <c r="G338" s="72">
        <v>81.400000000000006</v>
      </c>
      <c r="H338" s="73">
        <v>478</v>
      </c>
      <c r="I338" s="73">
        <v>-41</v>
      </c>
      <c r="J338" s="73">
        <v>-5</v>
      </c>
      <c r="K338" s="73">
        <v>-149</v>
      </c>
      <c r="L338" s="73">
        <v>-38</v>
      </c>
      <c r="M338" s="73">
        <v>-20</v>
      </c>
      <c r="N338" s="73">
        <v>-10</v>
      </c>
      <c r="O338" s="73">
        <v>-5</v>
      </c>
      <c r="P338" s="73">
        <v>-14</v>
      </c>
      <c r="Q338" s="73">
        <v>-7</v>
      </c>
      <c r="R338" s="73">
        <v>0</v>
      </c>
      <c r="S338" s="73">
        <v>0</v>
      </c>
      <c r="T338" s="73">
        <v>0</v>
      </c>
      <c r="U338" s="73">
        <v>0</v>
      </c>
      <c r="V338" s="73">
        <v>0</v>
      </c>
      <c r="W338" s="73">
        <v>0</v>
      </c>
      <c r="X338" s="73">
        <v>0</v>
      </c>
      <c r="Y338" s="73">
        <v>0</v>
      </c>
      <c r="Z338" s="73">
        <v>996</v>
      </c>
      <c r="AA338" s="73">
        <v>750</v>
      </c>
      <c r="AB338" s="73">
        <v>0</v>
      </c>
      <c r="AC338" s="73">
        <v>0</v>
      </c>
      <c r="AD338" s="73">
        <v>0</v>
      </c>
      <c r="AE338" s="73">
        <v>0</v>
      </c>
      <c r="AF338" s="74">
        <f>tblData[[#This Row],[Gross Sales]]+tblData[[#This Row],[Trade Discounts]]+tblData[[#This Row],[Returns]]</f>
        <v>432</v>
      </c>
      <c r="AG338" s="74">
        <f>tblData[[#This Row],[Material Cost]]+tblData[[#This Row],[Conversion Cost]]+tblData[[#This Row],[Inbound Freight]]</f>
        <v>-207</v>
      </c>
      <c r="AH338" s="74">
        <f>tblData[[#This Row],[Net Revenue]]+tblData[[#This Row],[COGS]]</f>
        <v>225</v>
      </c>
      <c r="AI338" s="74">
        <f>tblData[[#This Row],[Advertising]]+tblData[[#This Row],[Promotions]]</f>
        <v>-15</v>
      </c>
      <c r="AJ338" s="74">
        <f>tblData[[#This Row],[Outbound Logistics]]+tblData[[#This Row],[Direct Selling]]</f>
        <v>-21</v>
      </c>
      <c r="AK338" s="74">
        <f>tblData[[#This Row],[Gross Profit]]+tblData[[#This Row],[AP Spend]]+tblData[[#This Row],[Cost to Serve]]</f>
        <v>189</v>
      </c>
    </row>
    <row r="339" spans="2:37" x14ac:dyDescent="0.25">
      <c r="B339" s="71" t="s">
        <v>36</v>
      </c>
      <c r="C339" s="71">
        <v>2025</v>
      </c>
      <c r="D339" s="71">
        <v>8</v>
      </c>
      <c r="E339" s="71" t="s">
        <v>48</v>
      </c>
      <c r="F339" s="71" t="s">
        <v>43</v>
      </c>
      <c r="G339" s="72">
        <v>16.100000000000001</v>
      </c>
      <c r="H339" s="73">
        <v>284</v>
      </c>
      <c r="I339" s="73">
        <v>-24</v>
      </c>
      <c r="J339" s="73">
        <v>-3</v>
      </c>
      <c r="K339" s="73">
        <v>-77</v>
      </c>
      <c r="L339" s="73">
        <v>-19</v>
      </c>
      <c r="M339" s="73">
        <v>-10</v>
      </c>
      <c r="N339" s="73">
        <v>-28</v>
      </c>
      <c r="O339" s="73">
        <v>-15</v>
      </c>
      <c r="P339" s="73">
        <v>-9</v>
      </c>
      <c r="Q339" s="73">
        <v>-4</v>
      </c>
      <c r="R339" s="73">
        <v>0</v>
      </c>
      <c r="S339" s="73">
        <v>0</v>
      </c>
      <c r="T339" s="73">
        <v>0</v>
      </c>
      <c r="U339" s="73">
        <v>0</v>
      </c>
      <c r="V339" s="73">
        <v>0</v>
      </c>
      <c r="W339" s="73">
        <v>0</v>
      </c>
      <c r="X339" s="73">
        <v>0</v>
      </c>
      <c r="Y339" s="73">
        <v>0</v>
      </c>
      <c r="Z339" s="73">
        <v>598</v>
      </c>
      <c r="AA339" s="73">
        <v>424</v>
      </c>
      <c r="AB339" s="73">
        <v>0</v>
      </c>
      <c r="AC339" s="73">
        <v>0</v>
      </c>
      <c r="AD339" s="73">
        <v>0</v>
      </c>
      <c r="AE339" s="73">
        <v>0</v>
      </c>
      <c r="AF339" s="74">
        <f>tblData[[#This Row],[Gross Sales]]+tblData[[#This Row],[Trade Discounts]]+tblData[[#This Row],[Returns]]</f>
        <v>257</v>
      </c>
      <c r="AG339" s="74">
        <f>tblData[[#This Row],[Material Cost]]+tblData[[#This Row],[Conversion Cost]]+tblData[[#This Row],[Inbound Freight]]</f>
        <v>-106</v>
      </c>
      <c r="AH339" s="74">
        <f>tblData[[#This Row],[Net Revenue]]+tblData[[#This Row],[COGS]]</f>
        <v>151</v>
      </c>
      <c r="AI339" s="74">
        <f>tblData[[#This Row],[Advertising]]+tblData[[#This Row],[Promotions]]</f>
        <v>-43</v>
      </c>
      <c r="AJ339" s="74">
        <f>tblData[[#This Row],[Outbound Logistics]]+tblData[[#This Row],[Direct Selling]]</f>
        <v>-13</v>
      </c>
      <c r="AK339" s="74">
        <f>tblData[[#This Row],[Gross Profit]]+tblData[[#This Row],[AP Spend]]+tblData[[#This Row],[Cost to Serve]]</f>
        <v>95</v>
      </c>
    </row>
    <row r="340" spans="2:37" x14ac:dyDescent="0.25">
      <c r="B340" s="71" t="s">
        <v>36</v>
      </c>
      <c r="C340" s="71">
        <v>2025</v>
      </c>
      <c r="D340" s="71">
        <v>8</v>
      </c>
      <c r="E340" s="71" t="s">
        <v>49</v>
      </c>
      <c r="F340" s="71" t="s">
        <v>49</v>
      </c>
      <c r="G340" s="72">
        <v>0</v>
      </c>
      <c r="H340" s="73">
        <v>0</v>
      </c>
      <c r="I340" s="73">
        <v>0</v>
      </c>
      <c r="J340" s="73">
        <v>0</v>
      </c>
      <c r="K340" s="73">
        <v>0</v>
      </c>
      <c r="L340" s="73">
        <v>0</v>
      </c>
      <c r="M340" s="73">
        <v>0</v>
      </c>
      <c r="N340" s="73">
        <v>0</v>
      </c>
      <c r="O340" s="73">
        <v>0</v>
      </c>
      <c r="P340" s="73">
        <v>0</v>
      </c>
      <c r="Q340" s="73">
        <v>0</v>
      </c>
      <c r="R340" s="73">
        <v>-4074</v>
      </c>
      <c r="S340" s="73">
        <v>-974</v>
      </c>
      <c r="T340" s="73">
        <v>-1261</v>
      </c>
      <c r="U340" s="73">
        <v>-1079</v>
      </c>
      <c r="V340" s="73">
        <v>-1413</v>
      </c>
      <c r="W340" s="73">
        <v>-731</v>
      </c>
      <c r="X340" s="73">
        <v>-1481</v>
      </c>
      <c r="Y340" s="73">
        <v>-1222</v>
      </c>
      <c r="Z340" s="73">
        <v>0</v>
      </c>
      <c r="AA340" s="73">
        <v>0</v>
      </c>
      <c r="AB340" s="73">
        <v>31714</v>
      </c>
      <c r="AC340" s="73">
        <v>36576</v>
      </c>
      <c r="AD340" s="73">
        <v>195000</v>
      </c>
      <c r="AE340" s="73">
        <v>1157</v>
      </c>
      <c r="AF340" s="74">
        <f>tblData[[#This Row],[Gross Sales]]+tblData[[#This Row],[Trade Discounts]]+tblData[[#This Row],[Returns]]</f>
        <v>0</v>
      </c>
      <c r="AG340" s="74">
        <f>tblData[[#This Row],[Material Cost]]+tblData[[#This Row],[Conversion Cost]]+tblData[[#This Row],[Inbound Freight]]</f>
        <v>0</v>
      </c>
      <c r="AH340" s="74">
        <f>tblData[[#This Row],[Net Revenue]]+tblData[[#This Row],[COGS]]</f>
        <v>0</v>
      </c>
      <c r="AI340" s="74">
        <f>tblData[[#This Row],[Advertising]]+tblData[[#This Row],[Promotions]]</f>
        <v>0</v>
      </c>
      <c r="AJ340" s="74">
        <f>tblData[[#This Row],[Outbound Logistics]]+tblData[[#This Row],[Direct Selling]]</f>
        <v>0</v>
      </c>
      <c r="AK340" s="74">
        <f>tblData[[#This Row],[Gross Profit]]+tblData[[#This Row],[AP Spend]]+tblData[[#This Row],[Cost to Serve]]</f>
        <v>0</v>
      </c>
    </row>
    <row r="341" spans="2:37" x14ac:dyDescent="0.25">
      <c r="B341" s="71" t="s">
        <v>36</v>
      </c>
      <c r="C341" s="71">
        <v>2025</v>
      </c>
      <c r="D341" s="71">
        <v>9</v>
      </c>
      <c r="E341" s="71" t="s">
        <v>37</v>
      </c>
      <c r="F341" s="71" t="s">
        <v>38</v>
      </c>
      <c r="G341" s="72">
        <v>317.10000000000002</v>
      </c>
      <c r="H341" s="73">
        <v>4351</v>
      </c>
      <c r="I341" s="73">
        <v>-809</v>
      </c>
      <c r="J341" s="73">
        <v>-65</v>
      </c>
      <c r="K341" s="73">
        <v>-926</v>
      </c>
      <c r="L341" s="73">
        <v>-235</v>
      </c>
      <c r="M341" s="73">
        <v>-124</v>
      </c>
      <c r="N341" s="73">
        <v>-279</v>
      </c>
      <c r="O341" s="73">
        <v>-150</v>
      </c>
      <c r="P341" s="73">
        <v>-174</v>
      </c>
      <c r="Q341" s="73">
        <v>-131</v>
      </c>
      <c r="R341" s="73">
        <v>0</v>
      </c>
      <c r="S341" s="73">
        <v>0</v>
      </c>
      <c r="T341" s="73">
        <v>0</v>
      </c>
      <c r="U341" s="73">
        <v>0</v>
      </c>
      <c r="V341" s="73">
        <v>0</v>
      </c>
      <c r="W341" s="73">
        <v>0</v>
      </c>
      <c r="X341" s="73">
        <v>0</v>
      </c>
      <c r="Y341" s="73">
        <v>0</v>
      </c>
      <c r="Z341" s="73">
        <v>6006</v>
      </c>
      <c r="AA341" s="73">
        <v>3834</v>
      </c>
      <c r="AB341" s="73">
        <v>0</v>
      </c>
      <c r="AC341" s="73">
        <v>0</v>
      </c>
      <c r="AD341" s="73">
        <v>0</v>
      </c>
      <c r="AE341" s="73">
        <v>0</v>
      </c>
      <c r="AF341" s="74">
        <f>tblData[[#This Row],[Gross Sales]]+tblData[[#This Row],[Trade Discounts]]+tblData[[#This Row],[Returns]]</f>
        <v>3477</v>
      </c>
      <c r="AG341" s="74">
        <f>tblData[[#This Row],[Material Cost]]+tblData[[#This Row],[Conversion Cost]]+tblData[[#This Row],[Inbound Freight]]</f>
        <v>-1285</v>
      </c>
      <c r="AH341" s="74">
        <f>tblData[[#This Row],[Net Revenue]]+tblData[[#This Row],[COGS]]</f>
        <v>2192</v>
      </c>
      <c r="AI341" s="74">
        <f>tblData[[#This Row],[Advertising]]+tblData[[#This Row],[Promotions]]</f>
        <v>-429</v>
      </c>
      <c r="AJ341" s="74">
        <f>tblData[[#This Row],[Outbound Logistics]]+tblData[[#This Row],[Direct Selling]]</f>
        <v>-305</v>
      </c>
      <c r="AK341" s="74">
        <f>tblData[[#This Row],[Gross Profit]]+tblData[[#This Row],[AP Spend]]+tblData[[#This Row],[Cost to Serve]]</f>
        <v>1458</v>
      </c>
    </row>
    <row r="342" spans="2:37" x14ac:dyDescent="0.25">
      <c r="B342" s="71" t="s">
        <v>36</v>
      </c>
      <c r="C342" s="71">
        <v>2025</v>
      </c>
      <c r="D342" s="71">
        <v>9</v>
      </c>
      <c r="E342" s="71" t="s">
        <v>37</v>
      </c>
      <c r="F342" s="71" t="s">
        <v>39</v>
      </c>
      <c r="G342" s="72">
        <v>440.5</v>
      </c>
      <c r="H342" s="73">
        <v>3885</v>
      </c>
      <c r="I342" s="73">
        <v>-723</v>
      </c>
      <c r="J342" s="73">
        <v>-58</v>
      </c>
      <c r="K342" s="73">
        <v>-992</v>
      </c>
      <c r="L342" s="73">
        <v>-252</v>
      </c>
      <c r="M342" s="73">
        <v>-133</v>
      </c>
      <c r="N342" s="73">
        <v>-159</v>
      </c>
      <c r="O342" s="73">
        <v>-86</v>
      </c>
      <c r="P342" s="73">
        <v>-155</v>
      </c>
      <c r="Q342" s="73">
        <v>-117</v>
      </c>
      <c r="R342" s="73">
        <v>0</v>
      </c>
      <c r="S342" s="73">
        <v>0</v>
      </c>
      <c r="T342" s="73">
        <v>0</v>
      </c>
      <c r="U342" s="73">
        <v>0</v>
      </c>
      <c r="V342" s="73">
        <v>0</v>
      </c>
      <c r="W342" s="73">
        <v>0</v>
      </c>
      <c r="X342" s="73">
        <v>0</v>
      </c>
      <c r="Y342" s="73">
        <v>0</v>
      </c>
      <c r="Z342" s="73">
        <v>5201</v>
      </c>
      <c r="AA342" s="73">
        <v>3355</v>
      </c>
      <c r="AB342" s="73">
        <v>0</v>
      </c>
      <c r="AC342" s="73">
        <v>0</v>
      </c>
      <c r="AD342" s="73">
        <v>0</v>
      </c>
      <c r="AE342" s="73">
        <v>0</v>
      </c>
      <c r="AF342" s="74">
        <f>tblData[[#This Row],[Gross Sales]]+tblData[[#This Row],[Trade Discounts]]+tblData[[#This Row],[Returns]]</f>
        <v>3104</v>
      </c>
      <c r="AG342" s="74">
        <f>tblData[[#This Row],[Material Cost]]+tblData[[#This Row],[Conversion Cost]]+tblData[[#This Row],[Inbound Freight]]</f>
        <v>-1377</v>
      </c>
      <c r="AH342" s="74">
        <f>tblData[[#This Row],[Net Revenue]]+tblData[[#This Row],[COGS]]</f>
        <v>1727</v>
      </c>
      <c r="AI342" s="74">
        <f>tblData[[#This Row],[Advertising]]+tblData[[#This Row],[Promotions]]</f>
        <v>-245</v>
      </c>
      <c r="AJ342" s="74">
        <f>tblData[[#This Row],[Outbound Logistics]]+tblData[[#This Row],[Direct Selling]]</f>
        <v>-272</v>
      </c>
      <c r="AK342" s="74">
        <f>tblData[[#This Row],[Gross Profit]]+tblData[[#This Row],[AP Spend]]+tblData[[#This Row],[Cost to Serve]]</f>
        <v>1210</v>
      </c>
    </row>
    <row r="343" spans="2:37" x14ac:dyDescent="0.25">
      <c r="B343" s="71" t="s">
        <v>36</v>
      </c>
      <c r="C343" s="71">
        <v>2025</v>
      </c>
      <c r="D343" s="71">
        <v>9</v>
      </c>
      <c r="E343" s="71" t="s">
        <v>37</v>
      </c>
      <c r="F343" s="71" t="s">
        <v>40</v>
      </c>
      <c r="G343" s="72">
        <v>414.7</v>
      </c>
      <c r="H343" s="73">
        <v>2845</v>
      </c>
      <c r="I343" s="73">
        <v>-529</v>
      </c>
      <c r="J343" s="73">
        <v>-43</v>
      </c>
      <c r="K343" s="73">
        <v>-807</v>
      </c>
      <c r="L343" s="73">
        <v>-205</v>
      </c>
      <c r="M343" s="73">
        <v>-108</v>
      </c>
      <c r="N343" s="73">
        <v>-80</v>
      </c>
      <c r="O343" s="73">
        <v>-43</v>
      </c>
      <c r="P343" s="73">
        <v>-114</v>
      </c>
      <c r="Q343" s="73">
        <v>-85</v>
      </c>
      <c r="R343" s="73">
        <v>0</v>
      </c>
      <c r="S343" s="73">
        <v>0</v>
      </c>
      <c r="T343" s="73">
        <v>0</v>
      </c>
      <c r="U343" s="73">
        <v>0</v>
      </c>
      <c r="V343" s="73">
        <v>0</v>
      </c>
      <c r="W343" s="73">
        <v>0</v>
      </c>
      <c r="X343" s="73">
        <v>0</v>
      </c>
      <c r="Y343" s="73">
        <v>0</v>
      </c>
      <c r="Z343" s="73">
        <v>3816</v>
      </c>
      <c r="AA343" s="73">
        <v>2564</v>
      </c>
      <c r="AB343" s="73">
        <v>0</v>
      </c>
      <c r="AC343" s="73">
        <v>0</v>
      </c>
      <c r="AD343" s="73">
        <v>0</v>
      </c>
      <c r="AE343" s="73">
        <v>0</v>
      </c>
      <c r="AF343" s="74">
        <f>tblData[[#This Row],[Gross Sales]]+tblData[[#This Row],[Trade Discounts]]+tblData[[#This Row],[Returns]]</f>
        <v>2273</v>
      </c>
      <c r="AG343" s="74">
        <f>tblData[[#This Row],[Material Cost]]+tblData[[#This Row],[Conversion Cost]]+tblData[[#This Row],[Inbound Freight]]</f>
        <v>-1120</v>
      </c>
      <c r="AH343" s="74">
        <f>tblData[[#This Row],[Net Revenue]]+tblData[[#This Row],[COGS]]</f>
        <v>1153</v>
      </c>
      <c r="AI343" s="74">
        <f>tblData[[#This Row],[Advertising]]+tblData[[#This Row],[Promotions]]</f>
        <v>-123</v>
      </c>
      <c r="AJ343" s="74">
        <f>tblData[[#This Row],[Outbound Logistics]]+tblData[[#This Row],[Direct Selling]]</f>
        <v>-199</v>
      </c>
      <c r="AK343" s="74">
        <f>tblData[[#This Row],[Gross Profit]]+tblData[[#This Row],[AP Spend]]+tblData[[#This Row],[Cost to Serve]]</f>
        <v>831</v>
      </c>
    </row>
    <row r="344" spans="2:37" x14ac:dyDescent="0.25">
      <c r="B344" s="71" t="s">
        <v>36</v>
      </c>
      <c r="C344" s="71">
        <v>2025</v>
      </c>
      <c r="D344" s="71">
        <v>9</v>
      </c>
      <c r="E344" s="71" t="s">
        <v>37</v>
      </c>
      <c r="F344" s="71" t="s">
        <v>41</v>
      </c>
      <c r="G344" s="72">
        <v>209.2</v>
      </c>
      <c r="H344" s="73">
        <v>2255</v>
      </c>
      <c r="I344" s="73">
        <v>-419</v>
      </c>
      <c r="J344" s="73">
        <v>-34</v>
      </c>
      <c r="K344" s="73">
        <v>-528</v>
      </c>
      <c r="L344" s="73">
        <v>-134</v>
      </c>
      <c r="M344" s="73">
        <v>-71</v>
      </c>
      <c r="N344" s="73">
        <v>-170</v>
      </c>
      <c r="O344" s="73">
        <v>-92</v>
      </c>
      <c r="P344" s="73">
        <v>-90</v>
      </c>
      <c r="Q344" s="73">
        <v>-68</v>
      </c>
      <c r="R344" s="73">
        <v>0</v>
      </c>
      <c r="S344" s="73">
        <v>0</v>
      </c>
      <c r="T344" s="73">
        <v>0</v>
      </c>
      <c r="U344" s="73">
        <v>0</v>
      </c>
      <c r="V344" s="73">
        <v>0</v>
      </c>
      <c r="W344" s="73">
        <v>0</v>
      </c>
      <c r="X344" s="73">
        <v>0</v>
      </c>
      <c r="Y344" s="73">
        <v>0</v>
      </c>
      <c r="Z344" s="73">
        <v>2962</v>
      </c>
      <c r="AA344" s="73">
        <v>1970</v>
      </c>
      <c r="AB344" s="73">
        <v>0</v>
      </c>
      <c r="AC344" s="73">
        <v>0</v>
      </c>
      <c r="AD344" s="73">
        <v>0</v>
      </c>
      <c r="AE344" s="73">
        <v>0</v>
      </c>
      <c r="AF344" s="74">
        <f>tblData[[#This Row],[Gross Sales]]+tblData[[#This Row],[Trade Discounts]]+tblData[[#This Row],[Returns]]</f>
        <v>1802</v>
      </c>
      <c r="AG344" s="74">
        <f>tblData[[#This Row],[Material Cost]]+tblData[[#This Row],[Conversion Cost]]+tblData[[#This Row],[Inbound Freight]]</f>
        <v>-733</v>
      </c>
      <c r="AH344" s="74">
        <f>tblData[[#This Row],[Net Revenue]]+tblData[[#This Row],[COGS]]</f>
        <v>1069</v>
      </c>
      <c r="AI344" s="74">
        <f>tblData[[#This Row],[Advertising]]+tblData[[#This Row],[Promotions]]</f>
        <v>-262</v>
      </c>
      <c r="AJ344" s="74">
        <f>tblData[[#This Row],[Outbound Logistics]]+tblData[[#This Row],[Direct Selling]]</f>
        <v>-158</v>
      </c>
      <c r="AK344" s="74">
        <f>tblData[[#This Row],[Gross Profit]]+tblData[[#This Row],[AP Spend]]+tblData[[#This Row],[Cost to Serve]]</f>
        <v>649</v>
      </c>
    </row>
    <row r="345" spans="2:37" x14ac:dyDescent="0.25">
      <c r="B345" s="71" t="s">
        <v>36</v>
      </c>
      <c r="C345" s="71">
        <v>2025</v>
      </c>
      <c r="D345" s="71">
        <v>9</v>
      </c>
      <c r="E345" s="71" t="s">
        <v>37</v>
      </c>
      <c r="F345" s="71" t="s">
        <v>42</v>
      </c>
      <c r="G345" s="72">
        <v>267.39999999999998</v>
      </c>
      <c r="H345" s="73">
        <v>1572</v>
      </c>
      <c r="I345" s="73">
        <v>-292</v>
      </c>
      <c r="J345" s="73">
        <v>-24</v>
      </c>
      <c r="K345" s="73">
        <v>-491</v>
      </c>
      <c r="L345" s="73">
        <v>-125</v>
      </c>
      <c r="M345" s="73">
        <v>-66</v>
      </c>
      <c r="N345" s="73">
        <v>-33</v>
      </c>
      <c r="O345" s="73">
        <v>-18</v>
      </c>
      <c r="P345" s="73">
        <v>-63</v>
      </c>
      <c r="Q345" s="73">
        <v>-47</v>
      </c>
      <c r="R345" s="73">
        <v>0</v>
      </c>
      <c r="S345" s="73">
        <v>0</v>
      </c>
      <c r="T345" s="73">
        <v>0</v>
      </c>
      <c r="U345" s="73">
        <v>0</v>
      </c>
      <c r="V345" s="73">
        <v>0</v>
      </c>
      <c r="W345" s="73">
        <v>0</v>
      </c>
      <c r="X345" s="73">
        <v>0</v>
      </c>
      <c r="Y345" s="73">
        <v>0</v>
      </c>
      <c r="Z345" s="73">
        <v>2144</v>
      </c>
      <c r="AA345" s="73">
        <v>2324</v>
      </c>
      <c r="AB345" s="73">
        <v>0</v>
      </c>
      <c r="AC345" s="73">
        <v>0</v>
      </c>
      <c r="AD345" s="73">
        <v>0</v>
      </c>
      <c r="AE345" s="73">
        <v>0</v>
      </c>
      <c r="AF345" s="74">
        <f>tblData[[#This Row],[Gross Sales]]+tblData[[#This Row],[Trade Discounts]]+tblData[[#This Row],[Returns]]</f>
        <v>1256</v>
      </c>
      <c r="AG345" s="74">
        <f>tblData[[#This Row],[Material Cost]]+tblData[[#This Row],[Conversion Cost]]+tblData[[#This Row],[Inbound Freight]]</f>
        <v>-682</v>
      </c>
      <c r="AH345" s="74">
        <f>tblData[[#This Row],[Net Revenue]]+tblData[[#This Row],[COGS]]</f>
        <v>574</v>
      </c>
      <c r="AI345" s="74">
        <f>tblData[[#This Row],[Advertising]]+tblData[[#This Row],[Promotions]]</f>
        <v>-51</v>
      </c>
      <c r="AJ345" s="74">
        <f>tblData[[#This Row],[Outbound Logistics]]+tblData[[#This Row],[Direct Selling]]</f>
        <v>-110</v>
      </c>
      <c r="AK345" s="74">
        <f>tblData[[#This Row],[Gross Profit]]+tblData[[#This Row],[AP Spend]]+tblData[[#This Row],[Cost to Serve]]</f>
        <v>413</v>
      </c>
    </row>
    <row r="346" spans="2:37" x14ac:dyDescent="0.25">
      <c r="B346" s="71" t="s">
        <v>36</v>
      </c>
      <c r="C346" s="71">
        <v>2025</v>
      </c>
      <c r="D346" s="71">
        <v>9</v>
      </c>
      <c r="E346" s="71" t="s">
        <v>37</v>
      </c>
      <c r="F346" s="71" t="s">
        <v>43</v>
      </c>
      <c r="G346" s="72">
        <v>52.3</v>
      </c>
      <c r="H346" s="73">
        <v>923</v>
      </c>
      <c r="I346" s="73">
        <v>-172</v>
      </c>
      <c r="J346" s="73">
        <v>-14</v>
      </c>
      <c r="K346" s="73">
        <v>-249</v>
      </c>
      <c r="L346" s="73">
        <v>-63</v>
      </c>
      <c r="M346" s="73">
        <v>-33</v>
      </c>
      <c r="N346" s="73">
        <v>-93</v>
      </c>
      <c r="O346" s="73">
        <v>-50</v>
      </c>
      <c r="P346" s="73">
        <v>-37</v>
      </c>
      <c r="Q346" s="73">
        <v>-28</v>
      </c>
      <c r="R346" s="73">
        <v>0</v>
      </c>
      <c r="S346" s="73">
        <v>0</v>
      </c>
      <c r="T346" s="73">
        <v>0</v>
      </c>
      <c r="U346" s="73">
        <v>0</v>
      </c>
      <c r="V346" s="73">
        <v>0</v>
      </c>
      <c r="W346" s="73">
        <v>0</v>
      </c>
      <c r="X346" s="73">
        <v>0</v>
      </c>
      <c r="Y346" s="73">
        <v>0</v>
      </c>
      <c r="Z346" s="73">
        <v>1286</v>
      </c>
      <c r="AA346" s="73">
        <v>1313</v>
      </c>
      <c r="AB346" s="73">
        <v>0</v>
      </c>
      <c r="AC346" s="73">
        <v>0</v>
      </c>
      <c r="AD346" s="73">
        <v>0</v>
      </c>
      <c r="AE346" s="73">
        <v>0</v>
      </c>
      <c r="AF346" s="74">
        <f>tblData[[#This Row],[Gross Sales]]+tblData[[#This Row],[Trade Discounts]]+tblData[[#This Row],[Returns]]</f>
        <v>737</v>
      </c>
      <c r="AG346" s="74">
        <f>tblData[[#This Row],[Material Cost]]+tblData[[#This Row],[Conversion Cost]]+tblData[[#This Row],[Inbound Freight]]</f>
        <v>-345</v>
      </c>
      <c r="AH346" s="74">
        <f>tblData[[#This Row],[Net Revenue]]+tblData[[#This Row],[COGS]]</f>
        <v>392</v>
      </c>
      <c r="AI346" s="74">
        <f>tblData[[#This Row],[Advertising]]+tblData[[#This Row],[Promotions]]</f>
        <v>-143</v>
      </c>
      <c r="AJ346" s="74">
        <f>tblData[[#This Row],[Outbound Logistics]]+tblData[[#This Row],[Direct Selling]]</f>
        <v>-65</v>
      </c>
      <c r="AK346" s="74">
        <f>tblData[[#This Row],[Gross Profit]]+tblData[[#This Row],[AP Spend]]+tblData[[#This Row],[Cost to Serve]]</f>
        <v>184</v>
      </c>
    </row>
    <row r="347" spans="2:37" x14ac:dyDescent="0.25">
      <c r="B347" s="71" t="s">
        <v>36</v>
      </c>
      <c r="C347" s="71">
        <v>2025</v>
      </c>
      <c r="D347" s="71">
        <v>9</v>
      </c>
      <c r="E347" s="71" t="s">
        <v>44</v>
      </c>
      <c r="F347" s="71" t="s">
        <v>38</v>
      </c>
      <c r="G347" s="72">
        <v>252.5</v>
      </c>
      <c r="H347" s="73">
        <v>3464</v>
      </c>
      <c r="I347" s="73">
        <v>-540</v>
      </c>
      <c r="J347" s="73">
        <v>-42</v>
      </c>
      <c r="K347" s="73">
        <v>-737</v>
      </c>
      <c r="L347" s="73">
        <v>-187</v>
      </c>
      <c r="M347" s="73">
        <v>-99</v>
      </c>
      <c r="N347" s="73">
        <v>-223</v>
      </c>
      <c r="O347" s="73">
        <v>-120</v>
      </c>
      <c r="P347" s="73">
        <v>-139</v>
      </c>
      <c r="Q347" s="73">
        <v>-104</v>
      </c>
      <c r="R347" s="73">
        <v>0</v>
      </c>
      <c r="S347" s="73">
        <v>0</v>
      </c>
      <c r="T347" s="73">
        <v>0</v>
      </c>
      <c r="U347" s="73">
        <v>0</v>
      </c>
      <c r="V347" s="73">
        <v>0</v>
      </c>
      <c r="W347" s="73">
        <v>0</v>
      </c>
      <c r="X347" s="73">
        <v>0</v>
      </c>
      <c r="Y347" s="73">
        <v>0</v>
      </c>
      <c r="Z347" s="73">
        <v>4443</v>
      </c>
      <c r="AA347" s="73">
        <v>2995</v>
      </c>
      <c r="AB347" s="73">
        <v>0</v>
      </c>
      <c r="AC347" s="73">
        <v>0</v>
      </c>
      <c r="AD347" s="73">
        <v>0</v>
      </c>
      <c r="AE347" s="73">
        <v>0</v>
      </c>
      <c r="AF347" s="74">
        <f>tblData[[#This Row],[Gross Sales]]+tblData[[#This Row],[Trade Discounts]]+tblData[[#This Row],[Returns]]</f>
        <v>2882</v>
      </c>
      <c r="AG347" s="74">
        <f>tblData[[#This Row],[Material Cost]]+tblData[[#This Row],[Conversion Cost]]+tblData[[#This Row],[Inbound Freight]]</f>
        <v>-1023</v>
      </c>
      <c r="AH347" s="74">
        <f>tblData[[#This Row],[Net Revenue]]+tblData[[#This Row],[COGS]]</f>
        <v>1859</v>
      </c>
      <c r="AI347" s="74">
        <f>tblData[[#This Row],[Advertising]]+tblData[[#This Row],[Promotions]]</f>
        <v>-343</v>
      </c>
      <c r="AJ347" s="74">
        <f>tblData[[#This Row],[Outbound Logistics]]+tblData[[#This Row],[Direct Selling]]</f>
        <v>-243</v>
      </c>
      <c r="AK347" s="74">
        <f>tblData[[#This Row],[Gross Profit]]+tblData[[#This Row],[AP Spend]]+tblData[[#This Row],[Cost to Serve]]</f>
        <v>1273</v>
      </c>
    </row>
    <row r="348" spans="2:37" x14ac:dyDescent="0.25">
      <c r="B348" s="71" t="s">
        <v>36</v>
      </c>
      <c r="C348" s="71">
        <v>2025</v>
      </c>
      <c r="D348" s="71">
        <v>9</v>
      </c>
      <c r="E348" s="71" t="s">
        <v>44</v>
      </c>
      <c r="F348" s="71" t="s">
        <v>39</v>
      </c>
      <c r="G348" s="72">
        <v>343.7</v>
      </c>
      <c r="H348" s="73">
        <v>3032</v>
      </c>
      <c r="I348" s="73">
        <v>-473</v>
      </c>
      <c r="J348" s="73">
        <v>-36</v>
      </c>
      <c r="K348" s="73">
        <v>-774</v>
      </c>
      <c r="L348" s="73">
        <v>-196</v>
      </c>
      <c r="M348" s="73">
        <v>-104</v>
      </c>
      <c r="N348" s="73">
        <v>-127</v>
      </c>
      <c r="O348" s="73">
        <v>-69</v>
      </c>
      <c r="P348" s="73">
        <v>-121</v>
      </c>
      <c r="Q348" s="73">
        <v>-91</v>
      </c>
      <c r="R348" s="73">
        <v>0</v>
      </c>
      <c r="S348" s="73">
        <v>0</v>
      </c>
      <c r="T348" s="73">
        <v>0</v>
      </c>
      <c r="U348" s="73">
        <v>0</v>
      </c>
      <c r="V348" s="73">
        <v>0</v>
      </c>
      <c r="W348" s="73">
        <v>0</v>
      </c>
      <c r="X348" s="73">
        <v>0</v>
      </c>
      <c r="Y348" s="73">
        <v>0</v>
      </c>
      <c r="Z348" s="73">
        <v>3896</v>
      </c>
      <c r="AA348" s="73">
        <v>2654</v>
      </c>
      <c r="AB348" s="73">
        <v>0</v>
      </c>
      <c r="AC348" s="73">
        <v>0</v>
      </c>
      <c r="AD348" s="73">
        <v>0</v>
      </c>
      <c r="AE348" s="73">
        <v>0</v>
      </c>
      <c r="AF348" s="74">
        <f>tblData[[#This Row],[Gross Sales]]+tblData[[#This Row],[Trade Discounts]]+tblData[[#This Row],[Returns]]</f>
        <v>2523</v>
      </c>
      <c r="AG348" s="74">
        <f>tblData[[#This Row],[Material Cost]]+tblData[[#This Row],[Conversion Cost]]+tblData[[#This Row],[Inbound Freight]]</f>
        <v>-1074</v>
      </c>
      <c r="AH348" s="74">
        <f>tblData[[#This Row],[Net Revenue]]+tblData[[#This Row],[COGS]]</f>
        <v>1449</v>
      </c>
      <c r="AI348" s="74">
        <f>tblData[[#This Row],[Advertising]]+tblData[[#This Row],[Promotions]]</f>
        <v>-196</v>
      </c>
      <c r="AJ348" s="74">
        <f>tblData[[#This Row],[Outbound Logistics]]+tblData[[#This Row],[Direct Selling]]</f>
        <v>-212</v>
      </c>
      <c r="AK348" s="74">
        <f>tblData[[#This Row],[Gross Profit]]+tblData[[#This Row],[AP Spend]]+tblData[[#This Row],[Cost to Serve]]</f>
        <v>1041</v>
      </c>
    </row>
    <row r="349" spans="2:37" x14ac:dyDescent="0.25">
      <c r="B349" s="71" t="s">
        <v>36</v>
      </c>
      <c r="C349" s="71">
        <v>2025</v>
      </c>
      <c r="D349" s="71">
        <v>9</v>
      </c>
      <c r="E349" s="71" t="s">
        <v>44</v>
      </c>
      <c r="F349" s="71" t="s">
        <v>40</v>
      </c>
      <c r="G349" s="72">
        <v>332.8</v>
      </c>
      <c r="H349" s="73">
        <v>2283</v>
      </c>
      <c r="I349" s="73">
        <v>-356</v>
      </c>
      <c r="J349" s="73">
        <v>-27</v>
      </c>
      <c r="K349" s="73">
        <v>-648</v>
      </c>
      <c r="L349" s="73">
        <v>-164</v>
      </c>
      <c r="M349" s="73">
        <v>-87</v>
      </c>
      <c r="N349" s="73">
        <v>-64</v>
      </c>
      <c r="O349" s="73">
        <v>-34</v>
      </c>
      <c r="P349" s="73">
        <v>-91</v>
      </c>
      <c r="Q349" s="73">
        <v>-68</v>
      </c>
      <c r="R349" s="73">
        <v>0</v>
      </c>
      <c r="S349" s="73">
        <v>0</v>
      </c>
      <c r="T349" s="73">
        <v>0</v>
      </c>
      <c r="U349" s="73">
        <v>0</v>
      </c>
      <c r="V349" s="73">
        <v>0</v>
      </c>
      <c r="W349" s="73">
        <v>0</v>
      </c>
      <c r="X349" s="73">
        <v>0</v>
      </c>
      <c r="Y349" s="73">
        <v>0</v>
      </c>
      <c r="Z349" s="73">
        <v>2958</v>
      </c>
      <c r="AA349" s="73">
        <v>2100</v>
      </c>
      <c r="AB349" s="73">
        <v>0</v>
      </c>
      <c r="AC349" s="73">
        <v>0</v>
      </c>
      <c r="AD349" s="73">
        <v>0</v>
      </c>
      <c r="AE349" s="73">
        <v>0</v>
      </c>
      <c r="AF349" s="74">
        <f>tblData[[#This Row],[Gross Sales]]+tblData[[#This Row],[Trade Discounts]]+tblData[[#This Row],[Returns]]</f>
        <v>1900</v>
      </c>
      <c r="AG349" s="74">
        <f>tblData[[#This Row],[Material Cost]]+tblData[[#This Row],[Conversion Cost]]+tblData[[#This Row],[Inbound Freight]]</f>
        <v>-899</v>
      </c>
      <c r="AH349" s="74">
        <f>tblData[[#This Row],[Net Revenue]]+tblData[[#This Row],[COGS]]</f>
        <v>1001</v>
      </c>
      <c r="AI349" s="74">
        <f>tblData[[#This Row],[Advertising]]+tblData[[#This Row],[Promotions]]</f>
        <v>-98</v>
      </c>
      <c r="AJ349" s="74">
        <f>tblData[[#This Row],[Outbound Logistics]]+tblData[[#This Row],[Direct Selling]]</f>
        <v>-159</v>
      </c>
      <c r="AK349" s="74">
        <f>tblData[[#This Row],[Gross Profit]]+tblData[[#This Row],[AP Spend]]+tblData[[#This Row],[Cost to Serve]]</f>
        <v>744</v>
      </c>
    </row>
    <row r="350" spans="2:37" x14ac:dyDescent="0.25">
      <c r="B350" s="71" t="s">
        <v>36</v>
      </c>
      <c r="C350" s="71">
        <v>2025</v>
      </c>
      <c r="D350" s="71">
        <v>9</v>
      </c>
      <c r="E350" s="71" t="s">
        <v>44</v>
      </c>
      <c r="F350" s="71" t="s">
        <v>41</v>
      </c>
      <c r="G350" s="72">
        <v>168.1</v>
      </c>
      <c r="H350" s="73">
        <v>1813</v>
      </c>
      <c r="I350" s="73">
        <v>-283</v>
      </c>
      <c r="J350" s="73">
        <v>-22</v>
      </c>
      <c r="K350" s="73">
        <v>-424</v>
      </c>
      <c r="L350" s="73">
        <v>-108</v>
      </c>
      <c r="M350" s="73">
        <v>-57</v>
      </c>
      <c r="N350" s="73">
        <v>-136</v>
      </c>
      <c r="O350" s="73">
        <v>-73</v>
      </c>
      <c r="P350" s="73">
        <v>-73</v>
      </c>
      <c r="Q350" s="73">
        <v>-54</v>
      </c>
      <c r="R350" s="73">
        <v>0</v>
      </c>
      <c r="S350" s="73">
        <v>0</v>
      </c>
      <c r="T350" s="73">
        <v>0</v>
      </c>
      <c r="U350" s="73">
        <v>0</v>
      </c>
      <c r="V350" s="73">
        <v>0</v>
      </c>
      <c r="W350" s="73">
        <v>0</v>
      </c>
      <c r="X350" s="73">
        <v>0</v>
      </c>
      <c r="Y350" s="73">
        <v>0</v>
      </c>
      <c r="Z350" s="73">
        <v>2297</v>
      </c>
      <c r="AA350" s="73">
        <v>1614</v>
      </c>
      <c r="AB350" s="73">
        <v>0</v>
      </c>
      <c r="AC350" s="73">
        <v>0</v>
      </c>
      <c r="AD350" s="73">
        <v>0</v>
      </c>
      <c r="AE350" s="73">
        <v>0</v>
      </c>
      <c r="AF350" s="74">
        <f>tblData[[#This Row],[Gross Sales]]+tblData[[#This Row],[Trade Discounts]]+tblData[[#This Row],[Returns]]</f>
        <v>1508</v>
      </c>
      <c r="AG350" s="74">
        <f>tblData[[#This Row],[Material Cost]]+tblData[[#This Row],[Conversion Cost]]+tblData[[#This Row],[Inbound Freight]]</f>
        <v>-589</v>
      </c>
      <c r="AH350" s="74">
        <f>tblData[[#This Row],[Net Revenue]]+tblData[[#This Row],[COGS]]</f>
        <v>919</v>
      </c>
      <c r="AI350" s="74">
        <f>tblData[[#This Row],[Advertising]]+tblData[[#This Row],[Promotions]]</f>
        <v>-209</v>
      </c>
      <c r="AJ350" s="74">
        <f>tblData[[#This Row],[Outbound Logistics]]+tblData[[#This Row],[Direct Selling]]</f>
        <v>-127</v>
      </c>
      <c r="AK350" s="74">
        <f>tblData[[#This Row],[Gross Profit]]+tblData[[#This Row],[AP Spend]]+tblData[[#This Row],[Cost to Serve]]</f>
        <v>583</v>
      </c>
    </row>
    <row r="351" spans="2:37" x14ac:dyDescent="0.25">
      <c r="B351" s="71" t="s">
        <v>36</v>
      </c>
      <c r="C351" s="71">
        <v>2025</v>
      </c>
      <c r="D351" s="71">
        <v>9</v>
      </c>
      <c r="E351" s="71" t="s">
        <v>44</v>
      </c>
      <c r="F351" s="71" t="s">
        <v>42</v>
      </c>
      <c r="G351" s="72">
        <v>218.4</v>
      </c>
      <c r="H351" s="73">
        <v>1284</v>
      </c>
      <c r="I351" s="73">
        <v>-200</v>
      </c>
      <c r="J351" s="73">
        <v>-15</v>
      </c>
      <c r="K351" s="73">
        <v>-401</v>
      </c>
      <c r="L351" s="73">
        <v>-102</v>
      </c>
      <c r="M351" s="73">
        <v>-54</v>
      </c>
      <c r="N351" s="73">
        <v>-27</v>
      </c>
      <c r="O351" s="73">
        <v>-14</v>
      </c>
      <c r="P351" s="73">
        <v>-51</v>
      </c>
      <c r="Q351" s="73">
        <v>-39</v>
      </c>
      <c r="R351" s="73">
        <v>0</v>
      </c>
      <c r="S351" s="73">
        <v>0</v>
      </c>
      <c r="T351" s="73">
        <v>0</v>
      </c>
      <c r="U351" s="73">
        <v>0</v>
      </c>
      <c r="V351" s="73">
        <v>0</v>
      </c>
      <c r="W351" s="73">
        <v>0</v>
      </c>
      <c r="X351" s="73">
        <v>0</v>
      </c>
      <c r="Y351" s="73">
        <v>0</v>
      </c>
      <c r="Z351" s="73">
        <v>1623</v>
      </c>
      <c r="AA351" s="73">
        <v>1859</v>
      </c>
      <c r="AB351" s="73">
        <v>0</v>
      </c>
      <c r="AC351" s="73">
        <v>0</v>
      </c>
      <c r="AD351" s="73">
        <v>0</v>
      </c>
      <c r="AE351" s="73">
        <v>0</v>
      </c>
      <c r="AF351" s="74">
        <f>tblData[[#This Row],[Gross Sales]]+tblData[[#This Row],[Trade Discounts]]+tblData[[#This Row],[Returns]]</f>
        <v>1069</v>
      </c>
      <c r="AG351" s="74">
        <f>tblData[[#This Row],[Material Cost]]+tblData[[#This Row],[Conversion Cost]]+tblData[[#This Row],[Inbound Freight]]</f>
        <v>-557</v>
      </c>
      <c r="AH351" s="74">
        <f>tblData[[#This Row],[Net Revenue]]+tblData[[#This Row],[COGS]]</f>
        <v>512</v>
      </c>
      <c r="AI351" s="74">
        <f>tblData[[#This Row],[Advertising]]+tblData[[#This Row],[Promotions]]</f>
        <v>-41</v>
      </c>
      <c r="AJ351" s="74">
        <f>tblData[[#This Row],[Outbound Logistics]]+tblData[[#This Row],[Direct Selling]]</f>
        <v>-90</v>
      </c>
      <c r="AK351" s="74">
        <f>tblData[[#This Row],[Gross Profit]]+tblData[[#This Row],[AP Spend]]+tblData[[#This Row],[Cost to Serve]]</f>
        <v>381</v>
      </c>
    </row>
    <row r="352" spans="2:37" x14ac:dyDescent="0.25">
      <c r="B352" s="71" t="s">
        <v>36</v>
      </c>
      <c r="C352" s="71">
        <v>2025</v>
      </c>
      <c r="D352" s="71">
        <v>9</v>
      </c>
      <c r="E352" s="71" t="s">
        <v>44</v>
      </c>
      <c r="F352" s="71" t="s">
        <v>43</v>
      </c>
      <c r="G352" s="72">
        <v>43.4</v>
      </c>
      <c r="H352" s="73">
        <v>765</v>
      </c>
      <c r="I352" s="73">
        <v>-119</v>
      </c>
      <c r="J352" s="73">
        <v>-9</v>
      </c>
      <c r="K352" s="73">
        <v>-206</v>
      </c>
      <c r="L352" s="73">
        <v>-52</v>
      </c>
      <c r="M352" s="73">
        <v>-28</v>
      </c>
      <c r="N352" s="73">
        <v>-74</v>
      </c>
      <c r="O352" s="73">
        <v>-40</v>
      </c>
      <c r="P352" s="73">
        <v>-31</v>
      </c>
      <c r="Q352" s="73">
        <v>-23</v>
      </c>
      <c r="R352" s="73">
        <v>0</v>
      </c>
      <c r="S352" s="73">
        <v>0</v>
      </c>
      <c r="T352" s="73">
        <v>0</v>
      </c>
      <c r="U352" s="73">
        <v>0</v>
      </c>
      <c r="V352" s="73">
        <v>0</v>
      </c>
      <c r="W352" s="73">
        <v>0</v>
      </c>
      <c r="X352" s="73">
        <v>0</v>
      </c>
      <c r="Y352" s="73">
        <v>0</v>
      </c>
      <c r="Z352" s="73">
        <v>977</v>
      </c>
      <c r="AA352" s="73">
        <v>1054</v>
      </c>
      <c r="AB352" s="73">
        <v>0</v>
      </c>
      <c r="AC352" s="73">
        <v>0</v>
      </c>
      <c r="AD352" s="73">
        <v>0</v>
      </c>
      <c r="AE352" s="73">
        <v>0</v>
      </c>
      <c r="AF352" s="74">
        <f>tblData[[#This Row],[Gross Sales]]+tblData[[#This Row],[Trade Discounts]]+tblData[[#This Row],[Returns]]</f>
        <v>637</v>
      </c>
      <c r="AG352" s="74">
        <f>tblData[[#This Row],[Material Cost]]+tblData[[#This Row],[Conversion Cost]]+tblData[[#This Row],[Inbound Freight]]</f>
        <v>-286</v>
      </c>
      <c r="AH352" s="74">
        <f>tblData[[#This Row],[Net Revenue]]+tblData[[#This Row],[COGS]]</f>
        <v>351</v>
      </c>
      <c r="AI352" s="74">
        <f>tblData[[#This Row],[Advertising]]+tblData[[#This Row],[Promotions]]</f>
        <v>-114</v>
      </c>
      <c r="AJ352" s="74">
        <f>tblData[[#This Row],[Outbound Logistics]]+tblData[[#This Row],[Direct Selling]]</f>
        <v>-54</v>
      </c>
      <c r="AK352" s="74">
        <f>tblData[[#This Row],[Gross Profit]]+tblData[[#This Row],[AP Spend]]+tblData[[#This Row],[Cost to Serve]]</f>
        <v>183</v>
      </c>
    </row>
    <row r="353" spans="2:37" x14ac:dyDescent="0.25">
      <c r="B353" s="71" t="s">
        <v>36</v>
      </c>
      <c r="C353" s="71">
        <v>2025</v>
      </c>
      <c r="D353" s="71">
        <v>9</v>
      </c>
      <c r="E353" s="71" t="s">
        <v>45</v>
      </c>
      <c r="F353" s="71" t="s">
        <v>38</v>
      </c>
      <c r="G353" s="72">
        <v>151.4</v>
      </c>
      <c r="H353" s="73">
        <v>2077</v>
      </c>
      <c r="I353" s="73">
        <v>-449</v>
      </c>
      <c r="J353" s="73">
        <v>-21</v>
      </c>
      <c r="K353" s="73">
        <v>-442</v>
      </c>
      <c r="L353" s="73">
        <v>-112</v>
      </c>
      <c r="M353" s="73">
        <v>-59</v>
      </c>
      <c r="N353" s="73">
        <v>-130</v>
      </c>
      <c r="O353" s="73">
        <v>-70</v>
      </c>
      <c r="P353" s="73">
        <v>-73</v>
      </c>
      <c r="Q353" s="73">
        <v>-42</v>
      </c>
      <c r="R353" s="73">
        <v>0</v>
      </c>
      <c r="S353" s="73">
        <v>0</v>
      </c>
      <c r="T353" s="73">
        <v>0</v>
      </c>
      <c r="U353" s="73">
        <v>0</v>
      </c>
      <c r="V353" s="73">
        <v>0</v>
      </c>
      <c r="W353" s="73">
        <v>0</v>
      </c>
      <c r="X353" s="73">
        <v>0</v>
      </c>
      <c r="Y353" s="73">
        <v>0</v>
      </c>
      <c r="Z353" s="73">
        <v>2231</v>
      </c>
      <c r="AA353" s="73">
        <v>1797</v>
      </c>
      <c r="AB353" s="73">
        <v>0</v>
      </c>
      <c r="AC353" s="73">
        <v>0</v>
      </c>
      <c r="AD353" s="73">
        <v>0</v>
      </c>
      <c r="AE353" s="73">
        <v>0</v>
      </c>
      <c r="AF353" s="74">
        <f>tblData[[#This Row],[Gross Sales]]+tblData[[#This Row],[Trade Discounts]]+tblData[[#This Row],[Returns]]</f>
        <v>1607</v>
      </c>
      <c r="AG353" s="74">
        <f>tblData[[#This Row],[Material Cost]]+tblData[[#This Row],[Conversion Cost]]+tblData[[#This Row],[Inbound Freight]]</f>
        <v>-613</v>
      </c>
      <c r="AH353" s="74">
        <f>tblData[[#This Row],[Net Revenue]]+tblData[[#This Row],[COGS]]</f>
        <v>994</v>
      </c>
      <c r="AI353" s="74">
        <f>tblData[[#This Row],[Advertising]]+tblData[[#This Row],[Promotions]]</f>
        <v>-200</v>
      </c>
      <c r="AJ353" s="74">
        <f>tblData[[#This Row],[Outbound Logistics]]+tblData[[#This Row],[Direct Selling]]</f>
        <v>-115</v>
      </c>
      <c r="AK353" s="74">
        <f>tblData[[#This Row],[Gross Profit]]+tblData[[#This Row],[AP Spend]]+tblData[[#This Row],[Cost to Serve]]</f>
        <v>679</v>
      </c>
    </row>
    <row r="354" spans="2:37" x14ac:dyDescent="0.25">
      <c r="B354" s="71" t="s">
        <v>36</v>
      </c>
      <c r="C354" s="71">
        <v>2025</v>
      </c>
      <c r="D354" s="71">
        <v>9</v>
      </c>
      <c r="E354" s="71" t="s">
        <v>45</v>
      </c>
      <c r="F354" s="71" t="s">
        <v>39</v>
      </c>
      <c r="G354" s="72">
        <v>202.3</v>
      </c>
      <c r="H354" s="73">
        <v>1784</v>
      </c>
      <c r="I354" s="73">
        <v>-385</v>
      </c>
      <c r="J354" s="73">
        <v>-18</v>
      </c>
      <c r="K354" s="73">
        <v>-456</v>
      </c>
      <c r="L354" s="73">
        <v>-116</v>
      </c>
      <c r="M354" s="73">
        <v>-61</v>
      </c>
      <c r="N354" s="73">
        <v>-74</v>
      </c>
      <c r="O354" s="73">
        <v>-40</v>
      </c>
      <c r="P354" s="73">
        <v>-62</v>
      </c>
      <c r="Q354" s="73">
        <v>-36</v>
      </c>
      <c r="R354" s="73">
        <v>0</v>
      </c>
      <c r="S354" s="73">
        <v>0</v>
      </c>
      <c r="T354" s="73">
        <v>0</v>
      </c>
      <c r="U354" s="73">
        <v>0</v>
      </c>
      <c r="V354" s="73">
        <v>0</v>
      </c>
      <c r="W354" s="73">
        <v>0</v>
      </c>
      <c r="X354" s="73">
        <v>0</v>
      </c>
      <c r="Y354" s="73">
        <v>0</v>
      </c>
      <c r="Z354" s="73">
        <v>1917</v>
      </c>
      <c r="AA354" s="73">
        <v>1560</v>
      </c>
      <c r="AB354" s="73">
        <v>0</v>
      </c>
      <c r="AC354" s="73">
        <v>0</v>
      </c>
      <c r="AD354" s="73">
        <v>0</v>
      </c>
      <c r="AE354" s="73">
        <v>0</v>
      </c>
      <c r="AF354" s="74">
        <f>tblData[[#This Row],[Gross Sales]]+tblData[[#This Row],[Trade Discounts]]+tblData[[#This Row],[Returns]]</f>
        <v>1381</v>
      </c>
      <c r="AG354" s="74">
        <f>tblData[[#This Row],[Material Cost]]+tblData[[#This Row],[Conversion Cost]]+tblData[[#This Row],[Inbound Freight]]</f>
        <v>-633</v>
      </c>
      <c r="AH354" s="74">
        <f>tblData[[#This Row],[Net Revenue]]+tblData[[#This Row],[COGS]]</f>
        <v>748</v>
      </c>
      <c r="AI354" s="74">
        <f>tblData[[#This Row],[Advertising]]+tblData[[#This Row],[Promotions]]</f>
        <v>-114</v>
      </c>
      <c r="AJ354" s="74">
        <f>tblData[[#This Row],[Outbound Logistics]]+tblData[[#This Row],[Direct Selling]]</f>
        <v>-98</v>
      </c>
      <c r="AK354" s="74">
        <f>tblData[[#This Row],[Gross Profit]]+tblData[[#This Row],[AP Spend]]+tblData[[#This Row],[Cost to Serve]]</f>
        <v>536</v>
      </c>
    </row>
    <row r="355" spans="2:37" x14ac:dyDescent="0.25">
      <c r="B355" s="71" t="s">
        <v>36</v>
      </c>
      <c r="C355" s="71">
        <v>2025</v>
      </c>
      <c r="D355" s="71">
        <v>9</v>
      </c>
      <c r="E355" s="71" t="s">
        <v>45</v>
      </c>
      <c r="F355" s="71" t="s">
        <v>40</v>
      </c>
      <c r="G355" s="72">
        <v>192.3</v>
      </c>
      <c r="H355" s="73">
        <v>1319</v>
      </c>
      <c r="I355" s="73">
        <v>-285</v>
      </c>
      <c r="J355" s="73">
        <v>-13</v>
      </c>
      <c r="K355" s="73">
        <v>-374</v>
      </c>
      <c r="L355" s="73">
        <v>-95</v>
      </c>
      <c r="M355" s="73">
        <v>-50</v>
      </c>
      <c r="N355" s="73">
        <v>-37</v>
      </c>
      <c r="O355" s="73">
        <v>-20</v>
      </c>
      <c r="P355" s="73">
        <v>-46</v>
      </c>
      <c r="Q355" s="73">
        <v>-26</v>
      </c>
      <c r="R355" s="73">
        <v>0</v>
      </c>
      <c r="S355" s="73">
        <v>0</v>
      </c>
      <c r="T355" s="73">
        <v>0</v>
      </c>
      <c r="U355" s="73">
        <v>0</v>
      </c>
      <c r="V355" s="73">
        <v>0</v>
      </c>
      <c r="W355" s="73">
        <v>0</v>
      </c>
      <c r="X355" s="73">
        <v>0</v>
      </c>
      <c r="Y355" s="73">
        <v>0</v>
      </c>
      <c r="Z355" s="73">
        <v>1417</v>
      </c>
      <c r="AA355" s="73">
        <v>1201</v>
      </c>
      <c r="AB355" s="73">
        <v>0</v>
      </c>
      <c r="AC355" s="73">
        <v>0</v>
      </c>
      <c r="AD355" s="73">
        <v>0</v>
      </c>
      <c r="AE355" s="73">
        <v>0</v>
      </c>
      <c r="AF355" s="74">
        <f>tblData[[#This Row],[Gross Sales]]+tblData[[#This Row],[Trade Discounts]]+tblData[[#This Row],[Returns]]</f>
        <v>1021</v>
      </c>
      <c r="AG355" s="74">
        <f>tblData[[#This Row],[Material Cost]]+tblData[[#This Row],[Conversion Cost]]+tblData[[#This Row],[Inbound Freight]]</f>
        <v>-519</v>
      </c>
      <c r="AH355" s="74">
        <f>tblData[[#This Row],[Net Revenue]]+tblData[[#This Row],[COGS]]</f>
        <v>502</v>
      </c>
      <c r="AI355" s="74">
        <f>tblData[[#This Row],[Advertising]]+tblData[[#This Row],[Promotions]]</f>
        <v>-57</v>
      </c>
      <c r="AJ355" s="74">
        <f>tblData[[#This Row],[Outbound Logistics]]+tblData[[#This Row],[Direct Selling]]</f>
        <v>-72</v>
      </c>
      <c r="AK355" s="74">
        <f>tblData[[#This Row],[Gross Profit]]+tblData[[#This Row],[AP Spend]]+tblData[[#This Row],[Cost to Serve]]</f>
        <v>373</v>
      </c>
    </row>
    <row r="356" spans="2:37" x14ac:dyDescent="0.25">
      <c r="B356" s="71" t="s">
        <v>36</v>
      </c>
      <c r="C356" s="71">
        <v>2025</v>
      </c>
      <c r="D356" s="71">
        <v>9</v>
      </c>
      <c r="E356" s="71" t="s">
        <v>45</v>
      </c>
      <c r="F356" s="71" t="s">
        <v>41</v>
      </c>
      <c r="G356" s="72">
        <v>96.9</v>
      </c>
      <c r="H356" s="73">
        <v>1044</v>
      </c>
      <c r="I356" s="73">
        <v>-226</v>
      </c>
      <c r="J356" s="73">
        <v>-10</v>
      </c>
      <c r="K356" s="73">
        <v>-244</v>
      </c>
      <c r="L356" s="73">
        <v>-62</v>
      </c>
      <c r="M356" s="73">
        <v>-33</v>
      </c>
      <c r="N356" s="73">
        <v>-79</v>
      </c>
      <c r="O356" s="73">
        <v>-43</v>
      </c>
      <c r="P356" s="73">
        <v>-37</v>
      </c>
      <c r="Q356" s="73">
        <v>-21</v>
      </c>
      <c r="R356" s="73">
        <v>0</v>
      </c>
      <c r="S356" s="73">
        <v>0</v>
      </c>
      <c r="T356" s="73">
        <v>0</v>
      </c>
      <c r="U356" s="73">
        <v>0</v>
      </c>
      <c r="V356" s="73">
        <v>0</v>
      </c>
      <c r="W356" s="73">
        <v>0</v>
      </c>
      <c r="X356" s="73">
        <v>0</v>
      </c>
      <c r="Y356" s="73">
        <v>0</v>
      </c>
      <c r="Z356" s="73">
        <v>1095</v>
      </c>
      <c r="AA356" s="73">
        <v>919</v>
      </c>
      <c r="AB356" s="73">
        <v>0</v>
      </c>
      <c r="AC356" s="73">
        <v>0</v>
      </c>
      <c r="AD356" s="73">
        <v>0</v>
      </c>
      <c r="AE356" s="73">
        <v>0</v>
      </c>
      <c r="AF356" s="74">
        <f>tblData[[#This Row],[Gross Sales]]+tblData[[#This Row],[Trade Discounts]]+tblData[[#This Row],[Returns]]</f>
        <v>808</v>
      </c>
      <c r="AG356" s="74">
        <f>tblData[[#This Row],[Material Cost]]+tblData[[#This Row],[Conversion Cost]]+tblData[[#This Row],[Inbound Freight]]</f>
        <v>-339</v>
      </c>
      <c r="AH356" s="74">
        <f>tblData[[#This Row],[Net Revenue]]+tblData[[#This Row],[COGS]]</f>
        <v>469</v>
      </c>
      <c r="AI356" s="74">
        <f>tblData[[#This Row],[Advertising]]+tblData[[#This Row],[Promotions]]</f>
        <v>-122</v>
      </c>
      <c r="AJ356" s="74">
        <f>tblData[[#This Row],[Outbound Logistics]]+tblData[[#This Row],[Direct Selling]]</f>
        <v>-58</v>
      </c>
      <c r="AK356" s="74">
        <f>tblData[[#This Row],[Gross Profit]]+tblData[[#This Row],[AP Spend]]+tblData[[#This Row],[Cost to Serve]]</f>
        <v>289</v>
      </c>
    </row>
    <row r="357" spans="2:37" x14ac:dyDescent="0.25">
      <c r="B357" s="71" t="s">
        <v>36</v>
      </c>
      <c r="C357" s="71">
        <v>2025</v>
      </c>
      <c r="D357" s="71">
        <v>9</v>
      </c>
      <c r="E357" s="71" t="s">
        <v>45</v>
      </c>
      <c r="F357" s="71" t="s">
        <v>42</v>
      </c>
      <c r="G357" s="72">
        <v>128.1</v>
      </c>
      <c r="H357" s="73">
        <v>753</v>
      </c>
      <c r="I357" s="73">
        <v>-163</v>
      </c>
      <c r="J357" s="73">
        <v>-8</v>
      </c>
      <c r="K357" s="73">
        <v>-235</v>
      </c>
      <c r="L357" s="73">
        <v>-60</v>
      </c>
      <c r="M357" s="73">
        <v>-31</v>
      </c>
      <c r="N357" s="73">
        <v>-15</v>
      </c>
      <c r="O357" s="73">
        <v>-8</v>
      </c>
      <c r="P357" s="73">
        <v>-26</v>
      </c>
      <c r="Q357" s="73">
        <v>-15</v>
      </c>
      <c r="R357" s="73">
        <v>0</v>
      </c>
      <c r="S357" s="73">
        <v>0</v>
      </c>
      <c r="T357" s="73">
        <v>0</v>
      </c>
      <c r="U357" s="73">
        <v>0</v>
      </c>
      <c r="V357" s="73">
        <v>0</v>
      </c>
      <c r="W357" s="73">
        <v>0</v>
      </c>
      <c r="X357" s="73">
        <v>0</v>
      </c>
      <c r="Y357" s="73">
        <v>0</v>
      </c>
      <c r="Z357" s="73">
        <v>792</v>
      </c>
      <c r="AA357" s="73">
        <v>1083</v>
      </c>
      <c r="AB357" s="73">
        <v>0</v>
      </c>
      <c r="AC357" s="73">
        <v>0</v>
      </c>
      <c r="AD357" s="73">
        <v>0</v>
      </c>
      <c r="AE357" s="73">
        <v>0</v>
      </c>
      <c r="AF357" s="74">
        <f>tblData[[#This Row],[Gross Sales]]+tblData[[#This Row],[Trade Discounts]]+tblData[[#This Row],[Returns]]</f>
        <v>582</v>
      </c>
      <c r="AG357" s="74">
        <f>tblData[[#This Row],[Material Cost]]+tblData[[#This Row],[Conversion Cost]]+tblData[[#This Row],[Inbound Freight]]</f>
        <v>-326</v>
      </c>
      <c r="AH357" s="74">
        <f>tblData[[#This Row],[Net Revenue]]+tblData[[#This Row],[COGS]]</f>
        <v>256</v>
      </c>
      <c r="AI357" s="74">
        <f>tblData[[#This Row],[Advertising]]+tblData[[#This Row],[Promotions]]</f>
        <v>-23</v>
      </c>
      <c r="AJ357" s="74">
        <f>tblData[[#This Row],[Outbound Logistics]]+tblData[[#This Row],[Direct Selling]]</f>
        <v>-41</v>
      </c>
      <c r="AK357" s="74">
        <f>tblData[[#This Row],[Gross Profit]]+tblData[[#This Row],[AP Spend]]+tblData[[#This Row],[Cost to Serve]]</f>
        <v>192</v>
      </c>
    </row>
    <row r="358" spans="2:37" x14ac:dyDescent="0.25">
      <c r="B358" s="71" t="s">
        <v>36</v>
      </c>
      <c r="C358" s="71">
        <v>2025</v>
      </c>
      <c r="D358" s="71">
        <v>9</v>
      </c>
      <c r="E358" s="71" t="s">
        <v>45</v>
      </c>
      <c r="F358" s="71" t="s">
        <v>43</v>
      </c>
      <c r="G358" s="72">
        <v>25.3</v>
      </c>
      <c r="H358" s="73">
        <v>446</v>
      </c>
      <c r="I358" s="73">
        <v>-96</v>
      </c>
      <c r="J358" s="73">
        <v>-4</v>
      </c>
      <c r="K358" s="73">
        <v>-120</v>
      </c>
      <c r="L358" s="73">
        <v>-31</v>
      </c>
      <c r="M358" s="73">
        <v>-16</v>
      </c>
      <c r="N358" s="73">
        <v>-43</v>
      </c>
      <c r="O358" s="73">
        <v>-23</v>
      </c>
      <c r="P358" s="73">
        <v>-16</v>
      </c>
      <c r="Q358" s="73">
        <v>-9</v>
      </c>
      <c r="R358" s="73">
        <v>0</v>
      </c>
      <c r="S358" s="73">
        <v>0</v>
      </c>
      <c r="T358" s="73">
        <v>0</v>
      </c>
      <c r="U358" s="73">
        <v>0</v>
      </c>
      <c r="V358" s="73">
        <v>0</v>
      </c>
      <c r="W358" s="73">
        <v>0</v>
      </c>
      <c r="X358" s="73">
        <v>0</v>
      </c>
      <c r="Y358" s="73">
        <v>0</v>
      </c>
      <c r="Z358" s="73">
        <v>466</v>
      </c>
      <c r="AA358" s="73">
        <v>601</v>
      </c>
      <c r="AB358" s="73">
        <v>0</v>
      </c>
      <c r="AC358" s="73">
        <v>0</v>
      </c>
      <c r="AD358" s="73">
        <v>0</v>
      </c>
      <c r="AE358" s="73">
        <v>0</v>
      </c>
      <c r="AF358" s="74">
        <f>tblData[[#This Row],[Gross Sales]]+tblData[[#This Row],[Trade Discounts]]+tblData[[#This Row],[Returns]]</f>
        <v>346</v>
      </c>
      <c r="AG358" s="74">
        <f>tblData[[#This Row],[Material Cost]]+tblData[[#This Row],[Conversion Cost]]+tblData[[#This Row],[Inbound Freight]]</f>
        <v>-167</v>
      </c>
      <c r="AH358" s="74">
        <f>tblData[[#This Row],[Net Revenue]]+tblData[[#This Row],[COGS]]</f>
        <v>179</v>
      </c>
      <c r="AI358" s="74">
        <f>tblData[[#This Row],[Advertising]]+tblData[[#This Row],[Promotions]]</f>
        <v>-66</v>
      </c>
      <c r="AJ358" s="74">
        <f>tblData[[#This Row],[Outbound Logistics]]+tblData[[#This Row],[Direct Selling]]</f>
        <v>-25</v>
      </c>
      <c r="AK358" s="74">
        <f>tblData[[#This Row],[Gross Profit]]+tblData[[#This Row],[AP Spend]]+tblData[[#This Row],[Cost to Serve]]</f>
        <v>88</v>
      </c>
    </row>
    <row r="359" spans="2:37" x14ac:dyDescent="0.25">
      <c r="B359" s="71" t="s">
        <v>36</v>
      </c>
      <c r="C359" s="71">
        <v>2025</v>
      </c>
      <c r="D359" s="71">
        <v>9</v>
      </c>
      <c r="E359" s="71" t="s">
        <v>46</v>
      </c>
      <c r="F359" s="71" t="s">
        <v>38</v>
      </c>
      <c r="G359" s="72">
        <v>158.4</v>
      </c>
      <c r="H359" s="73">
        <v>2173</v>
      </c>
      <c r="I359" s="73">
        <v>-230</v>
      </c>
      <c r="J359" s="73">
        <v>-87</v>
      </c>
      <c r="K359" s="73">
        <v>-462</v>
      </c>
      <c r="L359" s="73">
        <v>-117</v>
      </c>
      <c r="M359" s="73">
        <v>-62</v>
      </c>
      <c r="N359" s="73">
        <v>-149</v>
      </c>
      <c r="O359" s="73">
        <v>-80</v>
      </c>
      <c r="P359" s="73">
        <v>-163</v>
      </c>
      <c r="Q359" s="73">
        <v>-43</v>
      </c>
      <c r="R359" s="73">
        <v>0</v>
      </c>
      <c r="S359" s="73">
        <v>0</v>
      </c>
      <c r="T359" s="73">
        <v>0</v>
      </c>
      <c r="U359" s="73">
        <v>0</v>
      </c>
      <c r="V359" s="73">
        <v>0</v>
      </c>
      <c r="W359" s="73">
        <v>0</v>
      </c>
      <c r="X359" s="73">
        <v>0</v>
      </c>
      <c r="Y359" s="73">
        <v>0</v>
      </c>
      <c r="Z359" s="73">
        <v>1419</v>
      </c>
      <c r="AA359" s="73">
        <v>1865</v>
      </c>
      <c r="AB359" s="73">
        <v>0</v>
      </c>
      <c r="AC359" s="73">
        <v>0</v>
      </c>
      <c r="AD359" s="73">
        <v>0</v>
      </c>
      <c r="AE359" s="73">
        <v>0</v>
      </c>
      <c r="AF359" s="74">
        <f>tblData[[#This Row],[Gross Sales]]+tblData[[#This Row],[Trade Discounts]]+tblData[[#This Row],[Returns]]</f>
        <v>1856</v>
      </c>
      <c r="AG359" s="74">
        <f>tblData[[#This Row],[Material Cost]]+tblData[[#This Row],[Conversion Cost]]+tblData[[#This Row],[Inbound Freight]]</f>
        <v>-641</v>
      </c>
      <c r="AH359" s="74">
        <f>tblData[[#This Row],[Net Revenue]]+tblData[[#This Row],[COGS]]</f>
        <v>1215</v>
      </c>
      <c r="AI359" s="74">
        <f>tblData[[#This Row],[Advertising]]+tblData[[#This Row],[Promotions]]</f>
        <v>-229</v>
      </c>
      <c r="AJ359" s="74">
        <f>tblData[[#This Row],[Outbound Logistics]]+tblData[[#This Row],[Direct Selling]]</f>
        <v>-206</v>
      </c>
      <c r="AK359" s="74">
        <f>tblData[[#This Row],[Gross Profit]]+tblData[[#This Row],[AP Spend]]+tblData[[#This Row],[Cost to Serve]]</f>
        <v>780</v>
      </c>
    </row>
    <row r="360" spans="2:37" x14ac:dyDescent="0.25">
      <c r="B360" s="71" t="s">
        <v>36</v>
      </c>
      <c r="C360" s="71">
        <v>2025</v>
      </c>
      <c r="D360" s="71">
        <v>9</v>
      </c>
      <c r="E360" s="71" t="s">
        <v>46</v>
      </c>
      <c r="F360" s="71" t="s">
        <v>39</v>
      </c>
      <c r="G360" s="72">
        <v>207.9</v>
      </c>
      <c r="H360" s="73">
        <v>1834</v>
      </c>
      <c r="I360" s="73">
        <v>-194</v>
      </c>
      <c r="J360" s="73">
        <v>-73</v>
      </c>
      <c r="K360" s="73">
        <v>-468</v>
      </c>
      <c r="L360" s="73">
        <v>-119</v>
      </c>
      <c r="M360" s="73">
        <v>-63</v>
      </c>
      <c r="N360" s="73">
        <v>-85</v>
      </c>
      <c r="O360" s="73">
        <v>-46</v>
      </c>
      <c r="P360" s="73">
        <v>-138</v>
      </c>
      <c r="Q360" s="73">
        <v>-37</v>
      </c>
      <c r="R360" s="73">
        <v>0</v>
      </c>
      <c r="S360" s="73">
        <v>0</v>
      </c>
      <c r="T360" s="73">
        <v>0</v>
      </c>
      <c r="U360" s="73">
        <v>0</v>
      </c>
      <c r="V360" s="73">
        <v>0</v>
      </c>
      <c r="W360" s="73">
        <v>0</v>
      </c>
      <c r="X360" s="73">
        <v>0</v>
      </c>
      <c r="Y360" s="73">
        <v>0</v>
      </c>
      <c r="Z360" s="73">
        <v>1202</v>
      </c>
      <c r="AA360" s="73">
        <v>1596</v>
      </c>
      <c r="AB360" s="73">
        <v>0</v>
      </c>
      <c r="AC360" s="73">
        <v>0</v>
      </c>
      <c r="AD360" s="73">
        <v>0</v>
      </c>
      <c r="AE360" s="73">
        <v>0</v>
      </c>
      <c r="AF360" s="74">
        <f>tblData[[#This Row],[Gross Sales]]+tblData[[#This Row],[Trade Discounts]]+tblData[[#This Row],[Returns]]</f>
        <v>1567</v>
      </c>
      <c r="AG360" s="74">
        <f>tblData[[#This Row],[Material Cost]]+tblData[[#This Row],[Conversion Cost]]+tblData[[#This Row],[Inbound Freight]]</f>
        <v>-650</v>
      </c>
      <c r="AH360" s="74">
        <f>tblData[[#This Row],[Net Revenue]]+tblData[[#This Row],[COGS]]</f>
        <v>917</v>
      </c>
      <c r="AI360" s="74">
        <f>tblData[[#This Row],[Advertising]]+tblData[[#This Row],[Promotions]]</f>
        <v>-131</v>
      </c>
      <c r="AJ360" s="74">
        <f>tblData[[#This Row],[Outbound Logistics]]+tblData[[#This Row],[Direct Selling]]</f>
        <v>-175</v>
      </c>
      <c r="AK360" s="74">
        <f>tblData[[#This Row],[Gross Profit]]+tblData[[#This Row],[AP Spend]]+tblData[[#This Row],[Cost to Serve]]</f>
        <v>611</v>
      </c>
    </row>
    <row r="361" spans="2:37" x14ac:dyDescent="0.25">
      <c r="B361" s="71" t="s">
        <v>36</v>
      </c>
      <c r="C361" s="71">
        <v>2025</v>
      </c>
      <c r="D361" s="71">
        <v>9</v>
      </c>
      <c r="E361" s="71" t="s">
        <v>46</v>
      </c>
      <c r="F361" s="71" t="s">
        <v>40</v>
      </c>
      <c r="G361" s="72">
        <v>198.4</v>
      </c>
      <c r="H361" s="73">
        <v>1361</v>
      </c>
      <c r="I361" s="73">
        <v>-144</v>
      </c>
      <c r="J361" s="73">
        <v>-54</v>
      </c>
      <c r="K361" s="73">
        <v>-386</v>
      </c>
      <c r="L361" s="73">
        <v>-98</v>
      </c>
      <c r="M361" s="73">
        <v>-52</v>
      </c>
      <c r="N361" s="73">
        <v>-42</v>
      </c>
      <c r="O361" s="73">
        <v>-23</v>
      </c>
      <c r="P361" s="73">
        <v>-102</v>
      </c>
      <c r="Q361" s="73">
        <v>-27</v>
      </c>
      <c r="R361" s="73">
        <v>0</v>
      </c>
      <c r="S361" s="73">
        <v>0</v>
      </c>
      <c r="T361" s="73">
        <v>0</v>
      </c>
      <c r="U361" s="73">
        <v>0</v>
      </c>
      <c r="V361" s="73">
        <v>0</v>
      </c>
      <c r="W361" s="73">
        <v>0</v>
      </c>
      <c r="X361" s="73">
        <v>0</v>
      </c>
      <c r="Y361" s="73">
        <v>0</v>
      </c>
      <c r="Z361" s="73">
        <v>905</v>
      </c>
      <c r="AA361" s="73">
        <v>1251</v>
      </c>
      <c r="AB361" s="73">
        <v>0</v>
      </c>
      <c r="AC361" s="73">
        <v>0</v>
      </c>
      <c r="AD361" s="73">
        <v>0</v>
      </c>
      <c r="AE361" s="73">
        <v>0</v>
      </c>
      <c r="AF361" s="74">
        <f>tblData[[#This Row],[Gross Sales]]+tblData[[#This Row],[Trade Discounts]]+tblData[[#This Row],[Returns]]</f>
        <v>1163</v>
      </c>
      <c r="AG361" s="74">
        <f>tblData[[#This Row],[Material Cost]]+tblData[[#This Row],[Conversion Cost]]+tblData[[#This Row],[Inbound Freight]]</f>
        <v>-536</v>
      </c>
      <c r="AH361" s="74">
        <f>tblData[[#This Row],[Net Revenue]]+tblData[[#This Row],[COGS]]</f>
        <v>627</v>
      </c>
      <c r="AI361" s="74">
        <f>tblData[[#This Row],[Advertising]]+tblData[[#This Row],[Promotions]]</f>
        <v>-65</v>
      </c>
      <c r="AJ361" s="74">
        <f>tblData[[#This Row],[Outbound Logistics]]+tblData[[#This Row],[Direct Selling]]</f>
        <v>-129</v>
      </c>
      <c r="AK361" s="74">
        <f>tblData[[#This Row],[Gross Profit]]+tblData[[#This Row],[AP Spend]]+tblData[[#This Row],[Cost to Serve]]</f>
        <v>433</v>
      </c>
    </row>
    <row r="362" spans="2:37" x14ac:dyDescent="0.25">
      <c r="B362" s="71" t="s">
        <v>36</v>
      </c>
      <c r="C362" s="71">
        <v>2025</v>
      </c>
      <c r="D362" s="71">
        <v>9</v>
      </c>
      <c r="E362" s="71" t="s">
        <v>46</v>
      </c>
      <c r="F362" s="71" t="s">
        <v>41</v>
      </c>
      <c r="G362" s="72">
        <v>100</v>
      </c>
      <c r="H362" s="73">
        <v>1078</v>
      </c>
      <c r="I362" s="73">
        <v>-114</v>
      </c>
      <c r="J362" s="73">
        <v>-43</v>
      </c>
      <c r="K362" s="73">
        <v>-252</v>
      </c>
      <c r="L362" s="73">
        <v>-64</v>
      </c>
      <c r="M362" s="73">
        <v>-34</v>
      </c>
      <c r="N362" s="73">
        <v>-91</v>
      </c>
      <c r="O362" s="73">
        <v>-49</v>
      </c>
      <c r="P362" s="73">
        <v>-81</v>
      </c>
      <c r="Q362" s="73">
        <v>-22</v>
      </c>
      <c r="R362" s="73">
        <v>0</v>
      </c>
      <c r="S362" s="73">
        <v>0</v>
      </c>
      <c r="T362" s="73">
        <v>0</v>
      </c>
      <c r="U362" s="73">
        <v>0</v>
      </c>
      <c r="V362" s="73">
        <v>0</v>
      </c>
      <c r="W362" s="73">
        <v>0</v>
      </c>
      <c r="X362" s="73">
        <v>0</v>
      </c>
      <c r="Y362" s="73">
        <v>0</v>
      </c>
      <c r="Z362" s="73">
        <v>709</v>
      </c>
      <c r="AA362" s="73">
        <v>971</v>
      </c>
      <c r="AB362" s="73">
        <v>0</v>
      </c>
      <c r="AC362" s="73">
        <v>0</v>
      </c>
      <c r="AD362" s="73">
        <v>0</v>
      </c>
      <c r="AE362" s="73">
        <v>0</v>
      </c>
      <c r="AF362" s="74">
        <f>tblData[[#This Row],[Gross Sales]]+tblData[[#This Row],[Trade Discounts]]+tblData[[#This Row],[Returns]]</f>
        <v>921</v>
      </c>
      <c r="AG362" s="74">
        <f>tblData[[#This Row],[Material Cost]]+tblData[[#This Row],[Conversion Cost]]+tblData[[#This Row],[Inbound Freight]]</f>
        <v>-350</v>
      </c>
      <c r="AH362" s="74">
        <f>tblData[[#This Row],[Net Revenue]]+tblData[[#This Row],[COGS]]</f>
        <v>571</v>
      </c>
      <c r="AI362" s="74">
        <f>tblData[[#This Row],[Advertising]]+tblData[[#This Row],[Promotions]]</f>
        <v>-140</v>
      </c>
      <c r="AJ362" s="74">
        <f>tblData[[#This Row],[Outbound Logistics]]+tblData[[#This Row],[Direct Selling]]</f>
        <v>-103</v>
      </c>
      <c r="AK362" s="74">
        <f>tblData[[#This Row],[Gross Profit]]+tblData[[#This Row],[AP Spend]]+tblData[[#This Row],[Cost to Serve]]</f>
        <v>328</v>
      </c>
    </row>
    <row r="363" spans="2:37" x14ac:dyDescent="0.25">
      <c r="B363" s="71" t="s">
        <v>36</v>
      </c>
      <c r="C363" s="71">
        <v>2025</v>
      </c>
      <c r="D363" s="71">
        <v>9</v>
      </c>
      <c r="E363" s="71" t="s">
        <v>46</v>
      </c>
      <c r="F363" s="71" t="s">
        <v>42</v>
      </c>
      <c r="G363" s="72">
        <v>129.80000000000001</v>
      </c>
      <c r="H363" s="73">
        <v>763</v>
      </c>
      <c r="I363" s="73">
        <v>-81</v>
      </c>
      <c r="J363" s="73">
        <v>-31</v>
      </c>
      <c r="K363" s="73">
        <v>-238</v>
      </c>
      <c r="L363" s="73">
        <v>-60</v>
      </c>
      <c r="M363" s="73">
        <v>-32</v>
      </c>
      <c r="N363" s="73">
        <v>-18</v>
      </c>
      <c r="O363" s="73">
        <v>-10</v>
      </c>
      <c r="P363" s="73">
        <v>-57</v>
      </c>
      <c r="Q363" s="73">
        <v>-15</v>
      </c>
      <c r="R363" s="73">
        <v>0</v>
      </c>
      <c r="S363" s="73">
        <v>0</v>
      </c>
      <c r="T363" s="73">
        <v>0</v>
      </c>
      <c r="U363" s="73">
        <v>0</v>
      </c>
      <c r="V363" s="73">
        <v>0</v>
      </c>
      <c r="W363" s="73">
        <v>0</v>
      </c>
      <c r="X363" s="73">
        <v>0</v>
      </c>
      <c r="Y363" s="73">
        <v>0</v>
      </c>
      <c r="Z363" s="73">
        <v>512</v>
      </c>
      <c r="AA363" s="73">
        <v>1142</v>
      </c>
      <c r="AB363" s="73">
        <v>0</v>
      </c>
      <c r="AC363" s="73">
        <v>0</v>
      </c>
      <c r="AD363" s="73">
        <v>0</v>
      </c>
      <c r="AE363" s="73">
        <v>0</v>
      </c>
      <c r="AF363" s="74">
        <f>tblData[[#This Row],[Gross Sales]]+tblData[[#This Row],[Trade Discounts]]+tblData[[#This Row],[Returns]]</f>
        <v>651</v>
      </c>
      <c r="AG363" s="74">
        <f>tblData[[#This Row],[Material Cost]]+tblData[[#This Row],[Conversion Cost]]+tblData[[#This Row],[Inbound Freight]]</f>
        <v>-330</v>
      </c>
      <c r="AH363" s="74">
        <f>tblData[[#This Row],[Net Revenue]]+tblData[[#This Row],[COGS]]</f>
        <v>321</v>
      </c>
      <c r="AI363" s="74">
        <f>tblData[[#This Row],[Advertising]]+tblData[[#This Row],[Promotions]]</f>
        <v>-28</v>
      </c>
      <c r="AJ363" s="74">
        <f>tblData[[#This Row],[Outbound Logistics]]+tblData[[#This Row],[Direct Selling]]</f>
        <v>-72</v>
      </c>
      <c r="AK363" s="74">
        <f>tblData[[#This Row],[Gross Profit]]+tblData[[#This Row],[AP Spend]]+tblData[[#This Row],[Cost to Serve]]</f>
        <v>221</v>
      </c>
    </row>
    <row r="364" spans="2:37" x14ac:dyDescent="0.25">
      <c r="B364" s="71" t="s">
        <v>36</v>
      </c>
      <c r="C364" s="71">
        <v>2025</v>
      </c>
      <c r="D364" s="71">
        <v>9</v>
      </c>
      <c r="E364" s="71" t="s">
        <v>46</v>
      </c>
      <c r="F364" s="71" t="s">
        <v>43</v>
      </c>
      <c r="G364" s="72">
        <v>26.4</v>
      </c>
      <c r="H364" s="73">
        <v>465</v>
      </c>
      <c r="I364" s="73">
        <v>-49</v>
      </c>
      <c r="J364" s="73">
        <v>-19</v>
      </c>
      <c r="K364" s="73">
        <v>-125</v>
      </c>
      <c r="L364" s="73">
        <v>-32</v>
      </c>
      <c r="M364" s="73">
        <v>-17</v>
      </c>
      <c r="N364" s="73">
        <v>-50</v>
      </c>
      <c r="O364" s="73">
        <v>-27</v>
      </c>
      <c r="P364" s="73">
        <v>-35</v>
      </c>
      <c r="Q364" s="73">
        <v>-9</v>
      </c>
      <c r="R364" s="73">
        <v>0</v>
      </c>
      <c r="S364" s="73">
        <v>0</v>
      </c>
      <c r="T364" s="73">
        <v>0</v>
      </c>
      <c r="U364" s="73">
        <v>0</v>
      </c>
      <c r="V364" s="73">
        <v>0</v>
      </c>
      <c r="W364" s="73">
        <v>0</v>
      </c>
      <c r="X364" s="73">
        <v>0</v>
      </c>
      <c r="Y364" s="73">
        <v>0</v>
      </c>
      <c r="Z364" s="73">
        <v>302</v>
      </c>
      <c r="AA364" s="73">
        <v>635</v>
      </c>
      <c r="AB364" s="73">
        <v>0</v>
      </c>
      <c r="AC364" s="73">
        <v>0</v>
      </c>
      <c r="AD364" s="73">
        <v>0</v>
      </c>
      <c r="AE364" s="73">
        <v>0</v>
      </c>
      <c r="AF364" s="74">
        <f>tblData[[#This Row],[Gross Sales]]+tblData[[#This Row],[Trade Discounts]]+tblData[[#This Row],[Returns]]</f>
        <v>397</v>
      </c>
      <c r="AG364" s="74">
        <f>tblData[[#This Row],[Material Cost]]+tblData[[#This Row],[Conversion Cost]]+tblData[[#This Row],[Inbound Freight]]</f>
        <v>-174</v>
      </c>
      <c r="AH364" s="74">
        <f>tblData[[#This Row],[Net Revenue]]+tblData[[#This Row],[COGS]]</f>
        <v>223</v>
      </c>
      <c r="AI364" s="74">
        <f>tblData[[#This Row],[Advertising]]+tblData[[#This Row],[Promotions]]</f>
        <v>-77</v>
      </c>
      <c r="AJ364" s="74">
        <f>tblData[[#This Row],[Outbound Logistics]]+tblData[[#This Row],[Direct Selling]]</f>
        <v>-44</v>
      </c>
      <c r="AK364" s="74">
        <f>tblData[[#This Row],[Gross Profit]]+tblData[[#This Row],[AP Spend]]+tblData[[#This Row],[Cost to Serve]]</f>
        <v>102</v>
      </c>
    </row>
    <row r="365" spans="2:37" x14ac:dyDescent="0.25">
      <c r="B365" s="71" t="s">
        <v>36</v>
      </c>
      <c r="C365" s="71">
        <v>2025</v>
      </c>
      <c r="D365" s="71">
        <v>9</v>
      </c>
      <c r="E365" s="71" t="s">
        <v>47</v>
      </c>
      <c r="F365" s="71" t="s">
        <v>38</v>
      </c>
      <c r="G365" s="72">
        <v>61.8</v>
      </c>
      <c r="H365" s="73">
        <v>848</v>
      </c>
      <c r="I365" s="73">
        <v>-22</v>
      </c>
      <c r="J365" s="73">
        <v>-42</v>
      </c>
      <c r="K365" s="73">
        <v>-181</v>
      </c>
      <c r="L365" s="73">
        <v>-46</v>
      </c>
      <c r="M365" s="73">
        <v>-24</v>
      </c>
      <c r="N365" s="73">
        <v>-56</v>
      </c>
      <c r="O365" s="73">
        <v>-30</v>
      </c>
      <c r="P365" s="73">
        <v>-102</v>
      </c>
      <c r="Q365" s="73">
        <v>-34</v>
      </c>
      <c r="R365" s="73">
        <v>0</v>
      </c>
      <c r="S365" s="73">
        <v>0</v>
      </c>
      <c r="T365" s="73">
        <v>0</v>
      </c>
      <c r="U365" s="73">
        <v>0</v>
      </c>
      <c r="V365" s="73">
        <v>0</v>
      </c>
      <c r="W365" s="73">
        <v>0</v>
      </c>
      <c r="X365" s="73">
        <v>0</v>
      </c>
      <c r="Y365" s="73">
        <v>0</v>
      </c>
      <c r="Z365" s="73">
        <v>76</v>
      </c>
      <c r="AA365" s="73">
        <v>765</v>
      </c>
      <c r="AB365" s="73">
        <v>0</v>
      </c>
      <c r="AC365" s="73">
        <v>0</v>
      </c>
      <c r="AD365" s="73">
        <v>0</v>
      </c>
      <c r="AE365" s="73">
        <v>0</v>
      </c>
      <c r="AF365" s="74">
        <f>tblData[[#This Row],[Gross Sales]]+tblData[[#This Row],[Trade Discounts]]+tblData[[#This Row],[Returns]]</f>
        <v>784</v>
      </c>
      <c r="AG365" s="74">
        <f>tblData[[#This Row],[Material Cost]]+tblData[[#This Row],[Conversion Cost]]+tblData[[#This Row],[Inbound Freight]]</f>
        <v>-251</v>
      </c>
      <c r="AH365" s="74">
        <f>tblData[[#This Row],[Net Revenue]]+tblData[[#This Row],[COGS]]</f>
        <v>533</v>
      </c>
      <c r="AI365" s="74">
        <f>tblData[[#This Row],[Advertising]]+tblData[[#This Row],[Promotions]]</f>
        <v>-86</v>
      </c>
      <c r="AJ365" s="74">
        <f>tblData[[#This Row],[Outbound Logistics]]+tblData[[#This Row],[Direct Selling]]</f>
        <v>-136</v>
      </c>
      <c r="AK365" s="74">
        <f>tblData[[#This Row],[Gross Profit]]+tblData[[#This Row],[AP Spend]]+tblData[[#This Row],[Cost to Serve]]</f>
        <v>311</v>
      </c>
    </row>
    <row r="366" spans="2:37" x14ac:dyDescent="0.25">
      <c r="B366" s="71" t="s">
        <v>36</v>
      </c>
      <c r="C366" s="71">
        <v>2025</v>
      </c>
      <c r="D366" s="71">
        <v>9</v>
      </c>
      <c r="E366" s="71" t="s">
        <v>47</v>
      </c>
      <c r="F366" s="71" t="s">
        <v>39</v>
      </c>
      <c r="G366" s="72">
        <v>84.3</v>
      </c>
      <c r="H366" s="73">
        <v>744</v>
      </c>
      <c r="I366" s="73">
        <v>-19</v>
      </c>
      <c r="J366" s="73">
        <v>-37</v>
      </c>
      <c r="K366" s="73">
        <v>-190</v>
      </c>
      <c r="L366" s="73">
        <v>-48</v>
      </c>
      <c r="M366" s="73">
        <v>-25</v>
      </c>
      <c r="N366" s="73">
        <v>-32</v>
      </c>
      <c r="O366" s="73">
        <v>-17</v>
      </c>
      <c r="P366" s="73">
        <v>-89</v>
      </c>
      <c r="Q366" s="73">
        <v>-30</v>
      </c>
      <c r="R366" s="73">
        <v>0</v>
      </c>
      <c r="S366" s="73">
        <v>0</v>
      </c>
      <c r="T366" s="73">
        <v>0</v>
      </c>
      <c r="U366" s="73">
        <v>0</v>
      </c>
      <c r="V366" s="73">
        <v>0</v>
      </c>
      <c r="W366" s="73">
        <v>0</v>
      </c>
      <c r="X366" s="73">
        <v>0</v>
      </c>
      <c r="Y366" s="73">
        <v>0</v>
      </c>
      <c r="Z366" s="73">
        <v>64</v>
      </c>
      <c r="AA366" s="73">
        <v>658</v>
      </c>
      <c r="AB366" s="73">
        <v>0</v>
      </c>
      <c r="AC366" s="73">
        <v>0</v>
      </c>
      <c r="AD366" s="73">
        <v>0</v>
      </c>
      <c r="AE366" s="73">
        <v>0</v>
      </c>
      <c r="AF366" s="74">
        <f>tblData[[#This Row],[Gross Sales]]+tblData[[#This Row],[Trade Discounts]]+tblData[[#This Row],[Returns]]</f>
        <v>688</v>
      </c>
      <c r="AG366" s="74">
        <f>tblData[[#This Row],[Material Cost]]+tblData[[#This Row],[Conversion Cost]]+tblData[[#This Row],[Inbound Freight]]</f>
        <v>-263</v>
      </c>
      <c r="AH366" s="74">
        <f>tblData[[#This Row],[Net Revenue]]+tblData[[#This Row],[COGS]]</f>
        <v>425</v>
      </c>
      <c r="AI366" s="74">
        <f>tblData[[#This Row],[Advertising]]+tblData[[#This Row],[Promotions]]</f>
        <v>-49</v>
      </c>
      <c r="AJ366" s="74">
        <f>tblData[[#This Row],[Outbound Logistics]]+tblData[[#This Row],[Direct Selling]]</f>
        <v>-119</v>
      </c>
      <c r="AK366" s="74">
        <f>tblData[[#This Row],[Gross Profit]]+tblData[[#This Row],[AP Spend]]+tblData[[#This Row],[Cost to Serve]]</f>
        <v>257</v>
      </c>
    </row>
    <row r="367" spans="2:37" x14ac:dyDescent="0.25">
      <c r="B367" s="71" t="s">
        <v>36</v>
      </c>
      <c r="C367" s="71">
        <v>2025</v>
      </c>
      <c r="D367" s="71">
        <v>9</v>
      </c>
      <c r="E367" s="71" t="s">
        <v>47</v>
      </c>
      <c r="F367" s="71" t="s">
        <v>40</v>
      </c>
      <c r="G367" s="72">
        <v>84.1</v>
      </c>
      <c r="H367" s="73">
        <v>577</v>
      </c>
      <c r="I367" s="73">
        <v>-15</v>
      </c>
      <c r="J367" s="73">
        <v>-29</v>
      </c>
      <c r="K367" s="73">
        <v>-164</v>
      </c>
      <c r="L367" s="73">
        <v>-42</v>
      </c>
      <c r="M367" s="73">
        <v>-22</v>
      </c>
      <c r="N367" s="73">
        <v>-16</v>
      </c>
      <c r="O367" s="73">
        <v>-9</v>
      </c>
      <c r="P367" s="73">
        <v>-69</v>
      </c>
      <c r="Q367" s="73">
        <v>-23</v>
      </c>
      <c r="R367" s="73">
        <v>0</v>
      </c>
      <c r="S367" s="73">
        <v>0</v>
      </c>
      <c r="T367" s="73">
        <v>0</v>
      </c>
      <c r="U367" s="73">
        <v>0</v>
      </c>
      <c r="V367" s="73">
        <v>0</v>
      </c>
      <c r="W367" s="73">
        <v>0</v>
      </c>
      <c r="X367" s="73">
        <v>0</v>
      </c>
      <c r="Y367" s="73">
        <v>0</v>
      </c>
      <c r="Z367" s="73">
        <v>49</v>
      </c>
      <c r="AA367" s="73">
        <v>519</v>
      </c>
      <c r="AB367" s="73">
        <v>0</v>
      </c>
      <c r="AC367" s="73">
        <v>0</v>
      </c>
      <c r="AD367" s="73">
        <v>0</v>
      </c>
      <c r="AE367" s="73">
        <v>0</v>
      </c>
      <c r="AF367" s="74">
        <f>tblData[[#This Row],[Gross Sales]]+tblData[[#This Row],[Trade Discounts]]+tblData[[#This Row],[Returns]]</f>
        <v>533</v>
      </c>
      <c r="AG367" s="74">
        <f>tblData[[#This Row],[Material Cost]]+tblData[[#This Row],[Conversion Cost]]+tblData[[#This Row],[Inbound Freight]]</f>
        <v>-228</v>
      </c>
      <c r="AH367" s="74">
        <f>tblData[[#This Row],[Net Revenue]]+tblData[[#This Row],[COGS]]</f>
        <v>305</v>
      </c>
      <c r="AI367" s="74">
        <f>tblData[[#This Row],[Advertising]]+tblData[[#This Row],[Promotions]]</f>
        <v>-25</v>
      </c>
      <c r="AJ367" s="74">
        <f>tblData[[#This Row],[Outbound Logistics]]+tblData[[#This Row],[Direct Selling]]</f>
        <v>-92</v>
      </c>
      <c r="AK367" s="74">
        <f>tblData[[#This Row],[Gross Profit]]+tblData[[#This Row],[AP Spend]]+tblData[[#This Row],[Cost to Serve]]</f>
        <v>188</v>
      </c>
    </row>
    <row r="368" spans="2:37" x14ac:dyDescent="0.25">
      <c r="B368" s="71" t="s">
        <v>36</v>
      </c>
      <c r="C368" s="71">
        <v>2025</v>
      </c>
      <c r="D368" s="71">
        <v>9</v>
      </c>
      <c r="E368" s="71" t="s">
        <v>47</v>
      </c>
      <c r="F368" s="71" t="s">
        <v>41</v>
      </c>
      <c r="G368" s="72">
        <v>40.200000000000003</v>
      </c>
      <c r="H368" s="73">
        <v>433</v>
      </c>
      <c r="I368" s="73">
        <v>-11</v>
      </c>
      <c r="J368" s="73">
        <v>-22</v>
      </c>
      <c r="K368" s="73">
        <v>-101</v>
      </c>
      <c r="L368" s="73">
        <v>-26</v>
      </c>
      <c r="M368" s="73">
        <v>-14</v>
      </c>
      <c r="N368" s="73">
        <v>-34</v>
      </c>
      <c r="O368" s="73">
        <v>-18</v>
      </c>
      <c r="P368" s="73">
        <v>-52</v>
      </c>
      <c r="Q368" s="73">
        <v>-17</v>
      </c>
      <c r="R368" s="73">
        <v>0</v>
      </c>
      <c r="S368" s="73">
        <v>0</v>
      </c>
      <c r="T368" s="73">
        <v>0</v>
      </c>
      <c r="U368" s="73">
        <v>0</v>
      </c>
      <c r="V368" s="73">
        <v>0</v>
      </c>
      <c r="W368" s="73">
        <v>0</v>
      </c>
      <c r="X368" s="73">
        <v>0</v>
      </c>
      <c r="Y368" s="73">
        <v>0</v>
      </c>
      <c r="Z368" s="73">
        <v>38</v>
      </c>
      <c r="AA368" s="73">
        <v>399</v>
      </c>
      <c r="AB368" s="73">
        <v>0</v>
      </c>
      <c r="AC368" s="73">
        <v>0</v>
      </c>
      <c r="AD368" s="73">
        <v>0</v>
      </c>
      <c r="AE368" s="73">
        <v>0</v>
      </c>
      <c r="AF368" s="74">
        <f>tblData[[#This Row],[Gross Sales]]+tblData[[#This Row],[Trade Discounts]]+tblData[[#This Row],[Returns]]</f>
        <v>400</v>
      </c>
      <c r="AG368" s="74">
        <f>tblData[[#This Row],[Material Cost]]+tblData[[#This Row],[Conversion Cost]]+tblData[[#This Row],[Inbound Freight]]</f>
        <v>-141</v>
      </c>
      <c r="AH368" s="74">
        <f>tblData[[#This Row],[Net Revenue]]+tblData[[#This Row],[COGS]]</f>
        <v>259</v>
      </c>
      <c r="AI368" s="74">
        <f>tblData[[#This Row],[Advertising]]+tblData[[#This Row],[Promotions]]</f>
        <v>-52</v>
      </c>
      <c r="AJ368" s="74">
        <f>tblData[[#This Row],[Outbound Logistics]]+tblData[[#This Row],[Direct Selling]]</f>
        <v>-69</v>
      </c>
      <c r="AK368" s="74">
        <f>tblData[[#This Row],[Gross Profit]]+tblData[[#This Row],[AP Spend]]+tblData[[#This Row],[Cost to Serve]]</f>
        <v>138</v>
      </c>
    </row>
    <row r="369" spans="2:37" x14ac:dyDescent="0.25">
      <c r="B369" s="71" t="s">
        <v>36</v>
      </c>
      <c r="C369" s="71">
        <v>2025</v>
      </c>
      <c r="D369" s="71">
        <v>9</v>
      </c>
      <c r="E369" s="71" t="s">
        <v>47</v>
      </c>
      <c r="F369" s="71" t="s">
        <v>42</v>
      </c>
      <c r="G369" s="72">
        <v>54</v>
      </c>
      <c r="H369" s="73">
        <v>317</v>
      </c>
      <c r="I369" s="73">
        <v>-8</v>
      </c>
      <c r="J369" s="73">
        <v>-16</v>
      </c>
      <c r="K369" s="73">
        <v>-99</v>
      </c>
      <c r="L369" s="73">
        <v>-25</v>
      </c>
      <c r="M369" s="73">
        <v>-13</v>
      </c>
      <c r="N369" s="73">
        <v>-7</v>
      </c>
      <c r="O369" s="73">
        <v>-4</v>
      </c>
      <c r="P369" s="73">
        <v>-38</v>
      </c>
      <c r="Q369" s="73">
        <v>-13</v>
      </c>
      <c r="R369" s="73">
        <v>0</v>
      </c>
      <c r="S369" s="73">
        <v>0</v>
      </c>
      <c r="T369" s="73">
        <v>0</v>
      </c>
      <c r="U369" s="73">
        <v>0</v>
      </c>
      <c r="V369" s="73">
        <v>0</v>
      </c>
      <c r="W369" s="73">
        <v>0</v>
      </c>
      <c r="X369" s="73">
        <v>0</v>
      </c>
      <c r="Y369" s="73">
        <v>0</v>
      </c>
      <c r="Z369" s="73">
        <v>27</v>
      </c>
      <c r="AA369" s="73">
        <v>464</v>
      </c>
      <c r="AB369" s="73">
        <v>0</v>
      </c>
      <c r="AC369" s="73">
        <v>0</v>
      </c>
      <c r="AD369" s="73">
        <v>0</v>
      </c>
      <c r="AE369" s="73">
        <v>0</v>
      </c>
      <c r="AF369" s="74">
        <f>tblData[[#This Row],[Gross Sales]]+tblData[[#This Row],[Trade Discounts]]+tblData[[#This Row],[Returns]]</f>
        <v>293</v>
      </c>
      <c r="AG369" s="74">
        <f>tblData[[#This Row],[Material Cost]]+tblData[[#This Row],[Conversion Cost]]+tblData[[#This Row],[Inbound Freight]]</f>
        <v>-137</v>
      </c>
      <c r="AH369" s="74">
        <f>tblData[[#This Row],[Net Revenue]]+tblData[[#This Row],[COGS]]</f>
        <v>156</v>
      </c>
      <c r="AI369" s="74">
        <f>tblData[[#This Row],[Advertising]]+tblData[[#This Row],[Promotions]]</f>
        <v>-11</v>
      </c>
      <c r="AJ369" s="74">
        <f>tblData[[#This Row],[Outbound Logistics]]+tblData[[#This Row],[Direct Selling]]</f>
        <v>-51</v>
      </c>
      <c r="AK369" s="74">
        <f>tblData[[#This Row],[Gross Profit]]+tblData[[#This Row],[AP Spend]]+tblData[[#This Row],[Cost to Serve]]</f>
        <v>94</v>
      </c>
    </row>
    <row r="370" spans="2:37" x14ac:dyDescent="0.25">
      <c r="B370" s="71" t="s">
        <v>36</v>
      </c>
      <c r="C370" s="71">
        <v>2025</v>
      </c>
      <c r="D370" s="71">
        <v>9</v>
      </c>
      <c r="E370" s="71" t="s">
        <v>47</v>
      </c>
      <c r="F370" s="71" t="s">
        <v>43</v>
      </c>
      <c r="G370" s="72">
        <v>10.5</v>
      </c>
      <c r="H370" s="73">
        <v>185</v>
      </c>
      <c r="I370" s="73">
        <v>-5</v>
      </c>
      <c r="J370" s="73">
        <v>-9</v>
      </c>
      <c r="K370" s="73">
        <v>-50</v>
      </c>
      <c r="L370" s="73">
        <v>-13</v>
      </c>
      <c r="M370" s="73">
        <v>-7</v>
      </c>
      <c r="N370" s="73">
        <v>-19</v>
      </c>
      <c r="O370" s="73">
        <v>-10</v>
      </c>
      <c r="P370" s="73">
        <v>-22</v>
      </c>
      <c r="Q370" s="73">
        <v>-7</v>
      </c>
      <c r="R370" s="73">
        <v>0</v>
      </c>
      <c r="S370" s="73">
        <v>0</v>
      </c>
      <c r="T370" s="73">
        <v>0</v>
      </c>
      <c r="U370" s="73">
        <v>0</v>
      </c>
      <c r="V370" s="73">
        <v>0</v>
      </c>
      <c r="W370" s="73">
        <v>0</v>
      </c>
      <c r="X370" s="73">
        <v>0</v>
      </c>
      <c r="Y370" s="73">
        <v>0</v>
      </c>
      <c r="Z370" s="73">
        <v>16</v>
      </c>
      <c r="AA370" s="73">
        <v>259</v>
      </c>
      <c r="AB370" s="73">
        <v>0</v>
      </c>
      <c r="AC370" s="73">
        <v>0</v>
      </c>
      <c r="AD370" s="73">
        <v>0</v>
      </c>
      <c r="AE370" s="73">
        <v>0</v>
      </c>
      <c r="AF370" s="74">
        <f>tblData[[#This Row],[Gross Sales]]+tblData[[#This Row],[Trade Discounts]]+tblData[[#This Row],[Returns]]</f>
        <v>171</v>
      </c>
      <c r="AG370" s="74">
        <f>tblData[[#This Row],[Material Cost]]+tblData[[#This Row],[Conversion Cost]]+tblData[[#This Row],[Inbound Freight]]</f>
        <v>-70</v>
      </c>
      <c r="AH370" s="74">
        <f>tblData[[#This Row],[Net Revenue]]+tblData[[#This Row],[COGS]]</f>
        <v>101</v>
      </c>
      <c r="AI370" s="74">
        <f>tblData[[#This Row],[Advertising]]+tblData[[#This Row],[Promotions]]</f>
        <v>-29</v>
      </c>
      <c r="AJ370" s="74">
        <f>tblData[[#This Row],[Outbound Logistics]]+tblData[[#This Row],[Direct Selling]]</f>
        <v>-29</v>
      </c>
      <c r="AK370" s="74">
        <f>tblData[[#This Row],[Gross Profit]]+tblData[[#This Row],[AP Spend]]+tblData[[#This Row],[Cost to Serve]]</f>
        <v>43</v>
      </c>
    </row>
    <row r="371" spans="2:37" x14ac:dyDescent="0.25">
      <c r="B371" s="71" t="s">
        <v>36</v>
      </c>
      <c r="C371" s="71">
        <v>2025</v>
      </c>
      <c r="D371" s="71">
        <v>9</v>
      </c>
      <c r="E371" s="71" t="s">
        <v>48</v>
      </c>
      <c r="F371" s="71" t="s">
        <v>38</v>
      </c>
      <c r="G371" s="72">
        <v>106.3</v>
      </c>
      <c r="H371" s="73">
        <v>1458</v>
      </c>
      <c r="I371" s="73">
        <v>-125</v>
      </c>
      <c r="J371" s="73">
        <v>-15</v>
      </c>
      <c r="K371" s="73">
        <v>-310</v>
      </c>
      <c r="L371" s="73">
        <v>-79</v>
      </c>
      <c r="M371" s="73">
        <v>-42</v>
      </c>
      <c r="N371" s="73">
        <v>-93</v>
      </c>
      <c r="O371" s="73">
        <v>-50</v>
      </c>
      <c r="P371" s="73">
        <v>-44</v>
      </c>
      <c r="Q371" s="73">
        <v>-22</v>
      </c>
      <c r="R371" s="73">
        <v>0</v>
      </c>
      <c r="S371" s="73">
        <v>0</v>
      </c>
      <c r="T371" s="73">
        <v>0</v>
      </c>
      <c r="U371" s="73">
        <v>0</v>
      </c>
      <c r="V371" s="73">
        <v>0</v>
      </c>
      <c r="W371" s="73">
        <v>0</v>
      </c>
      <c r="X371" s="73">
        <v>0</v>
      </c>
      <c r="Y371" s="73">
        <v>0</v>
      </c>
      <c r="Z371" s="73">
        <v>2869</v>
      </c>
      <c r="AA371" s="73">
        <v>1272</v>
      </c>
      <c r="AB371" s="73">
        <v>0</v>
      </c>
      <c r="AC371" s="73">
        <v>0</v>
      </c>
      <c r="AD371" s="73">
        <v>0</v>
      </c>
      <c r="AE371" s="73">
        <v>0</v>
      </c>
      <c r="AF371" s="74">
        <f>tblData[[#This Row],[Gross Sales]]+tblData[[#This Row],[Trade Discounts]]+tblData[[#This Row],[Returns]]</f>
        <v>1318</v>
      </c>
      <c r="AG371" s="74">
        <f>tblData[[#This Row],[Material Cost]]+tblData[[#This Row],[Conversion Cost]]+tblData[[#This Row],[Inbound Freight]]</f>
        <v>-431</v>
      </c>
      <c r="AH371" s="74">
        <f>tblData[[#This Row],[Net Revenue]]+tblData[[#This Row],[COGS]]</f>
        <v>887</v>
      </c>
      <c r="AI371" s="74">
        <f>tblData[[#This Row],[Advertising]]+tblData[[#This Row],[Promotions]]</f>
        <v>-143</v>
      </c>
      <c r="AJ371" s="74">
        <f>tblData[[#This Row],[Outbound Logistics]]+tblData[[#This Row],[Direct Selling]]</f>
        <v>-66</v>
      </c>
      <c r="AK371" s="74">
        <f>tblData[[#This Row],[Gross Profit]]+tblData[[#This Row],[AP Spend]]+tblData[[#This Row],[Cost to Serve]]</f>
        <v>678</v>
      </c>
    </row>
    <row r="372" spans="2:37" x14ac:dyDescent="0.25">
      <c r="B372" s="71" t="s">
        <v>36</v>
      </c>
      <c r="C372" s="71">
        <v>2025</v>
      </c>
      <c r="D372" s="71">
        <v>9</v>
      </c>
      <c r="E372" s="71" t="s">
        <v>48</v>
      </c>
      <c r="F372" s="71" t="s">
        <v>39</v>
      </c>
      <c r="G372" s="72">
        <v>144.6</v>
      </c>
      <c r="H372" s="73">
        <v>1276</v>
      </c>
      <c r="I372" s="73">
        <v>-110</v>
      </c>
      <c r="J372" s="73">
        <v>-13</v>
      </c>
      <c r="K372" s="73">
        <v>-326</v>
      </c>
      <c r="L372" s="73">
        <v>-83</v>
      </c>
      <c r="M372" s="73">
        <v>-44</v>
      </c>
      <c r="N372" s="73">
        <v>-53</v>
      </c>
      <c r="O372" s="73">
        <v>-29</v>
      </c>
      <c r="P372" s="73">
        <v>-38</v>
      </c>
      <c r="Q372" s="73">
        <v>-19</v>
      </c>
      <c r="R372" s="73">
        <v>0</v>
      </c>
      <c r="S372" s="73">
        <v>0</v>
      </c>
      <c r="T372" s="73">
        <v>0</v>
      </c>
      <c r="U372" s="73">
        <v>0</v>
      </c>
      <c r="V372" s="73">
        <v>0</v>
      </c>
      <c r="W372" s="73">
        <v>0</v>
      </c>
      <c r="X372" s="73">
        <v>0</v>
      </c>
      <c r="Y372" s="73">
        <v>0</v>
      </c>
      <c r="Z372" s="73">
        <v>2455</v>
      </c>
      <c r="AA372" s="73">
        <v>1100</v>
      </c>
      <c r="AB372" s="73">
        <v>0</v>
      </c>
      <c r="AC372" s="73">
        <v>0</v>
      </c>
      <c r="AD372" s="73">
        <v>0</v>
      </c>
      <c r="AE372" s="73">
        <v>0</v>
      </c>
      <c r="AF372" s="74">
        <f>tblData[[#This Row],[Gross Sales]]+tblData[[#This Row],[Trade Discounts]]+tblData[[#This Row],[Returns]]</f>
        <v>1153</v>
      </c>
      <c r="AG372" s="74">
        <f>tblData[[#This Row],[Material Cost]]+tblData[[#This Row],[Conversion Cost]]+tblData[[#This Row],[Inbound Freight]]</f>
        <v>-453</v>
      </c>
      <c r="AH372" s="74">
        <f>tblData[[#This Row],[Net Revenue]]+tblData[[#This Row],[COGS]]</f>
        <v>700</v>
      </c>
      <c r="AI372" s="74">
        <f>tblData[[#This Row],[Advertising]]+tblData[[#This Row],[Promotions]]</f>
        <v>-82</v>
      </c>
      <c r="AJ372" s="74">
        <f>tblData[[#This Row],[Outbound Logistics]]+tblData[[#This Row],[Direct Selling]]</f>
        <v>-57</v>
      </c>
      <c r="AK372" s="74">
        <f>tblData[[#This Row],[Gross Profit]]+tblData[[#This Row],[AP Spend]]+tblData[[#This Row],[Cost to Serve]]</f>
        <v>561</v>
      </c>
    </row>
    <row r="373" spans="2:37" x14ac:dyDescent="0.25">
      <c r="B373" s="71" t="s">
        <v>36</v>
      </c>
      <c r="C373" s="71">
        <v>2025</v>
      </c>
      <c r="D373" s="71">
        <v>9</v>
      </c>
      <c r="E373" s="71" t="s">
        <v>48</v>
      </c>
      <c r="F373" s="71" t="s">
        <v>40</v>
      </c>
      <c r="G373" s="72">
        <v>138.6</v>
      </c>
      <c r="H373" s="73">
        <v>951</v>
      </c>
      <c r="I373" s="73">
        <v>-82</v>
      </c>
      <c r="J373" s="73">
        <v>-10</v>
      </c>
      <c r="K373" s="73">
        <v>-270</v>
      </c>
      <c r="L373" s="73">
        <v>-68</v>
      </c>
      <c r="M373" s="73">
        <v>-36</v>
      </c>
      <c r="N373" s="73">
        <v>-27</v>
      </c>
      <c r="O373" s="73">
        <v>-14</v>
      </c>
      <c r="P373" s="73">
        <v>-29</v>
      </c>
      <c r="Q373" s="73">
        <v>-14</v>
      </c>
      <c r="R373" s="73">
        <v>0</v>
      </c>
      <c r="S373" s="73">
        <v>0</v>
      </c>
      <c r="T373" s="73">
        <v>0</v>
      </c>
      <c r="U373" s="73">
        <v>0</v>
      </c>
      <c r="V373" s="73">
        <v>0</v>
      </c>
      <c r="W373" s="73">
        <v>0</v>
      </c>
      <c r="X373" s="73">
        <v>0</v>
      </c>
      <c r="Y373" s="73">
        <v>0</v>
      </c>
      <c r="Z373" s="73">
        <v>1830</v>
      </c>
      <c r="AA373" s="73">
        <v>854</v>
      </c>
      <c r="AB373" s="73">
        <v>0</v>
      </c>
      <c r="AC373" s="73">
        <v>0</v>
      </c>
      <c r="AD373" s="73">
        <v>0</v>
      </c>
      <c r="AE373" s="73">
        <v>0</v>
      </c>
      <c r="AF373" s="74">
        <f>tblData[[#This Row],[Gross Sales]]+tblData[[#This Row],[Trade Discounts]]+tblData[[#This Row],[Returns]]</f>
        <v>859</v>
      </c>
      <c r="AG373" s="74">
        <f>tblData[[#This Row],[Material Cost]]+tblData[[#This Row],[Conversion Cost]]+tblData[[#This Row],[Inbound Freight]]</f>
        <v>-374</v>
      </c>
      <c r="AH373" s="74">
        <f>tblData[[#This Row],[Net Revenue]]+tblData[[#This Row],[COGS]]</f>
        <v>485</v>
      </c>
      <c r="AI373" s="74">
        <f>tblData[[#This Row],[Advertising]]+tblData[[#This Row],[Promotions]]</f>
        <v>-41</v>
      </c>
      <c r="AJ373" s="74">
        <f>tblData[[#This Row],[Outbound Logistics]]+tblData[[#This Row],[Direct Selling]]</f>
        <v>-43</v>
      </c>
      <c r="AK373" s="74">
        <f>tblData[[#This Row],[Gross Profit]]+tblData[[#This Row],[AP Spend]]+tblData[[#This Row],[Cost to Serve]]</f>
        <v>401</v>
      </c>
    </row>
    <row r="374" spans="2:37" x14ac:dyDescent="0.25">
      <c r="B374" s="71" t="s">
        <v>36</v>
      </c>
      <c r="C374" s="71">
        <v>2025</v>
      </c>
      <c r="D374" s="71">
        <v>9</v>
      </c>
      <c r="E374" s="71" t="s">
        <v>48</v>
      </c>
      <c r="F374" s="71" t="s">
        <v>41</v>
      </c>
      <c r="G374" s="72">
        <v>67.2</v>
      </c>
      <c r="H374" s="73">
        <v>725</v>
      </c>
      <c r="I374" s="73">
        <v>-62</v>
      </c>
      <c r="J374" s="73">
        <v>-7</v>
      </c>
      <c r="K374" s="73">
        <v>-170</v>
      </c>
      <c r="L374" s="73">
        <v>-43</v>
      </c>
      <c r="M374" s="73">
        <v>-23</v>
      </c>
      <c r="N374" s="73">
        <v>-57</v>
      </c>
      <c r="O374" s="73">
        <v>-31</v>
      </c>
      <c r="P374" s="73">
        <v>-22</v>
      </c>
      <c r="Q374" s="73">
        <v>-11</v>
      </c>
      <c r="R374" s="73">
        <v>0</v>
      </c>
      <c r="S374" s="73">
        <v>0</v>
      </c>
      <c r="T374" s="73">
        <v>0</v>
      </c>
      <c r="U374" s="73">
        <v>0</v>
      </c>
      <c r="V374" s="73">
        <v>0</v>
      </c>
      <c r="W374" s="73">
        <v>0</v>
      </c>
      <c r="X374" s="73">
        <v>0</v>
      </c>
      <c r="Y374" s="73">
        <v>0</v>
      </c>
      <c r="Z374" s="73">
        <v>1405</v>
      </c>
      <c r="AA374" s="73">
        <v>649</v>
      </c>
      <c r="AB374" s="73">
        <v>0</v>
      </c>
      <c r="AC374" s="73">
        <v>0</v>
      </c>
      <c r="AD374" s="73">
        <v>0</v>
      </c>
      <c r="AE374" s="73">
        <v>0</v>
      </c>
      <c r="AF374" s="74">
        <f>tblData[[#This Row],[Gross Sales]]+tblData[[#This Row],[Trade Discounts]]+tblData[[#This Row],[Returns]]</f>
        <v>656</v>
      </c>
      <c r="AG374" s="74">
        <f>tblData[[#This Row],[Material Cost]]+tblData[[#This Row],[Conversion Cost]]+tblData[[#This Row],[Inbound Freight]]</f>
        <v>-236</v>
      </c>
      <c r="AH374" s="74">
        <f>tblData[[#This Row],[Net Revenue]]+tblData[[#This Row],[COGS]]</f>
        <v>420</v>
      </c>
      <c r="AI374" s="74">
        <f>tblData[[#This Row],[Advertising]]+tblData[[#This Row],[Promotions]]</f>
        <v>-88</v>
      </c>
      <c r="AJ374" s="74">
        <f>tblData[[#This Row],[Outbound Logistics]]+tblData[[#This Row],[Direct Selling]]</f>
        <v>-33</v>
      </c>
      <c r="AK374" s="74">
        <f>tblData[[#This Row],[Gross Profit]]+tblData[[#This Row],[AP Spend]]+tblData[[#This Row],[Cost to Serve]]</f>
        <v>299</v>
      </c>
    </row>
    <row r="375" spans="2:37" x14ac:dyDescent="0.25">
      <c r="B375" s="71" t="s">
        <v>36</v>
      </c>
      <c r="C375" s="71">
        <v>2025</v>
      </c>
      <c r="D375" s="71">
        <v>9</v>
      </c>
      <c r="E375" s="71" t="s">
        <v>48</v>
      </c>
      <c r="F375" s="71" t="s">
        <v>42</v>
      </c>
      <c r="G375" s="72">
        <v>90</v>
      </c>
      <c r="H375" s="73">
        <v>529</v>
      </c>
      <c r="I375" s="73">
        <v>-45</v>
      </c>
      <c r="J375" s="73">
        <v>-5</v>
      </c>
      <c r="K375" s="73">
        <v>-165</v>
      </c>
      <c r="L375" s="73">
        <v>-42</v>
      </c>
      <c r="M375" s="73">
        <v>-22</v>
      </c>
      <c r="N375" s="73">
        <v>-11</v>
      </c>
      <c r="O375" s="73">
        <v>-6</v>
      </c>
      <c r="P375" s="73">
        <v>-16</v>
      </c>
      <c r="Q375" s="73">
        <v>-8</v>
      </c>
      <c r="R375" s="73">
        <v>0</v>
      </c>
      <c r="S375" s="73">
        <v>0</v>
      </c>
      <c r="T375" s="73">
        <v>0</v>
      </c>
      <c r="U375" s="73">
        <v>0</v>
      </c>
      <c r="V375" s="73">
        <v>0</v>
      </c>
      <c r="W375" s="73">
        <v>0</v>
      </c>
      <c r="X375" s="73">
        <v>0</v>
      </c>
      <c r="Y375" s="73">
        <v>0</v>
      </c>
      <c r="Z375" s="73">
        <v>1028</v>
      </c>
      <c r="AA375" s="73">
        <v>774</v>
      </c>
      <c r="AB375" s="73">
        <v>0</v>
      </c>
      <c r="AC375" s="73">
        <v>0</v>
      </c>
      <c r="AD375" s="73">
        <v>0</v>
      </c>
      <c r="AE375" s="73">
        <v>0</v>
      </c>
      <c r="AF375" s="74">
        <f>tblData[[#This Row],[Gross Sales]]+tblData[[#This Row],[Trade Discounts]]+tblData[[#This Row],[Returns]]</f>
        <v>479</v>
      </c>
      <c r="AG375" s="74">
        <f>tblData[[#This Row],[Material Cost]]+tblData[[#This Row],[Conversion Cost]]+tblData[[#This Row],[Inbound Freight]]</f>
        <v>-229</v>
      </c>
      <c r="AH375" s="74">
        <f>tblData[[#This Row],[Net Revenue]]+tblData[[#This Row],[COGS]]</f>
        <v>250</v>
      </c>
      <c r="AI375" s="74">
        <f>tblData[[#This Row],[Advertising]]+tblData[[#This Row],[Promotions]]</f>
        <v>-17</v>
      </c>
      <c r="AJ375" s="74">
        <f>tblData[[#This Row],[Outbound Logistics]]+tblData[[#This Row],[Direct Selling]]</f>
        <v>-24</v>
      </c>
      <c r="AK375" s="74">
        <f>tblData[[#This Row],[Gross Profit]]+tblData[[#This Row],[AP Spend]]+tblData[[#This Row],[Cost to Serve]]</f>
        <v>209</v>
      </c>
    </row>
    <row r="376" spans="2:37" x14ac:dyDescent="0.25">
      <c r="B376" s="71" t="s">
        <v>36</v>
      </c>
      <c r="C376" s="71">
        <v>2025</v>
      </c>
      <c r="D376" s="71">
        <v>9</v>
      </c>
      <c r="E376" s="71" t="s">
        <v>48</v>
      </c>
      <c r="F376" s="71" t="s">
        <v>43</v>
      </c>
      <c r="G376" s="72">
        <v>18.2</v>
      </c>
      <c r="H376" s="73">
        <v>322</v>
      </c>
      <c r="I376" s="73">
        <v>-28</v>
      </c>
      <c r="J376" s="73">
        <v>-3</v>
      </c>
      <c r="K376" s="73">
        <v>-87</v>
      </c>
      <c r="L376" s="73">
        <v>-22</v>
      </c>
      <c r="M376" s="73">
        <v>-12</v>
      </c>
      <c r="N376" s="73">
        <v>-31</v>
      </c>
      <c r="O376" s="73">
        <v>-17</v>
      </c>
      <c r="P376" s="73">
        <v>-10</v>
      </c>
      <c r="Q376" s="73">
        <v>-5</v>
      </c>
      <c r="R376" s="73">
        <v>0</v>
      </c>
      <c r="S376" s="73">
        <v>0</v>
      </c>
      <c r="T376" s="73">
        <v>0</v>
      </c>
      <c r="U376" s="73">
        <v>0</v>
      </c>
      <c r="V376" s="73">
        <v>0</v>
      </c>
      <c r="W376" s="73">
        <v>0</v>
      </c>
      <c r="X376" s="73">
        <v>0</v>
      </c>
      <c r="Y376" s="73">
        <v>0</v>
      </c>
      <c r="Z376" s="73">
        <v>614</v>
      </c>
      <c r="AA376" s="73">
        <v>435</v>
      </c>
      <c r="AB376" s="73">
        <v>0</v>
      </c>
      <c r="AC376" s="73">
        <v>0</v>
      </c>
      <c r="AD376" s="73">
        <v>0</v>
      </c>
      <c r="AE376" s="73">
        <v>0</v>
      </c>
      <c r="AF376" s="74">
        <f>tblData[[#This Row],[Gross Sales]]+tblData[[#This Row],[Trade Discounts]]+tblData[[#This Row],[Returns]]</f>
        <v>291</v>
      </c>
      <c r="AG376" s="74">
        <f>tblData[[#This Row],[Material Cost]]+tblData[[#This Row],[Conversion Cost]]+tblData[[#This Row],[Inbound Freight]]</f>
        <v>-121</v>
      </c>
      <c r="AH376" s="74">
        <f>tblData[[#This Row],[Net Revenue]]+tblData[[#This Row],[COGS]]</f>
        <v>170</v>
      </c>
      <c r="AI376" s="74">
        <f>tblData[[#This Row],[Advertising]]+tblData[[#This Row],[Promotions]]</f>
        <v>-48</v>
      </c>
      <c r="AJ376" s="74">
        <f>tblData[[#This Row],[Outbound Logistics]]+tblData[[#This Row],[Direct Selling]]</f>
        <v>-15</v>
      </c>
      <c r="AK376" s="74">
        <f>tblData[[#This Row],[Gross Profit]]+tblData[[#This Row],[AP Spend]]+tblData[[#This Row],[Cost to Serve]]</f>
        <v>107</v>
      </c>
    </row>
    <row r="377" spans="2:37" x14ac:dyDescent="0.25">
      <c r="B377" s="71" t="s">
        <v>36</v>
      </c>
      <c r="C377" s="71">
        <v>2025</v>
      </c>
      <c r="D377" s="71">
        <v>9</v>
      </c>
      <c r="E377" s="71" t="s">
        <v>49</v>
      </c>
      <c r="F377" s="71" t="s">
        <v>49</v>
      </c>
      <c r="G377" s="72">
        <v>0</v>
      </c>
      <c r="H377" s="73">
        <v>0</v>
      </c>
      <c r="I377" s="73">
        <v>0</v>
      </c>
      <c r="J377" s="73">
        <v>0</v>
      </c>
      <c r="K377" s="73">
        <v>0</v>
      </c>
      <c r="L377" s="73">
        <v>0</v>
      </c>
      <c r="M377" s="73">
        <v>0</v>
      </c>
      <c r="N377" s="73">
        <v>0</v>
      </c>
      <c r="O377" s="73">
        <v>0</v>
      </c>
      <c r="P377" s="73">
        <v>0</v>
      </c>
      <c r="Q377" s="73">
        <v>0</v>
      </c>
      <c r="R377" s="73">
        <v>-4090</v>
      </c>
      <c r="S377" s="73">
        <v>-974</v>
      </c>
      <c r="T377" s="73">
        <v>-1261</v>
      </c>
      <c r="U377" s="73">
        <v>-1079</v>
      </c>
      <c r="V377" s="73">
        <v>-1413</v>
      </c>
      <c r="W377" s="73">
        <v>-731</v>
      </c>
      <c r="X377" s="73">
        <v>-1832</v>
      </c>
      <c r="Y377" s="73">
        <v>-1336</v>
      </c>
      <c r="Z377" s="73">
        <v>0</v>
      </c>
      <c r="AA377" s="73">
        <v>0</v>
      </c>
      <c r="AB377" s="73">
        <v>34676</v>
      </c>
      <c r="AC377" s="73">
        <v>39326</v>
      </c>
      <c r="AD377" s="73">
        <v>192500</v>
      </c>
      <c r="AE377" s="73">
        <v>1159</v>
      </c>
      <c r="AF377" s="74">
        <f>tblData[[#This Row],[Gross Sales]]+tblData[[#This Row],[Trade Discounts]]+tblData[[#This Row],[Returns]]</f>
        <v>0</v>
      </c>
      <c r="AG377" s="74">
        <f>tblData[[#This Row],[Material Cost]]+tblData[[#This Row],[Conversion Cost]]+tblData[[#This Row],[Inbound Freight]]</f>
        <v>0</v>
      </c>
      <c r="AH377" s="74">
        <f>tblData[[#This Row],[Net Revenue]]+tblData[[#This Row],[COGS]]</f>
        <v>0</v>
      </c>
      <c r="AI377" s="74">
        <f>tblData[[#This Row],[Advertising]]+tblData[[#This Row],[Promotions]]</f>
        <v>0</v>
      </c>
      <c r="AJ377" s="74">
        <f>tblData[[#This Row],[Outbound Logistics]]+tblData[[#This Row],[Direct Selling]]</f>
        <v>0</v>
      </c>
      <c r="AK377" s="74">
        <f>tblData[[#This Row],[Gross Profit]]+tblData[[#This Row],[AP Spend]]+tblData[[#This Row],[Cost to Serve]]</f>
        <v>0</v>
      </c>
    </row>
    <row r="378" spans="2:37" x14ac:dyDescent="0.25">
      <c r="B378" s="71" t="s">
        <v>36</v>
      </c>
      <c r="C378" s="71">
        <v>2025</v>
      </c>
      <c r="D378" s="71">
        <v>10</v>
      </c>
      <c r="E378" s="71" t="s">
        <v>37</v>
      </c>
      <c r="F378" s="71" t="s">
        <v>38</v>
      </c>
      <c r="G378" s="72">
        <v>353.7</v>
      </c>
      <c r="H378" s="73">
        <v>4853</v>
      </c>
      <c r="I378" s="73">
        <v>-903</v>
      </c>
      <c r="J378" s="73">
        <v>-73</v>
      </c>
      <c r="K378" s="73">
        <v>-1033</v>
      </c>
      <c r="L378" s="73">
        <v>-262</v>
      </c>
      <c r="M378" s="73">
        <v>-138</v>
      </c>
      <c r="N378" s="73">
        <v>-303</v>
      </c>
      <c r="O378" s="73">
        <v>-163</v>
      </c>
      <c r="P378" s="73">
        <v>-194</v>
      </c>
      <c r="Q378" s="73">
        <v>-146</v>
      </c>
      <c r="R378" s="73">
        <v>0</v>
      </c>
      <c r="S378" s="73">
        <v>0</v>
      </c>
      <c r="T378" s="73">
        <v>0</v>
      </c>
      <c r="U378" s="73">
        <v>0</v>
      </c>
      <c r="V378" s="73">
        <v>0</v>
      </c>
      <c r="W378" s="73">
        <v>0</v>
      </c>
      <c r="X378" s="73">
        <v>0</v>
      </c>
      <c r="Y378" s="73">
        <v>0</v>
      </c>
      <c r="Z378" s="73">
        <v>6410</v>
      </c>
      <c r="AA378" s="73">
        <v>4091</v>
      </c>
      <c r="AB378" s="73">
        <v>0</v>
      </c>
      <c r="AC378" s="73">
        <v>0</v>
      </c>
      <c r="AD378" s="73">
        <v>0</v>
      </c>
      <c r="AE378" s="73">
        <v>0</v>
      </c>
      <c r="AF378" s="74">
        <f>tblData[[#This Row],[Gross Sales]]+tblData[[#This Row],[Trade Discounts]]+tblData[[#This Row],[Returns]]</f>
        <v>3877</v>
      </c>
      <c r="AG378" s="74">
        <f>tblData[[#This Row],[Material Cost]]+tblData[[#This Row],[Conversion Cost]]+tblData[[#This Row],[Inbound Freight]]</f>
        <v>-1433</v>
      </c>
      <c r="AH378" s="74">
        <f>tblData[[#This Row],[Net Revenue]]+tblData[[#This Row],[COGS]]</f>
        <v>2444</v>
      </c>
      <c r="AI378" s="74">
        <f>tblData[[#This Row],[Advertising]]+tblData[[#This Row],[Promotions]]</f>
        <v>-466</v>
      </c>
      <c r="AJ378" s="74">
        <f>tblData[[#This Row],[Outbound Logistics]]+tblData[[#This Row],[Direct Selling]]</f>
        <v>-340</v>
      </c>
      <c r="AK378" s="74">
        <f>tblData[[#This Row],[Gross Profit]]+tblData[[#This Row],[AP Spend]]+tblData[[#This Row],[Cost to Serve]]</f>
        <v>1638</v>
      </c>
    </row>
    <row r="379" spans="2:37" x14ac:dyDescent="0.25">
      <c r="B379" s="71" t="s">
        <v>36</v>
      </c>
      <c r="C379" s="71">
        <v>2025</v>
      </c>
      <c r="D379" s="71">
        <v>10</v>
      </c>
      <c r="E379" s="71" t="s">
        <v>37</v>
      </c>
      <c r="F379" s="71" t="s">
        <v>39</v>
      </c>
      <c r="G379" s="72">
        <v>477.5</v>
      </c>
      <c r="H379" s="73">
        <v>4212</v>
      </c>
      <c r="I379" s="73">
        <v>-783</v>
      </c>
      <c r="J379" s="73">
        <v>-63</v>
      </c>
      <c r="K379" s="73">
        <v>-1075</v>
      </c>
      <c r="L379" s="73">
        <v>-273</v>
      </c>
      <c r="M379" s="73">
        <v>-144</v>
      </c>
      <c r="N379" s="73">
        <v>-173</v>
      </c>
      <c r="O379" s="73">
        <v>-93</v>
      </c>
      <c r="P379" s="73">
        <v>-168</v>
      </c>
      <c r="Q379" s="73">
        <v>-126</v>
      </c>
      <c r="R379" s="73">
        <v>0</v>
      </c>
      <c r="S379" s="73">
        <v>0</v>
      </c>
      <c r="T379" s="73">
        <v>0</v>
      </c>
      <c r="U379" s="73">
        <v>0</v>
      </c>
      <c r="V379" s="73">
        <v>0</v>
      </c>
      <c r="W379" s="73">
        <v>0</v>
      </c>
      <c r="X379" s="73">
        <v>0</v>
      </c>
      <c r="Y379" s="73">
        <v>0</v>
      </c>
      <c r="Z379" s="73">
        <v>5540</v>
      </c>
      <c r="AA379" s="73">
        <v>3574</v>
      </c>
      <c r="AB379" s="73">
        <v>0</v>
      </c>
      <c r="AC379" s="73">
        <v>0</v>
      </c>
      <c r="AD379" s="73">
        <v>0</v>
      </c>
      <c r="AE379" s="73">
        <v>0</v>
      </c>
      <c r="AF379" s="74">
        <f>tblData[[#This Row],[Gross Sales]]+tblData[[#This Row],[Trade Discounts]]+tblData[[#This Row],[Returns]]</f>
        <v>3366</v>
      </c>
      <c r="AG379" s="74">
        <f>tblData[[#This Row],[Material Cost]]+tblData[[#This Row],[Conversion Cost]]+tblData[[#This Row],[Inbound Freight]]</f>
        <v>-1492</v>
      </c>
      <c r="AH379" s="74">
        <f>tblData[[#This Row],[Net Revenue]]+tblData[[#This Row],[COGS]]</f>
        <v>1874</v>
      </c>
      <c r="AI379" s="74">
        <f>tblData[[#This Row],[Advertising]]+tblData[[#This Row],[Promotions]]</f>
        <v>-266</v>
      </c>
      <c r="AJ379" s="74">
        <f>tblData[[#This Row],[Outbound Logistics]]+tblData[[#This Row],[Direct Selling]]</f>
        <v>-294</v>
      </c>
      <c r="AK379" s="74">
        <f>tblData[[#This Row],[Gross Profit]]+tblData[[#This Row],[AP Spend]]+tblData[[#This Row],[Cost to Serve]]</f>
        <v>1314</v>
      </c>
    </row>
    <row r="380" spans="2:37" x14ac:dyDescent="0.25">
      <c r="B380" s="71" t="s">
        <v>36</v>
      </c>
      <c r="C380" s="71">
        <v>2025</v>
      </c>
      <c r="D380" s="71">
        <v>10</v>
      </c>
      <c r="E380" s="71" t="s">
        <v>37</v>
      </c>
      <c r="F380" s="71" t="s">
        <v>40</v>
      </c>
      <c r="G380" s="72">
        <v>444.5</v>
      </c>
      <c r="H380" s="73">
        <v>3049</v>
      </c>
      <c r="I380" s="73">
        <v>-567</v>
      </c>
      <c r="J380" s="73">
        <v>-46</v>
      </c>
      <c r="K380" s="73">
        <v>-865</v>
      </c>
      <c r="L380" s="73">
        <v>-220</v>
      </c>
      <c r="M380" s="73">
        <v>-116</v>
      </c>
      <c r="N380" s="73">
        <v>-87</v>
      </c>
      <c r="O380" s="73">
        <v>-47</v>
      </c>
      <c r="P380" s="73">
        <v>-122</v>
      </c>
      <c r="Q380" s="73">
        <v>-91</v>
      </c>
      <c r="R380" s="73">
        <v>0</v>
      </c>
      <c r="S380" s="73">
        <v>0</v>
      </c>
      <c r="T380" s="73">
        <v>0</v>
      </c>
      <c r="U380" s="73">
        <v>0</v>
      </c>
      <c r="V380" s="73">
        <v>0</v>
      </c>
      <c r="W380" s="73">
        <v>0</v>
      </c>
      <c r="X380" s="73">
        <v>0</v>
      </c>
      <c r="Y380" s="73">
        <v>0</v>
      </c>
      <c r="Z380" s="73">
        <v>4086</v>
      </c>
      <c r="AA380" s="73">
        <v>2745</v>
      </c>
      <c r="AB380" s="73">
        <v>0</v>
      </c>
      <c r="AC380" s="73">
        <v>0</v>
      </c>
      <c r="AD380" s="73">
        <v>0</v>
      </c>
      <c r="AE380" s="73">
        <v>0</v>
      </c>
      <c r="AF380" s="74">
        <f>tblData[[#This Row],[Gross Sales]]+tblData[[#This Row],[Trade Discounts]]+tblData[[#This Row],[Returns]]</f>
        <v>2436</v>
      </c>
      <c r="AG380" s="74">
        <f>tblData[[#This Row],[Material Cost]]+tblData[[#This Row],[Conversion Cost]]+tblData[[#This Row],[Inbound Freight]]</f>
        <v>-1201</v>
      </c>
      <c r="AH380" s="74">
        <f>tblData[[#This Row],[Net Revenue]]+tblData[[#This Row],[COGS]]</f>
        <v>1235</v>
      </c>
      <c r="AI380" s="74">
        <f>tblData[[#This Row],[Advertising]]+tblData[[#This Row],[Promotions]]</f>
        <v>-134</v>
      </c>
      <c r="AJ380" s="74">
        <f>tblData[[#This Row],[Outbound Logistics]]+tblData[[#This Row],[Direct Selling]]</f>
        <v>-213</v>
      </c>
      <c r="AK380" s="74">
        <f>tblData[[#This Row],[Gross Profit]]+tblData[[#This Row],[AP Spend]]+tblData[[#This Row],[Cost to Serve]]</f>
        <v>888</v>
      </c>
    </row>
    <row r="381" spans="2:37" x14ac:dyDescent="0.25">
      <c r="B381" s="71" t="s">
        <v>36</v>
      </c>
      <c r="C381" s="71">
        <v>2025</v>
      </c>
      <c r="D381" s="71">
        <v>10</v>
      </c>
      <c r="E381" s="71" t="s">
        <v>37</v>
      </c>
      <c r="F381" s="71" t="s">
        <v>41</v>
      </c>
      <c r="G381" s="72">
        <v>228.5</v>
      </c>
      <c r="H381" s="73">
        <v>2463</v>
      </c>
      <c r="I381" s="73">
        <v>-458</v>
      </c>
      <c r="J381" s="73">
        <v>-37</v>
      </c>
      <c r="K381" s="73">
        <v>-577</v>
      </c>
      <c r="L381" s="73">
        <v>-146</v>
      </c>
      <c r="M381" s="73">
        <v>-77</v>
      </c>
      <c r="N381" s="73">
        <v>-185</v>
      </c>
      <c r="O381" s="73">
        <v>-100</v>
      </c>
      <c r="P381" s="73">
        <v>-99</v>
      </c>
      <c r="Q381" s="73">
        <v>-74</v>
      </c>
      <c r="R381" s="73">
        <v>0</v>
      </c>
      <c r="S381" s="73">
        <v>0</v>
      </c>
      <c r="T381" s="73">
        <v>0</v>
      </c>
      <c r="U381" s="73">
        <v>0</v>
      </c>
      <c r="V381" s="73">
        <v>0</v>
      </c>
      <c r="W381" s="73">
        <v>0</v>
      </c>
      <c r="X381" s="73">
        <v>0</v>
      </c>
      <c r="Y381" s="73">
        <v>0</v>
      </c>
      <c r="Z381" s="73">
        <v>3223</v>
      </c>
      <c r="AA381" s="73">
        <v>2144</v>
      </c>
      <c r="AB381" s="73">
        <v>0</v>
      </c>
      <c r="AC381" s="73">
        <v>0</v>
      </c>
      <c r="AD381" s="73">
        <v>0</v>
      </c>
      <c r="AE381" s="73">
        <v>0</v>
      </c>
      <c r="AF381" s="74">
        <f>tblData[[#This Row],[Gross Sales]]+tblData[[#This Row],[Trade Discounts]]+tblData[[#This Row],[Returns]]</f>
        <v>1968</v>
      </c>
      <c r="AG381" s="74">
        <f>tblData[[#This Row],[Material Cost]]+tblData[[#This Row],[Conversion Cost]]+tblData[[#This Row],[Inbound Freight]]</f>
        <v>-800</v>
      </c>
      <c r="AH381" s="74">
        <f>tblData[[#This Row],[Net Revenue]]+tblData[[#This Row],[COGS]]</f>
        <v>1168</v>
      </c>
      <c r="AI381" s="74">
        <f>tblData[[#This Row],[Advertising]]+tblData[[#This Row],[Promotions]]</f>
        <v>-285</v>
      </c>
      <c r="AJ381" s="74">
        <f>tblData[[#This Row],[Outbound Logistics]]+tblData[[#This Row],[Direct Selling]]</f>
        <v>-173</v>
      </c>
      <c r="AK381" s="74">
        <f>tblData[[#This Row],[Gross Profit]]+tblData[[#This Row],[AP Spend]]+tblData[[#This Row],[Cost to Serve]]</f>
        <v>710</v>
      </c>
    </row>
    <row r="382" spans="2:37" x14ac:dyDescent="0.25">
      <c r="B382" s="71" t="s">
        <v>36</v>
      </c>
      <c r="C382" s="71">
        <v>2025</v>
      </c>
      <c r="D382" s="71">
        <v>10</v>
      </c>
      <c r="E382" s="71" t="s">
        <v>37</v>
      </c>
      <c r="F382" s="71" t="s">
        <v>42</v>
      </c>
      <c r="G382" s="72">
        <v>291.89999999999998</v>
      </c>
      <c r="H382" s="73">
        <v>1716</v>
      </c>
      <c r="I382" s="73">
        <v>-319</v>
      </c>
      <c r="J382" s="73">
        <v>-26</v>
      </c>
      <c r="K382" s="73">
        <v>-536</v>
      </c>
      <c r="L382" s="73">
        <v>-136</v>
      </c>
      <c r="M382" s="73">
        <v>-72</v>
      </c>
      <c r="N382" s="73">
        <v>-36</v>
      </c>
      <c r="O382" s="73">
        <v>-19</v>
      </c>
      <c r="P382" s="73">
        <v>-69</v>
      </c>
      <c r="Q382" s="73">
        <v>-51</v>
      </c>
      <c r="R382" s="73">
        <v>0</v>
      </c>
      <c r="S382" s="73">
        <v>0</v>
      </c>
      <c r="T382" s="73">
        <v>0</v>
      </c>
      <c r="U382" s="73">
        <v>0</v>
      </c>
      <c r="V382" s="73">
        <v>0</v>
      </c>
      <c r="W382" s="73">
        <v>0</v>
      </c>
      <c r="X382" s="73">
        <v>0</v>
      </c>
      <c r="Y382" s="73">
        <v>0</v>
      </c>
      <c r="Z382" s="73">
        <v>2291</v>
      </c>
      <c r="AA382" s="73">
        <v>2483</v>
      </c>
      <c r="AB382" s="73">
        <v>0</v>
      </c>
      <c r="AC382" s="73">
        <v>0</v>
      </c>
      <c r="AD382" s="73">
        <v>0</v>
      </c>
      <c r="AE382" s="73">
        <v>0</v>
      </c>
      <c r="AF382" s="74">
        <f>tblData[[#This Row],[Gross Sales]]+tblData[[#This Row],[Trade Discounts]]+tblData[[#This Row],[Returns]]</f>
        <v>1371</v>
      </c>
      <c r="AG382" s="74">
        <f>tblData[[#This Row],[Material Cost]]+tblData[[#This Row],[Conversion Cost]]+tblData[[#This Row],[Inbound Freight]]</f>
        <v>-744</v>
      </c>
      <c r="AH382" s="74">
        <f>tblData[[#This Row],[Net Revenue]]+tblData[[#This Row],[COGS]]</f>
        <v>627</v>
      </c>
      <c r="AI382" s="74">
        <f>tblData[[#This Row],[Advertising]]+tblData[[#This Row],[Promotions]]</f>
        <v>-55</v>
      </c>
      <c r="AJ382" s="74">
        <f>tblData[[#This Row],[Outbound Logistics]]+tblData[[#This Row],[Direct Selling]]</f>
        <v>-120</v>
      </c>
      <c r="AK382" s="74">
        <f>tblData[[#This Row],[Gross Profit]]+tblData[[#This Row],[AP Spend]]+tblData[[#This Row],[Cost to Serve]]</f>
        <v>452</v>
      </c>
    </row>
    <row r="383" spans="2:37" x14ac:dyDescent="0.25">
      <c r="B383" s="71" t="s">
        <v>36</v>
      </c>
      <c r="C383" s="71">
        <v>2025</v>
      </c>
      <c r="D383" s="71">
        <v>10</v>
      </c>
      <c r="E383" s="71" t="s">
        <v>37</v>
      </c>
      <c r="F383" s="71" t="s">
        <v>43</v>
      </c>
      <c r="G383" s="72">
        <v>57.9</v>
      </c>
      <c r="H383" s="73">
        <v>1021</v>
      </c>
      <c r="I383" s="73">
        <v>-190</v>
      </c>
      <c r="J383" s="73">
        <v>-15</v>
      </c>
      <c r="K383" s="73">
        <v>-275</v>
      </c>
      <c r="L383" s="73">
        <v>-70</v>
      </c>
      <c r="M383" s="73">
        <v>-37</v>
      </c>
      <c r="N383" s="73">
        <v>-101</v>
      </c>
      <c r="O383" s="73">
        <v>-54</v>
      </c>
      <c r="P383" s="73">
        <v>-41</v>
      </c>
      <c r="Q383" s="73">
        <v>-31</v>
      </c>
      <c r="R383" s="73">
        <v>0</v>
      </c>
      <c r="S383" s="73">
        <v>0</v>
      </c>
      <c r="T383" s="73">
        <v>0</v>
      </c>
      <c r="U383" s="73">
        <v>0</v>
      </c>
      <c r="V383" s="73">
        <v>0</v>
      </c>
      <c r="W383" s="73">
        <v>0</v>
      </c>
      <c r="X383" s="73">
        <v>0</v>
      </c>
      <c r="Y383" s="73">
        <v>0</v>
      </c>
      <c r="Z383" s="73">
        <v>1367</v>
      </c>
      <c r="AA383" s="73">
        <v>1396</v>
      </c>
      <c r="AB383" s="73">
        <v>0</v>
      </c>
      <c r="AC383" s="73">
        <v>0</v>
      </c>
      <c r="AD383" s="73">
        <v>0</v>
      </c>
      <c r="AE383" s="73">
        <v>0</v>
      </c>
      <c r="AF383" s="74">
        <f>tblData[[#This Row],[Gross Sales]]+tblData[[#This Row],[Trade Discounts]]+tblData[[#This Row],[Returns]]</f>
        <v>816</v>
      </c>
      <c r="AG383" s="74">
        <f>tblData[[#This Row],[Material Cost]]+tblData[[#This Row],[Conversion Cost]]+tblData[[#This Row],[Inbound Freight]]</f>
        <v>-382</v>
      </c>
      <c r="AH383" s="74">
        <f>tblData[[#This Row],[Net Revenue]]+tblData[[#This Row],[COGS]]</f>
        <v>434</v>
      </c>
      <c r="AI383" s="74">
        <f>tblData[[#This Row],[Advertising]]+tblData[[#This Row],[Promotions]]</f>
        <v>-155</v>
      </c>
      <c r="AJ383" s="74">
        <f>tblData[[#This Row],[Outbound Logistics]]+tblData[[#This Row],[Direct Selling]]</f>
        <v>-72</v>
      </c>
      <c r="AK383" s="74">
        <f>tblData[[#This Row],[Gross Profit]]+tblData[[#This Row],[AP Spend]]+tblData[[#This Row],[Cost to Serve]]</f>
        <v>207</v>
      </c>
    </row>
    <row r="384" spans="2:37" x14ac:dyDescent="0.25">
      <c r="B384" s="71" t="s">
        <v>36</v>
      </c>
      <c r="C384" s="71">
        <v>2025</v>
      </c>
      <c r="D384" s="71">
        <v>10</v>
      </c>
      <c r="E384" s="71" t="s">
        <v>44</v>
      </c>
      <c r="F384" s="71" t="s">
        <v>38</v>
      </c>
      <c r="G384" s="72">
        <v>291.8</v>
      </c>
      <c r="H384" s="73">
        <v>4004</v>
      </c>
      <c r="I384" s="73">
        <v>-625</v>
      </c>
      <c r="J384" s="73">
        <v>-48</v>
      </c>
      <c r="K384" s="73">
        <v>-852</v>
      </c>
      <c r="L384" s="73">
        <v>-216</v>
      </c>
      <c r="M384" s="73">
        <v>-114</v>
      </c>
      <c r="N384" s="73">
        <v>-243</v>
      </c>
      <c r="O384" s="73">
        <v>-131</v>
      </c>
      <c r="P384" s="73">
        <v>-160</v>
      </c>
      <c r="Q384" s="73">
        <v>-120</v>
      </c>
      <c r="R384" s="73">
        <v>0</v>
      </c>
      <c r="S384" s="73">
        <v>0</v>
      </c>
      <c r="T384" s="73">
        <v>0</v>
      </c>
      <c r="U384" s="73">
        <v>0</v>
      </c>
      <c r="V384" s="73">
        <v>0</v>
      </c>
      <c r="W384" s="73">
        <v>0</v>
      </c>
      <c r="X384" s="73">
        <v>0</v>
      </c>
      <c r="Y384" s="73">
        <v>0</v>
      </c>
      <c r="Z384" s="73">
        <v>4858</v>
      </c>
      <c r="AA384" s="73">
        <v>3276</v>
      </c>
      <c r="AB384" s="73">
        <v>0</v>
      </c>
      <c r="AC384" s="73">
        <v>0</v>
      </c>
      <c r="AD384" s="73">
        <v>0</v>
      </c>
      <c r="AE384" s="73">
        <v>0</v>
      </c>
      <c r="AF384" s="74">
        <f>tblData[[#This Row],[Gross Sales]]+tblData[[#This Row],[Trade Discounts]]+tblData[[#This Row],[Returns]]</f>
        <v>3331</v>
      </c>
      <c r="AG384" s="74">
        <f>tblData[[#This Row],[Material Cost]]+tblData[[#This Row],[Conversion Cost]]+tblData[[#This Row],[Inbound Freight]]</f>
        <v>-1182</v>
      </c>
      <c r="AH384" s="74">
        <f>tblData[[#This Row],[Net Revenue]]+tblData[[#This Row],[COGS]]</f>
        <v>2149</v>
      </c>
      <c r="AI384" s="74">
        <f>tblData[[#This Row],[Advertising]]+tblData[[#This Row],[Promotions]]</f>
        <v>-374</v>
      </c>
      <c r="AJ384" s="74">
        <f>tblData[[#This Row],[Outbound Logistics]]+tblData[[#This Row],[Direct Selling]]</f>
        <v>-280</v>
      </c>
      <c r="AK384" s="74">
        <f>tblData[[#This Row],[Gross Profit]]+tblData[[#This Row],[AP Spend]]+tblData[[#This Row],[Cost to Serve]]</f>
        <v>1495</v>
      </c>
    </row>
    <row r="385" spans="2:37" x14ac:dyDescent="0.25">
      <c r="B385" s="71" t="s">
        <v>36</v>
      </c>
      <c r="C385" s="71">
        <v>2025</v>
      </c>
      <c r="D385" s="71">
        <v>10</v>
      </c>
      <c r="E385" s="71" t="s">
        <v>44</v>
      </c>
      <c r="F385" s="71" t="s">
        <v>39</v>
      </c>
      <c r="G385" s="72">
        <v>375.7</v>
      </c>
      <c r="H385" s="73">
        <v>3314</v>
      </c>
      <c r="I385" s="73">
        <v>-517</v>
      </c>
      <c r="J385" s="73">
        <v>-40</v>
      </c>
      <c r="K385" s="73">
        <v>-846</v>
      </c>
      <c r="L385" s="73">
        <v>-215</v>
      </c>
      <c r="M385" s="73">
        <v>-113</v>
      </c>
      <c r="N385" s="73">
        <v>-139</v>
      </c>
      <c r="O385" s="73">
        <v>-75</v>
      </c>
      <c r="P385" s="73">
        <v>-133</v>
      </c>
      <c r="Q385" s="73">
        <v>-99</v>
      </c>
      <c r="R385" s="73">
        <v>0</v>
      </c>
      <c r="S385" s="73">
        <v>0</v>
      </c>
      <c r="T385" s="73">
        <v>0</v>
      </c>
      <c r="U385" s="73">
        <v>0</v>
      </c>
      <c r="V385" s="73">
        <v>0</v>
      </c>
      <c r="W385" s="73">
        <v>0</v>
      </c>
      <c r="X385" s="73">
        <v>0</v>
      </c>
      <c r="Y385" s="73">
        <v>0</v>
      </c>
      <c r="Z385" s="73">
        <v>4188</v>
      </c>
      <c r="AA385" s="73">
        <v>2854</v>
      </c>
      <c r="AB385" s="73">
        <v>0</v>
      </c>
      <c r="AC385" s="73">
        <v>0</v>
      </c>
      <c r="AD385" s="73">
        <v>0</v>
      </c>
      <c r="AE385" s="73">
        <v>0</v>
      </c>
      <c r="AF385" s="74">
        <f>tblData[[#This Row],[Gross Sales]]+tblData[[#This Row],[Trade Discounts]]+tblData[[#This Row],[Returns]]</f>
        <v>2757</v>
      </c>
      <c r="AG385" s="74">
        <f>tblData[[#This Row],[Material Cost]]+tblData[[#This Row],[Conversion Cost]]+tblData[[#This Row],[Inbound Freight]]</f>
        <v>-1174</v>
      </c>
      <c r="AH385" s="74">
        <f>tblData[[#This Row],[Net Revenue]]+tblData[[#This Row],[COGS]]</f>
        <v>1583</v>
      </c>
      <c r="AI385" s="74">
        <f>tblData[[#This Row],[Advertising]]+tblData[[#This Row],[Promotions]]</f>
        <v>-214</v>
      </c>
      <c r="AJ385" s="74">
        <f>tblData[[#This Row],[Outbound Logistics]]+tblData[[#This Row],[Direct Selling]]</f>
        <v>-232</v>
      </c>
      <c r="AK385" s="74">
        <f>tblData[[#This Row],[Gross Profit]]+tblData[[#This Row],[AP Spend]]+tblData[[#This Row],[Cost to Serve]]</f>
        <v>1137</v>
      </c>
    </row>
    <row r="386" spans="2:37" x14ac:dyDescent="0.25">
      <c r="B386" s="71" t="s">
        <v>36</v>
      </c>
      <c r="C386" s="71">
        <v>2025</v>
      </c>
      <c r="D386" s="71">
        <v>10</v>
      </c>
      <c r="E386" s="71" t="s">
        <v>44</v>
      </c>
      <c r="F386" s="71" t="s">
        <v>40</v>
      </c>
      <c r="G386" s="72">
        <v>367</v>
      </c>
      <c r="H386" s="73">
        <v>2518</v>
      </c>
      <c r="I386" s="73">
        <v>-393</v>
      </c>
      <c r="J386" s="73">
        <v>-30</v>
      </c>
      <c r="K386" s="73">
        <v>-714</v>
      </c>
      <c r="L386" s="73">
        <v>-181</v>
      </c>
      <c r="M386" s="73">
        <v>-96</v>
      </c>
      <c r="N386" s="73">
        <v>-69</v>
      </c>
      <c r="O386" s="73">
        <v>-37</v>
      </c>
      <c r="P386" s="73">
        <v>-101</v>
      </c>
      <c r="Q386" s="73">
        <v>-76</v>
      </c>
      <c r="R386" s="73">
        <v>0</v>
      </c>
      <c r="S386" s="73">
        <v>0</v>
      </c>
      <c r="T386" s="73">
        <v>0</v>
      </c>
      <c r="U386" s="73">
        <v>0</v>
      </c>
      <c r="V386" s="73">
        <v>0</v>
      </c>
      <c r="W386" s="73">
        <v>0</v>
      </c>
      <c r="X386" s="73">
        <v>0</v>
      </c>
      <c r="Y386" s="73">
        <v>0</v>
      </c>
      <c r="Z386" s="73">
        <v>3155</v>
      </c>
      <c r="AA386" s="73">
        <v>2239</v>
      </c>
      <c r="AB386" s="73">
        <v>0</v>
      </c>
      <c r="AC386" s="73">
        <v>0</v>
      </c>
      <c r="AD386" s="73">
        <v>0</v>
      </c>
      <c r="AE386" s="73">
        <v>0</v>
      </c>
      <c r="AF386" s="74">
        <f>tblData[[#This Row],[Gross Sales]]+tblData[[#This Row],[Trade Discounts]]+tblData[[#This Row],[Returns]]</f>
        <v>2095</v>
      </c>
      <c r="AG386" s="74">
        <f>tblData[[#This Row],[Material Cost]]+tblData[[#This Row],[Conversion Cost]]+tblData[[#This Row],[Inbound Freight]]</f>
        <v>-991</v>
      </c>
      <c r="AH386" s="74">
        <f>tblData[[#This Row],[Net Revenue]]+tblData[[#This Row],[COGS]]</f>
        <v>1104</v>
      </c>
      <c r="AI386" s="74">
        <f>tblData[[#This Row],[Advertising]]+tblData[[#This Row],[Promotions]]</f>
        <v>-106</v>
      </c>
      <c r="AJ386" s="74">
        <f>tblData[[#This Row],[Outbound Logistics]]+tblData[[#This Row],[Direct Selling]]</f>
        <v>-177</v>
      </c>
      <c r="AK386" s="74">
        <f>tblData[[#This Row],[Gross Profit]]+tblData[[#This Row],[AP Spend]]+tblData[[#This Row],[Cost to Serve]]</f>
        <v>821</v>
      </c>
    </row>
    <row r="387" spans="2:37" x14ac:dyDescent="0.25">
      <c r="B387" s="71" t="s">
        <v>36</v>
      </c>
      <c r="C387" s="71">
        <v>2025</v>
      </c>
      <c r="D387" s="71">
        <v>10</v>
      </c>
      <c r="E387" s="71" t="s">
        <v>44</v>
      </c>
      <c r="F387" s="71" t="s">
        <v>41</v>
      </c>
      <c r="G387" s="72">
        <v>181.6</v>
      </c>
      <c r="H387" s="73">
        <v>1958</v>
      </c>
      <c r="I387" s="73">
        <v>-305</v>
      </c>
      <c r="J387" s="73">
        <v>-23</v>
      </c>
      <c r="K387" s="73">
        <v>-458</v>
      </c>
      <c r="L387" s="73">
        <v>-116</v>
      </c>
      <c r="M387" s="73">
        <v>-61</v>
      </c>
      <c r="N387" s="73">
        <v>-148</v>
      </c>
      <c r="O387" s="73">
        <v>-80</v>
      </c>
      <c r="P387" s="73">
        <v>-78</v>
      </c>
      <c r="Q387" s="73">
        <v>-59</v>
      </c>
      <c r="R387" s="73">
        <v>0</v>
      </c>
      <c r="S387" s="73">
        <v>0</v>
      </c>
      <c r="T387" s="73">
        <v>0</v>
      </c>
      <c r="U387" s="73">
        <v>0</v>
      </c>
      <c r="V387" s="73">
        <v>0</v>
      </c>
      <c r="W387" s="73">
        <v>0</v>
      </c>
      <c r="X387" s="73">
        <v>0</v>
      </c>
      <c r="Y387" s="73">
        <v>0</v>
      </c>
      <c r="Z387" s="73">
        <v>2465</v>
      </c>
      <c r="AA387" s="73">
        <v>1732</v>
      </c>
      <c r="AB387" s="73">
        <v>0</v>
      </c>
      <c r="AC387" s="73">
        <v>0</v>
      </c>
      <c r="AD387" s="73">
        <v>0</v>
      </c>
      <c r="AE387" s="73">
        <v>0</v>
      </c>
      <c r="AF387" s="74">
        <f>tblData[[#This Row],[Gross Sales]]+tblData[[#This Row],[Trade Discounts]]+tblData[[#This Row],[Returns]]</f>
        <v>1630</v>
      </c>
      <c r="AG387" s="74">
        <f>tblData[[#This Row],[Material Cost]]+tblData[[#This Row],[Conversion Cost]]+tblData[[#This Row],[Inbound Freight]]</f>
        <v>-635</v>
      </c>
      <c r="AH387" s="74">
        <f>tblData[[#This Row],[Net Revenue]]+tblData[[#This Row],[COGS]]</f>
        <v>995</v>
      </c>
      <c r="AI387" s="74">
        <f>tblData[[#This Row],[Advertising]]+tblData[[#This Row],[Promotions]]</f>
        <v>-228</v>
      </c>
      <c r="AJ387" s="74">
        <f>tblData[[#This Row],[Outbound Logistics]]+tblData[[#This Row],[Direct Selling]]</f>
        <v>-137</v>
      </c>
      <c r="AK387" s="74">
        <f>tblData[[#This Row],[Gross Profit]]+tblData[[#This Row],[AP Spend]]+tblData[[#This Row],[Cost to Serve]]</f>
        <v>630</v>
      </c>
    </row>
    <row r="388" spans="2:37" x14ac:dyDescent="0.25">
      <c r="B388" s="71" t="s">
        <v>36</v>
      </c>
      <c r="C388" s="71">
        <v>2025</v>
      </c>
      <c r="D388" s="71">
        <v>10</v>
      </c>
      <c r="E388" s="71" t="s">
        <v>44</v>
      </c>
      <c r="F388" s="71" t="s">
        <v>42</v>
      </c>
      <c r="G388" s="72">
        <v>230</v>
      </c>
      <c r="H388" s="73">
        <v>1352</v>
      </c>
      <c r="I388" s="73">
        <v>-211</v>
      </c>
      <c r="J388" s="73">
        <v>-16</v>
      </c>
      <c r="K388" s="73">
        <v>-422</v>
      </c>
      <c r="L388" s="73">
        <v>-107</v>
      </c>
      <c r="M388" s="73">
        <v>-57</v>
      </c>
      <c r="N388" s="73">
        <v>-29</v>
      </c>
      <c r="O388" s="73">
        <v>-16</v>
      </c>
      <c r="P388" s="73">
        <v>-54</v>
      </c>
      <c r="Q388" s="73">
        <v>-41</v>
      </c>
      <c r="R388" s="73">
        <v>0</v>
      </c>
      <c r="S388" s="73">
        <v>0</v>
      </c>
      <c r="T388" s="73">
        <v>0</v>
      </c>
      <c r="U388" s="73">
        <v>0</v>
      </c>
      <c r="V388" s="73">
        <v>0</v>
      </c>
      <c r="W388" s="73">
        <v>0</v>
      </c>
      <c r="X388" s="73">
        <v>0</v>
      </c>
      <c r="Y388" s="73">
        <v>0</v>
      </c>
      <c r="Z388" s="73">
        <v>1735</v>
      </c>
      <c r="AA388" s="73">
        <v>1986</v>
      </c>
      <c r="AB388" s="73">
        <v>0</v>
      </c>
      <c r="AC388" s="73">
        <v>0</v>
      </c>
      <c r="AD388" s="73">
        <v>0</v>
      </c>
      <c r="AE388" s="73">
        <v>0</v>
      </c>
      <c r="AF388" s="74">
        <f>tblData[[#This Row],[Gross Sales]]+tblData[[#This Row],[Trade Discounts]]+tblData[[#This Row],[Returns]]</f>
        <v>1125</v>
      </c>
      <c r="AG388" s="74">
        <f>tblData[[#This Row],[Material Cost]]+tblData[[#This Row],[Conversion Cost]]+tblData[[#This Row],[Inbound Freight]]</f>
        <v>-586</v>
      </c>
      <c r="AH388" s="74">
        <f>tblData[[#This Row],[Net Revenue]]+tblData[[#This Row],[COGS]]</f>
        <v>539</v>
      </c>
      <c r="AI388" s="74">
        <f>tblData[[#This Row],[Advertising]]+tblData[[#This Row],[Promotions]]</f>
        <v>-45</v>
      </c>
      <c r="AJ388" s="74">
        <f>tblData[[#This Row],[Outbound Logistics]]+tblData[[#This Row],[Direct Selling]]</f>
        <v>-95</v>
      </c>
      <c r="AK388" s="74">
        <f>tblData[[#This Row],[Gross Profit]]+tblData[[#This Row],[AP Spend]]+tblData[[#This Row],[Cost to Serve]]</f>
        <v>399</v>
      </c>
    </row>
    <row r="389" spans="2:37" x14ac:dyDescent="0.25">
      <c r="B389" s="71" t="s">
        <v>36</v>
      </c>
      <c r="C389" s="71">
        <v>2025</v>
      </c>
      <c r="D389" s="71">
        <v>10</v>
      </c>
      <c r="E389" s="71" t="s">
        <v>44</v>
      </c>
      <c r="F389" s="71" t="s">
        <v>43</v>
      </c>
      <c r="G389" s="72">
        <v>47</v>
      </c>
      <c r="H389" s="73">
        <v>830</v>
      </c>
      <c r="I389" s="73">
        <v>-129</v>
      </c>
      <c r="J389" s="73">
        <v>-10</v>
      </c>
      <c r="K389" s="73">
        <v>-224</v>
      </c>
      <c r="L389" s="73">
        <v>-57</v>
      </c>
      <c r="M389" s="73">
        <v>-30</v>
      </c>
      <c r="N389" s="73">
        <v>-81</v>
      </c>
      <c r="O389" s="73">
        <v>-44</v>
      </c>
      <c r="P389" s="73">
        <v>-33</v>
      </c>
      <c r="Q389" s="73">
        <v>-25</v>
      </c>
      <c r="R389" s="73">
        <v>0</v>
      </c>
      <c r="S389" s="73">
        <v>0</v>
      </c>
      <c r="T389" s="73">
        <v>0</v>
      </c>
      <c r="U389" s="73">
        <v>0</v>
      </c>
      <c r="V389" s="73">
        <v>0</v>
      </c>
      <c r="W389" s="73">
        <v>0</v>
      </c>
      <c r="X389" s="73">
        <v>0</v>
      </c>
      <c r="Y389" s="73">
        <v>0</v>
      </c>
      <c r="Z389" s="73">
        <v>1044</v>
      </c>
      <c r="AA389" s="73">
        <v>1126</v>
      </c>
      <c r="AB389" s="73">
        <v>0</v>
      </c>
      <c r="AC389" s="73">
        <v>0</v>
      </c>
      <c r="AD389" s="73">
        <v>0</v>
      </c>
      <c r="AE389" s="73">
        <v>0</v>
      </c>
      <c r="AF389" s="74">
        <f>tblData[[#This Row],[Gross Sales]]+tblData[[#This Row],[Trade Discounts]]+tblData[[#This Row],[Returns]]</f>
        <v>691</v>
      </c>
      <c r="AG389" s="74">
        <f>tblData[[#This Row],[Material Cost]]+tblData[[#This Row],[Conversion Cost]]+tblData[[#This Row],[Inbound Freight]]</f>
        <v>-311</v>
      </c>
      <c r="AH389" s="74">
        <f>tblData[[#This Row],[Net Revenue]]+tblData[[#This Row],[COGS]]</f>
        <v>380</v>
      </c>
      <c r="AI389" s="74">
        <f>tblData[[#This Row],[Advertising]]+tblData[[#This Row],[Promotions]]</f>
        <v>-125</v>
      </c>
      <c r="AJ389" s="74">
        <f>tblData[[#This Row],[Outbound Logistics]]+tblData[[#This Row],[Direct Selling]]</f>
        <v>-58</v>
      </c>
      <c r="AK389" s="74">
        <f>tblData[[#This Row],[Gross Profit]]+tblData[[#This Row],[AP Spend]]+tblData[[#This Row],[Cost to Serve]]</f>
        <v>197</v>
      </c>
    </row>
    <row r="390" spans="2:37" x14ac:dyDescent="0.25">
      <c r="B390" s="71" t="s">
        <v>36</v>
      </c>
      <c r="C390" s="71">
        <v>2025</v>
      </c>
      <c r="D390" s="71">
        <v>10</v>
      </c>
      <c r="E390" s="71" t="s">
        <v>45</v>
      </c>
      <c r="F390" s="71" t="s">
        <v>38</v>
      </c>
      <c r="G390" s="72">
        <v>162.69999999999999</v>
      </c>
      <c r="H390" s="73">
        <v>2233</v>
      </c>
      <c r="I390" s="73">
        <v>-482</v>
      </c>
      <c r="J390" s="73">
        <v>-22</v>
      </c>
      <c r="K390" s="73">
        <v>-475</v>
      </c>
      <c r="L390" s="73">
        <v>-121</v>
      </c>
      <c r="M390" s="73">
        <v>-64</v>
      </c>
      <c r="N390" s="73">
        <v>-142</v>
      </c>
      <c r="O390" s="73">
        <v>-76</v>
      </c>
      <c r="P390" s="73">
        <v>-78</v>
      </c>
      <c r="Q390" s="73">
        <v>-45</v>
      </c>
      <c r="R390" s="73">
        <v>0</v>
      </c>
      <c r="S390" s="73">
        <v>0</v>
      </c>
      <c r="T390" s="73">
        <v>0</v>
      </c>
      <c r="U390" s="73">
        <v>0</v>
      </c>
      <c r="V390" s="73">
        <v>0</v>
      </c>
      <c r="W390" s="73">
        <v>0</v>
      </c>
      <c r="X390" s="73">
        <v>0</v>
      </c>
      <c r="Y390" s="73">
        <v>0</v>
      </c>
      <c r="Z390" s="73">
        <v>2378</v>
      </c>
      <c r="AA390" s="73">
        <v>1915</v>
      </c>
      <c r="AB390" s="73">
        <v>0</v>
      </c>
      <c r="AC390" s="73">
        <v>0</v>
      </c>
      <c r="AD390" s="73">
        <v>0</v>
      </c>
      <c r="AE390" s="73">
        <v>0</v>
      </c>
      <c r="AF390" s="74">
        <f>tblData[[#This Row],[Gross Sales]]+tblData[[#This Row],[Trade Discounts]]+tblData[[#This Row],[Returns]]</f>
        <v>1729</v>
      </c>
      <c r="AG390" s="74">
        <f>tblData[[#This Row],[Material Cost]]+tblData[[#This Row],[Conversion Cost]]+tblData[[#This Row],[Inbound Freight]]</f>
        <v>-660</v>
      </c>
      <c r="AH390" s="74">
        <f>tblData[[#This Row],[Net Revenue]]+tblData[[#This Row],[COGS]]</f>
        <v>1069</v>
      </c>
      <c r="AI390" s="74">
        <f>tblData[[#This Row],[Advertising]]+tblData[[#This Row],[Promotions]]</f>
        <v>-218</v>
      </c>
      <c r="AJ390" s="74">
        <f>tblData[[#This Row],[Outbound Logistics]]+tblData[[#This Row],[Direct Selling]]</f>
        <v>-123</v>
      </c>
      <c r="AK390" s="74">
        <f>tblData[[#This Row],[Gross Profit]]+tblData[[#This Row],[AP Spend]]+tblData[[#This Row],[Cost to Serve]]</f>
        <v>728</v>
      </c>
    </row>
    <row r="391" spans="2:37" x14ac:dyDescent="0.25">
      <c r="B391" s="71" t="s">
        <v>36</v>
      </c>
      <c r="C391" s="71">
        <v>2025</v>
      </c>
      <c r="D391" s="71">
        <v>10</v>
      </c>
      <c r="E391" s="71" t="s">
        <v>45</v>
      </c>
      <c r="F391" s="71" t="s">
        <v>39</v>
      </c>
      <c r="G391" s="72">
        <v>221.2</v>
      </c>
      <c r="H391" s="73">
        <v>1951</v>
      </c>
      <c r="I391" s="73">
        <v>-421</v>
      </c>
      <c r="J391" s="73">
        <v>-20</v>
      </c>
      <c r="K391" s="73">
        <v>-498</v>
      </c>
      <c r="L391" s="73">
        <v>-126</v>
      </c>
      <c r="M391" s="73">
        <v>-67</v>
      </c>
      <c r="N391" s="73">
        <v>-81</v>
      </c>
      <c r="O391" s="73">
        <v>-44</v>
      </c>
      <c r="P391" s="73">
        <v>-68</v>
      </c>
      <c r="Q391" s="73">
        <v>-39</v>
      </c>
      <c r="R391" s="73">
        <v>0</v>
      </c>
      <c r="S391" s="73">
        <v>0</v>
      </c>
      <c r="T391" s="73">
        <v>0</v>
      </c>
      <c r="U391" s="73">
        <v>0</v>
      </c>
      <c r="V391" s="73">
        <v>0</v>
      </c>
      <c r="W391" s="73">
        <v>0</v>
      </c>
      <c r="X391" s="73">
        <v>0</v>
      </c>
      <c r="Y391" s="73">
        <v>0</v>
      </c>
      <c r="Z391" s="73">
        <v>2050</v>
      </c>
      <c r="AA391" s="73">
        <v>1668</v>
      </c>
      <c r="AB391" s="73">
        <v>0</v>
      </c>
      <c r="AC391" s="73">
        <v>0</v>
      </c>
      <c r="AD391" s="73">
        <v>0</v>
      </c>
      <c r="AE391" s="73">
        <v>0</v>
      </c>
      <c r="AF391" s="74">
        <f>tblData[[#This Row],[Gross Sales]]+tblData[[#This Row],[Trade Discounts]]+tblData[[#This Row],[Returns]]</f>
        <v>1510</v>
      </c>
      <c r="AG391" s="74">
        <f>tblData[[#This Row],[Material Cost]]+tblData[[#This Row],[Conversion Cost]]+tblData[[#This Row],[Inbound Freight]]</f>
        <v>-691</v>
      </c>
      <c r="AH391" s="74">
        <f>tblData[[#This Row],[Net Revenue]]+tblData[[#This Row],[COGS]]</f>
        <v>819</v>
      </c>
      <c r="AI391" s="74">
        <f>tblData[[#This Row],[Advertising]]+tblData[[#This Row],[Promotions]]</f>
        <v>-125</v>
      </c>
      <c r="AJ391" s="74">
        <f>tblData[[#This Row],[Outbound Logistics]]+tblData[[#This Row],[Direct Selling]]</f>
        <v>-107</v>
      </c>
      <c r="AK391" s="74">
        <f>tblData[[#This Row],[Gross Profit]]+tblData[[#This Row],[AP Spend]]+tblData[[#This Row],[Cost to Serve]]</f>
        <v>587</v>
      </c>
    </row>
    <row r="392" spans="2:37" x14ac:dyDescent="0.25">
      <c r="B392" s="71" t="s">
        <v>36</v>
      </c>
      <c r="C392" s="71">
        <v>2025</v>
      </c>
      <c r="D392" s="71">
        <v>10</v>
      </c>
      <c r="E392" s="71" t="s">
        <v>45</v>
      </c>
      <c r="F392" s="71" t="s">
        <v>40</v>
      </c>
      <c r="G392" s="72">
        <v>213</v>
      </c>
      <c r="H392" s="73">
        <v>1461</v>
      </c>
      <c r="I392" s="73">
        <v>-316</v>
      </c>
      <c r="J392" s="73">
        <v>-15</v>
      </c>
      <c r="K392" s="73">
        <v>-415</v>
      </c>
      <c r="L392" s="73">
        <v>-105</v>
      </c>
      <c r="M392" s="73">
        <v>-56</v>
      </c>
      <c r="N392" s="73">
        <v>-40</v>
      </c>
      <c r="O392" s="73">
        <v>-22</v>
      </c>
      <c r="P392" s="73">
        <v>-51</v>
      </c>
      <c r="Q392" s="73">
        <v>-29</v>
      </c>
      <c r="R392" s="73">
        <v>0</v>
      </c>
      <c r="S392" s="73">
        <v>0</v>
      </c>
      <c r="T392" s="73">
        <v>0</v>
      </c>
      <c r="U392" s="73">
        <v>0</v>
      </c>
      <c r="V392" s="73">
        <v>0</v>
      </c>
      <c r="W392" s="73">
        <v>0</v>
      </c>
      <c r="X392" s="73">
        <v>0</v>
      </c>
      <c r="Y392" s="73">
        <v>0</v>
      </c>
      <c r="Z392" s="73">
        <v>1528</v>
      </c>
      <c r="AA392" s="73">
        <v>1296</v>
      </c>
      <c r="AB392" s="73">
        <v>0</v>
      </c>
      <c r="AC392" s="73">
        <v>0</v>
      </c>
      <c r="AD392" s="73">
        <v>0</v>
      </c>
      <c r="AE392" s="73">
        <v>0</v>
      </c>
      <c r="AF392" s="74">
        <f>tblData[[#This Row],[Gross Sales]]+tblData[[#This Row],[Trade Discounts]]+tblData[[#This Row],[Returns]]</f>
        <v>1130</v>
      </c>
      <c r="AG392" s="74">
        <f>tblData[[#This Row],[Material Cost]]+tblData[[#This Row],[Conversion Cost]]+tblData[[#This Row],[Inbound Freight]]</f>
        <v>-576</v>
      </c>
      <c r="AH392" s="74">
        <f>tblData[[#This Row],[Net Revenue]]+tblData[[#This Row],[COGS]]</f>
        <v>554</v>
      </c>
      <c r="AI392" s="74">
        <f>tblData[[#This Row],[Advertising]]+tblData[[#This Row],[Promotions]]</f>
        <v>-62</v>
      </c>
      <c r="AJ392" s="74">
        <f>tblData[[#This Row],[Outbound Logistics]]+tblData[[#This Row],[Direct Selling]]</f>
        <v>-80</v>
      </c>
      <c r="AK392" s="74">
        <f>tblData[[#This Row],[Gross Profit]]+tblData[[#This Row],[AP Spend]]+tblData[[#This Row],[Cost to Serve]]</f>
        <v>412</v>
      </c>
    </row>
    <row r="393" spans="2:37" x14ac:dyDescent="0.25">
      <c r="B393" s="71" t="s">
        <v>36</v>
      </c>
      <c r="C393" s="71">
        <v>2025</v>
      </c>
      <c r="D393" s="71">
        <v>10</v>
      </c>
      <c r="E393" s="71" t="s">
        <v>45</v>
      </c>
      <c r="F393" s="71" t="s">
        <v>41</v>
      </c>
      <c r="G393" s="72">
        <v>107</v>
      </c>
      <c r="H393" s="73">
        <v>1154</v>
      </c>
      <c r="I393" s="73">
        <v>-249</v>
      </c>
      <c r="J393" s="73">
        <v>-12</v>
      </c>
      <c r="K393" s="73">
        <v>-270</v>
      </c>
      <c r="L393" s="73">
        <v>-69</v>
      </c>
      <c r="M393" s="73">
        <v>-36</v>
      </c>
      <c r="N393" s="73">
        <v>-87</v>
      </c>
      <c r="O393" s="73">
        <v>-47</v>
      </c>
      <c r="P393" s="73">
        <v>-40</v>
      </c>
      <c r="Q393" s="73">
        <v>-23</v>
      </c>
      <c r="R393" s="73">
        <v>0</v>
      </c>
      <c r="S393" s="73">
        <v>0</v>
      </c>
      <c r="T393" s="73">
        <v>0</v>
      </c>
      <c r="U393" s="73">
        <v>0</v>
      </c>
      <c r="V393" s="73">
        <v>0</v>
      </c>
      <c r="W393" s="73">
        <v>0</v>
      </c>
      <c r="X393" s="73">
        <v>0</v>
      </c>
      <c r="Y393" s="73">
        <v>0</v>
      </c>
      <c r="Z393" s="73">
        <v>1191</v>
      </c>
      <c r="AA393" s="73">
        <v>999</v>
      </c>
      <c r="AB393" s="73">
        <v>0</v>
      </c>
      <c r="AC393" s="73">
        <v>0</v>
      </c>
      <c r="AD393" s="73">
        <v>0</v>
      </c>
      <c r="AE393" s="73">
        <v>0</v>
      </c>
      <c r="AF393" s="74">
        <f>tblData[[#This Row],[Gross Sales]]+tblData[[#This Row],[Trade Discounts]]+tblData[[#This Row],[Returns]]</f>
        <v>893</v>
      </c>
      <c r="AG393" s="74">
        <f>tblData[[#This Row],[Material Cost]]+tblData[[#This Row],[Conversion Cost]]+tblData[[#This Row],[Inbound Freight]]</f>
        <v>-375</v>
      </c>
      <c r="AH393" s="74">
        <f>tblData[[#This Row],[Net Revenue]]+tblData[[#This Row],[COGS]]</f>
        <v>518</v>
      </c>
      <c r="AI393" s="74">
        <f>tblData[[#This Row],[Advertising]]+tblData[[#This Row],[Promotions]]</f>
        <v>-134</v>
      </c>
      <c r="AJ393" s="74">
        <f>tblData[[#This Row],[Outbound Logistics]]+tblData[[#This Row],[Direct Selling]]</f>
        <v>-63</v>
      </c>
      <c r="AK393" s="74">
        <f>tblData[[#This Row],[Gross Profit]]+tblData[[#This Row],[AP Spend]]+tblData[[#This Row],[Cost to Serve]]</f>
        <v>321</v>
      </c>
    </row>
    <row r="394" spans="2:37" x14ac:dyDescent="0.25">
      <c r="B394" s="71" t="s">
        <v>36</v>
      </c>
      <c r="C394" s="71">
        <v>2025</v>
      </c>
      <c r="D394" s="71">
        <v>10</v>
      </c>
      <c r="E394" s="71" t="s">
        <v>45</v>
      </c>
      <c r="F394" s="71" t="s">
        <v>42</v>
      </c>
      <c r="G394" s="72">
        <v>137.30000000000001</v>
      </c>
      <c r="H394" s="73">
        <v>807</v>
      </c>
      <c r="I394" s="73">
        <v>-174</v>
      </c>
      <c r="J394" s="73">
        <v>-8</v>
      </c>
      <c r="K394" s="73">
        <v>-252</v>
      </c>
      <c r="L394" s="73">
        <v>-64</v>
      </c>
      <c r="M394" s="73">
        <v>-34</v>
      </c>
      <c r="N394" s="73">
        <v>-17</v>
      </c>
      <c r="O394" s="73">
        <v>-9</v>
      </c>
      <c r="P394" s="73">
        <v>-28</v>
      </c>
      <c r="Q394" s="73">
        <v>-16</v>
      </c>
      <c r="R394" s="73">
        <v>0</v>
      </c>
      <c r="S394" s="73">
        <v>0</v>
      </c>
      <c r="T394" s="73">
        <v>0</v>
      </c>
      <c r="U394" s="73">
        <v>0</v>
      </c>
      <c r="V394" s="73">
        <v>0</v>
      </c>
      <c r="W394" s="73">
        <v>0</v>
      </c>
      <c r="X394" s="73">
        <v>0</v>
      </c>
      <c r="Y394" s="73">
        <v>0</v>
      </c>
      <c r="Z394" s="73">
        <v>854</v>
      </c>
      <c r="AA394" s="73">
        <v>1167</v>
      </c>
      <c r="AB394" s="73">
        <v>0</v>
      </c>
      <c r="AC394" s="73">
        <v>0</v>
      </c>
      <c r="AD394" s="73">
        <v>0</v>
      </c>
      <c r="AE394" s="73">
        <v>0</v>
      </c>
      <c r="AF394" s="74">
        <f>tblData[[#This Row],[Gross Sales]]+tblData[[#This Row],[Trade Discounts]]+tblData[[#This Row],[Returns]]</f>
        <v>625</v>
      </c>
      <c r="AG394" s="74">
        <f>tblData[[#This Row],[Material Cost]]+tblData[[#This Row],[Conversion Cost]]+tblData[[#This Row],[Inbound Freight]]</f>
        <v>-350</v>
      </c>
      <c r="AH394" s="74">
        <f>tblData[[#This Row],[Net Revenue]]+tblData[[#This Row],[COGS]]</f>
        <v>275</v>
      </c>
      <c r="AI394" s="74">
        <f>tblData[[#This Row],[Advertising]]+tblData[[#This Row],[Promotions]]</f>
        <v>-26</v>
      </c>
      <c r="AJ394" s="74">
        <f>tblData[[#This Row],[Outbound Logistics]]+tblData[[#This Row],[Direct Selling]]</f>
        <v>-44</v>
      </c>
      <c r="AK394" s="74">
        <f>tblData[[#This Row],[Gross Profit]]+tblData[[#This Row],[AP Spend]]+tblData[[#This Row],[Cost to Serve]]</f>
        <v>205</v>
      </c>
    </row>
    <row r="395" spans="2:37" x14ac:dyDescent="0.25">
      <c r="B395" s="71" t="s">
        <v>36</v>
      </c>
      <c r="C395" s="71">
        <v>2025</v>
      </c>
      <c r="D395" s="71">
        <v>10</v>
      </c>
      <c r="E395" s="71" t="s">
        <v>45</v>
      </c>
      <c r="F395" s="71" t="s">
        <v>43</v>
      </c>
      <c r="G395" s="72">
        <v>27.2</v>
      </c>
      <c r="H395" s="73">
        <v>480</v>
      </c>
      <c r="I395" s="73">
        <v>-104</v>
      </c>
      <c r="J395" s="73">
        <v>-5</v>
      </c>
      <c r="K395" s="73">
        <v>-129</v>
      </c>
      <c r="L395" s="73">
        <v>-33</v>
      </c>
      <c r="M395" s="73">
        <v>-17</v>
      </c>
      <c r="N395" s="73">
        <v>-47</v>
      </c>
      <c r="O395" s="73">
        <v>-25</v>
      </c>
      <c r="P395" s="73">
        <v>-17</v>
      </c>
      <c r="Q395" s="73">
        <v>-10</v>
      </c>
      <c r="R395" s="73">
        <v>0</v>
      </c>
      <c r="S395" s="73">
        <v>0</v>
      </c>
      <c r="T395" s="73">
        <v>0</v>
      </c>
      <c r="U395" s="73">
        <v>0</v>
      </c>
      <c r="V395" s="73">
        <v>0</v>
      </c>
      <c r="W395" s="73">
        <v>0</v>
      </c>
      <c r="X395" s="73">
        <v>0</v>
      </c>
      <c r="Y395" s="73">
        <v>0</v>
      </c>
      <c r="Z395" s="73">
        <v>500</v>
      </c>
      <c r="AA395" s="73">
        <v>645</v>
      </c>
      <c r="AB395" s="73">
        <v>0</v>
      </c>
      <c r="AC395" s="73">
        <v>0</v>
      </c>
      <c r="AD395" s="73">
        <v>0</v>
      </c>
      <c r="AE395" s="73">
        <v>0</v>
      </c>
      <c r="AF395" s="74">
        <f>tblData[[#This Row],[Gross Sales]]+tblData[[#This Row],[Trade Discounts]]+tblData[[#This Row],[Returns]]</f>
        <v>371</v>
      </c>
      <c r="AG395" s="74">
        <f>tblData[[#This Row],[Material Cost]]+tblData[[#This Row],[Conversion Cost]]+tblData[[#This Row],[Inbound Freight]]</f>
        <v>-179</v>
      </c>
      <c r="AH395" s="74">
        <f>tblData[[#This Row],[Net Revenue]]+tblData[[#This Row],[COGS]]</f>
        <v>192</v>
      </c>
      <c r="AI395" s="74">
        <f>tblData[[#This Row],[Advertising]]+tblData[[#This Row],[Promotions]]</f>
        <v>-72</v>
      </c>
      <c r="AJ395" s="74">
        <f>tblData[[#This Row],[Outbound Logistics]]+tblData[[#This Row],[Direct Selling]]</f>
        <v>-27</v>
      </c>
      <c r="AK395" s="74">
        <f>tblData[[#This Row],[Gross Profit]]+tblData[[#This Row],[AP Spend]]+tblData[[#This Row],[Cost to Serve]]</f>
        <v>93</v>
      </c>
    </row>
    <row r="396" spans="2:37" x14ac:dyDescent="0.25">
      <c r="B396" s="71" t="s">
        <v>36</v>
      </c>
      <c r="C396" s="71">
        <v>2025</v>
      </c>
      <c r="D396" s="71">
        <v>10</v>
      </c>
      <c r="E396" s="71" t="s">
        <v>46</v>
      </c>
      <c r="F396" s="71" t="s">
        <v>38</v>
      </c>
      <c r="G396" s="72">
        <v>167</v>
      </c>
      <c r="H396" s="73">
        <v>2291</v>
      </c>
      <c r="I396" s="73">
        <v>-243</v>
      </c>
      <c r="J396" s="73">
        <v>-92</v>
      </c>
      <c r="K396" s="73">
        <v>-487</v>
      </c>
      <c r="L396" s="73">
        <v>-124</v>
      </c>
      <c r="M396" s="73">
        <v>-65</v>
      </c>
      <c r="N396" s="73">
        <v>-162</v>
      </c>
      <c r="O396" s="73">
        <v>-87</v>
      </c>
      <c r="P396" s="73">
        <v>-172</v>
      </c>
      <c r="Q396" s="73">
        <v>-46</v>
      </c>
      <c r="R396" s="73">
        <v>0</v>
      </c>
      <c r="S396" s="73">
        <v>0</v>
      </c>
      <c r="T396" s="73">
        <v>0</v>
      </c>
      <c r="U396" s="73">
        <v>0</v>
      </c>
      <c r="V396" s="73">
        <v>0</v>
      </c>
      <c r="W396" s="73">
        <v>0</v>
      </c>
      <c r="X396" s="73">
        <v>0</v>
      </c>
      <c r="Y396" s="73">
        <v>0</v>
      </c>
      <c r="Z396" s="73">
        <v>1501</v>
      </c>
      <c r="AA396" s="73">
        <v>1972</v>
      </c>
      <c r="AB396" s="73">
        <v>0</v>
      </c>
      <c r="AC396" s="73">
        <v>0</v>
      </c>
      <c r="AD396" s="73">
        <v>0</v>
      </c>
      <c r="AE396" s="73">
        <v>0</v>
      </c>
      <c r="AF396" s="74">
        <f>tblData[[#This Row],[Gross Sales]]+tblData[[#This Row],[Trade Discounts]]+tblData[[#This Row],[Returns]]</f>
        <v>1956</v>
      </c>
      <c r="AG396" s="74">
        <f>tblData[[#This Row],[Material Cost]]+tblData[[#This Row],[Conversion Cost]]+tblData[[#This Row],[Inbound Freight]]</f>
        <v>-676</v>
      </c>
      <c r="AH396" s="74">
        <f>tblData[[#This Row],[Net Revenue]]+tblData[[#This Row],[COGS]]</f>
        <v>1280</v>
      </c>
      <c r="AI396" s="74">
        <f>tblData[[#This Row],[Advertising]]+tblData[[#This Row],[Promotions]]</f>
        <v>-249</v>
      </c>
      <c r="AJ396" s="74">
        <f>tblData[[#This Row],[Outbound Logistics]]+tblData[[#This Row],[Direct Selling]]</f>
        <v>-218</v>
      </c>
      <c r="AK396" s="74">
        <f>tblData[[#This Row],[Gross Profit]]+tblData[[#This Row],[AP Spend]]+tblData[[#This Row],[Cost to Serve]]</f>
        <v>813</v>
      </c>
    </row>
    <row r="397" spans="2:37" x14ac:dyDescent="0.25">
      <c r="B397" s="71" t="s">
        <v>36</v>
      </c>
      <c r="C397" s="71">
        <v>2025</v>
      </c>
      <c r="D397" s="71">
        <v>10</v>
      </c>
      <c r="E397" s="71" t="s">
        <v>46</v>
      </c>
      <c r="F397" s="71" t="s">
        <v>39</v>
      </c>
      <c r="G397" s="72">
        <v>224.2</v>
      </c>
      <c r="H397" s="73">
        <v>1978</v>
      </c>
      <c r="I397" s="73">
        <v>-210</v>
      </c>
      <c r="J397" s="73">
        <v>-79</v>
      </c>
      <c r="K397" s="73">
        <v>-505</v>
      </c>
      <c r="L397" s="73">
        <v>-128</v>
      </c>
      <c r="M397" s="73">
        <v>-68</v>
      </c>
      <c r="N397" s="73">
        <v>-92</v>
      </c>
      <c r="O397" s="73">
        <v>-50</v>
      </c>
      <c r="P397" s="73">
        <v>-148</v>
      </c>
      <c r="Q397" s="73">
        <v>-40</v>
      </c>
      <c r="R397" s="73">
        <v>0</v>
      </c>
      <c r="S397" s="73">
        <v>0</v>
      </c>
      <c r="T397" s="73">
        <v>0</v>
      </c>
      <c r="U397" s="73">
        <v>0</v>
      </c>
      <c r="V397" s="73">
        <v>0</v>
      </c>
      <c r="W397" s="73">
        <v>0</v>
      </c>
      <c r="X397" s="73">
        <v>0</v>
      </c>
      <c r="Y397" s="73">
        <v>0</v>
      </c>
      <c r="Z397" s="73">
        <v>1287</v>
      </c>
      <c r="AA397" s="73">
        <v>1709</v>
      </c>
      <c r="AB397" s="73">
        <v>0</v>
      </c>
      <c r="AC397" s="73">
        <v>0</v>
      </c>
      <c r="AD397" s="73">
        <v>0</v>
      </c>
      <c r="AE397" s="73">
        <v>0</v>
      </c>
      <c r="AF397" s="74">
        <f>tblData[[#This Row],[Gross Sales]]+tblData[[#This Row],[Trade Discounts]]+tblData[[#This Row],[Returns]]</f>
        <v>1689</v>
      </c>
      <c r="AG397" s="74">
        <f>tblData[[#This Row],[Material Cost]]+tblData[[#This Row],[Conversion Cost]]+tblData[[#This Row],[Inbound Freight]]</f>
        <v>-701</v>
      </c>
      <c r="AH397" s="74">
        <f>tblData[[#This Row],[Net Revenue]]+tblData[[#This Row],[COGS]]</f>
        <v>988</v>
      </c>
      <c r="AI397" s="74">
        <f>tblData[[#This Row],[Advertising]]+tblData[[#This Row],[Promotions]]</f>
        <v>-142</v>
      </c>
      <c r="AJ397" s="74">
        <f>tblData[[#This Row],[Outbound Logistics]]+tblData[[#This Row],[Direct Selling]]</f>
        <v>-188</v>
      </c>
      <c r="AK397" s="74">
        <f>tblData[[#This Row],[Gross Profit]]+tblData[[#This Row],[AP Spend]]+tblData[[#This Row],[Cost to Serve]]</f>
        <v>658</v>
      </c>
    </row>
    <row r="398" spans="2:37" x14ac:dyDescent="0.25">
      <c r="B398" s="71" t="s">
        <v>36</v>
      </c>
      <c r="C398" s="71">
        <v>2025</v>
      </c>
      <c r="D398" s="71">
        <v>10</v>
      </c>
      <c r="E398" s="71" t="s">
        <v>46</v>
      </c>
      <c r="F398" s="71" t="s">
        <v>40</v>
      </c>
      <c r="G398" s="72">
        <v>221.4</v>
      </c>
      <c r="H398" s="73">
        <v>1519</v>
      </c>
      <c r="I398" s="73">
        <v>-161</v>
      </c>
      <c r="J398" s="73">
        <v>-61</v>
      </c>
      <c r="K398" s="73">
        <v>-431</v>
      </c>
      <c r="L398" s="73">
        <v>-109</v>
      </c>
      <c r="M398" s="73">
        <v>-58</v>
      </c>
      <c r="N398" s="73">
        <v>-46</v>
      </c>
      <c r="O398" s="73">
        <v>-25</v>
      </c>
      <c r="P398" s="73">
        <v>-114</v>
      </c>
      <c r="Q398" s="73">
        <v>-30</v>
      </c>
      <c r="R398" s="73">
        <v>0</v>
      </c>
      <c r="S398" s="73">
        <v>0</v>
      </c>
      <c r="T398" s="73">
        <v>0</v>
      </c>
      <c r="U398" s="73">
        <v>0</v>
      </c>
      <c r="V398" s="73">
        <v>0</v>
      </c>
      <c r="W398" s="73">
        <v>0</v>
      </c>
      <c r="X398" s="73">
        <v>0</v>
      </c>
      <c r="Y398" s="73">
        <v>0</v>
      </c>
      <c r="Z398" s="73">
        <v>974</v>
      </c>
      <c r="AA398" s="73">
        <v>1347</v>
      </c>
      <c r="AB398" s="73">
        <v>0</v>
      </c>
      <c r="AC398" s="73">
        <v>0</v>
      </c>
      <c r="AD398" s="73">
        <v>0</v>
      </c>
      <c r="AE398" s="73">
        <v>0</v>
      </c>
      <c r="AF398" s="74">
        <f>tblData[[#This Row],[Gross Sales]]+tblData[[#This Row],[Trade Discounts]]+tblData[[#This Row],[Returns]]</f>
        <v>1297</v>
      </c>
      <c r="AG398" s="74">
        <f>tblData[[#This Row],[Material Cost]]+tblData[[#This Row],[Conversion Cost]]+tblData[[#This Row],[Inbound Freight]]</f>
        <v>-598</v>
      </c>
      <c r="AH398" s="74">
        <f>tblData[[#This Row],[Net Revenue]]+tblData[[#This Row],[COGS]]</f>
        <v>699</v>
      </c>
      <c r="AI398" s="74">
        <f>tblData[[#This Row],[Advertising]]+tblData[[#This Row],[Promotions]]</f>
        <v>-71</v>
      </c>
      <c r="AJ398" s="74">
        <f>tblData[[#This Row],[Outbound Logistics]]+tblData[[#This Row],[Direct Selling]]</f>
        <v>-144</v>
      </c>
      <c r="AK398" s="74">
        <f>tblData[[#This Row],[Gross Profit]]+tblData[[#This Row],[AP Spend]]+tblData[[#This Row],[Cost to Serve]]</f>
        <v>484</v>
      </c>
    </row>
    <row r="399" spans="2:37" x14ac:dyDescent="0.25">
      <c r="B399" s="71" t="s">
        <v>36</v>
      </c>
      <c r="C399" s="71">
        <v>2025</v>
      </c>
      <c r="D399" s="71">
        <v>10</v>
      </c>
      <c r="E399" s="71" t="s">
        <v>46</v>
      </c>
      <c r="F399" s="71" t="s">
        <v>41</v>
      </c>
      <c r="G399" s="72">
        <v>111.2</v>
      </c>
      <c r="H399" s="73">
        <v>1199</v>
      </c>
      <c r="I399" s="73">
        <v>-127</v>
      </c>
      <c r="J399" s="73">
        <v>-48</v>
      </c>
      <c r="K399" s="73">
        <v>-281</v>
      </c>
      <c r="L399" s="73">
        <v>-71</v>
      </c>
      <c r="M399" s="73">
        <v>-38</v>
      </c>
      <c r="N399" s="73">
        <v>-99</v>
      </c>
      <c r="O399" s="73">
        <v>-53</v>
      </c>
      <c r="P399" s="73">
        <v>-90</v>
      </c>
      <c r="Q399" s="73">
        <v>-24</v>
      </c>
      <c r="R399" s="73">
        <v>0</v>
      </c>
      <c r="S399" s="73">
        <v>0</v>
      </c>
      <c r="T399" s="73">
        <v>0</v>
      </c>
      <c r="U399" s="73">
        <v>0</v>
      </c>
      <c r="V399" s="73">
        <v>0</v>
      </c>
      <c r="W399" s="73">
        <v>0</v>
      </c>
      <c r="X399" s="73">
        <v>0</v>
      </c>
      <c r="Y399" s="73">
        <v>0</v>
      </c>
      <c r="Z399" s="73">
        <v>764</v>
      </c>
      <c r="AA399" s="73">
        <v>1046</v>
      </c>
      <c r="AB399" s="73">
        <v>0</v>
      </c>
      <c r="AC399" s="73">
        <v>0</v>
      </c>
      <c r="AD399" s="73">
        <v>0</v>
      </c>
      <c r="AE399" s="73">
        <v>0</v>
      </c>
      <c r="AF399" s="74">
        <f>tblData[[#This Row],[Gross Sales]]+tblData[[#This Row],[Trade Discounts]]+tblData[[#This Row],[Returns]]</f>
        <v>1024</v>
      </c>
      <c r="AG399" s="74">
        <f>tblData[[#This Row],[Material Cost]]+tblData[[#This Row],[Conversion Cost]]+tblData[[#This Row],[Inbound Freight]]</f>
        <v>-390</v>
      </c>
      <c r="AH399" s="74">
        <f>tblData[[#This Row],[Net Revenue]]+tblData[[#This Row],[COGS]]</f>
        <v>634</v>
      </c>
      <c r="AI399" s="74">
        <f>tblData[[#This Row],[Advertising]]+tblData[[#This Row],[Promotions]]</f>
        <v>-152</v>
      </c>
      <c r="AJ399" s="74">
        <f>tblData[[#This Row],[Outbound Logistics]]+tblData[[#This Row],[Direct Selling]]</f>
        <v>-114</v>
      </c>
      <c r="AK399" s="74">
        <f>tblData[[#This Row],[Gross Profit]]+tblData[[#This Row],[AP Spend]]+tblData[[#This Row],[Cost to Serve]]</f>
        <v>368</v>
      </c>
    </row>
    <row r="400" spans="2:37" x14ac:dyDescent="0.25">
      <c r="B400" s="71" t="s">
        <v>36</v>
      </c>
      <c r="C400" s="71">
        <v>2025</v>
      </c>
      <c r="D400" s="71">
        <v>10</v>
      </c>
      <c r="E400" s="71" t="s">
        <v>46</v>
      </c>
      <c r="F400" s="71" t="s">
        <v>42</v>
      </c>
      <c r="G400" s="72">
        <v>140.4</v>
      </c>
      <c r="H400" s="73">
        <v>825</v>
      </c>
      <c r="I400" s="73">
        <v>-87</v>
      </c>
      <c r="J400" s="73">
        <v>-33</v>
      </c>
      <c r="K400" s="73">
        <v>-258</v>
      </c>
      <c r="L400" s="73">
        <v>-65</v>
      </c>
      <c r="M400" s="73">
        <v>-34</v>
      </c>
      <c r="N400" s="73">
        <v>-19</v>
      </c>
      <c r="O400" s="73">
        <v>-10</v>
      </c>
      <c r="P400" s="73">
        <v>-62</v>
      </c>
      <c r="Q400" s="73">
        <v>-17</v>
      </c>
      <c r="R400" s="73">
        <v>0</v>
      </c>
      <c r="S400" s="73">
        <v>0</v>
      </c>
      <c r="T400" s="73">
        <v>0</v>
      </c>
      <c r="U400" s="73">
        <v>0</v>
      </c>
      <c r="V400" s="73">
        <v>0</v>
      </c>
      <c r="W400" s="73">
        <v>0</v>
      </c>
      <c r="X400" s="73">
        <v>0</v>
      </c>
      <c r="Y400" s="73">
        <v>0</v>
      </c>
      <c r="Z400" s="73">
        <v>541</v>
      </c>
      <c r="AA400" s="73">
        <v>1208</v>
      </c>
      <c r="AB400" s="73">
        <v>0</v>
      </c>
      <c r="AC400" s="73">
        <v>0</v>
      </c>
      <c r="AD400" s="73">
        <v>0</v>
      </c>
      <c r="AE400" s="73">
        <v>0</v>
      </c>
      <c r="AF400" s="74">
        <f>tblData[[#This Row],[Gross Sales]]+tblData[[#This Row],[Trade Discounts]]+tblData[[#This Row],[Returns]]</f>
        <v>705</v>
      </c>
      <c r="AG400" s="74">
        <f>tblData[[#This Row],[Material Cost]]+tblData[[#This Row],[Conversion Cost]]+tblData[[#This Row],[Inbound Freight]]</f>
        <v>-357</v>
      </c>
      <c r="AH400" s="74">
        <f>tblData[[#This Row],[Net Revenue]]+tblData[[#This Row],[COGS]]</f>
        <v>348</v>
      </c>
      <c r="AI400" s="74">
        <f>tblData[[#This Row],[Advertising]]+tblData[[#This Row],[Promotions]]</f>
        <v>-29</v>
      </c>
      <c r="AJ400" s="74">
        <f>tblData[[#This Row],[Outbound Logistics]]+tblData[[#This Row],[Direct Selling]]</f>
        <v>-79</v>
      </c>
      <c r="AK400" s="74">
        <f>tblData[[#This Row],[Gross Profit]]+tblData[[#This Row],[AP Spend]]+tblData[[#This Row],[Cost to Serve]]</f>
        <v>240</v>
      </c>
    </row>
    <row r="401" spans="2:37" x14ac:dyDescent="0.25">
      <c r="B401" s="71" t="s">
        <v>36</v>
      </c>
      <c r="C401" s="71">
        <v>2025</v>
      </c>
      <c r="D401" s="71">
        <v>10</v>
      </c>
      <c r="E401" s="71" t="s">
        <v>46</v>
      </c>
      <c r="F401" s="71" t="s">
        <v>43</v>
      </c>
      <c r="G401" s="72">
        <v>28.2</v>
      </c>
      <c r="H401" s="73">
        <v>497</v>
      </c>
      <c r="I401" s="73">
        <v>-53</v>
      </c>
      <c r="J401" s="73">
        <v>-20</v>
      </c>
      <c r="K401" s="73">
        <v>-134</v>
      </c>
      <c r="L401" s="73">
        <v>-34</v>
      </c>
      <c r="M401" s="73">
        <v>-18</v>
      </c>
      <c r="N401" s="73">
        <v>-54</v>
      </c>
      <c r="O401" s="73">
        <v>-29</v>
      </c>
      <c r="P401" s="73">
        <v>-37</v>
      </c>
      <c r="Q401" s="73">
        <v>-10</v>
      </c>
      <c r="R401" s="73">
        <v>0</v>
      </c>
      <c r="S401" s="73">
        <v>0</v>
      </c>
      <c r="T401" s="73">
        <v>0</v>
      </c>
      <c r="U401" s="73">
        <v>0</v>
      </c>
      <c r="V401" s="73">
        <v>0</v>
      </c>
      <c r="W401" s="73">
        <v>0</v>
      </c>
      <c r="X401" s="73">
        <v>0</v>
      </c>
      <c r="Y401" s="73">
        <v>0</v>
      </c>
      <c r="Z401" s="73">
        <v>323</v>
      </c>
      <c r="AA401" s="73">
        <v>679</v>
      </c>
      <c r="AB401" s="73">
        <v>0</v>
      </c>
      <c r="AC401" s="73">
        <v>0</v>
      </c>
      <c r="AD401" s="73">
        <v>0</v>
      </c>
      <c r="AE401" s="73">
        <v>0</v>
      </c>
      <c r="AF401" s="74">
        <f>tblData[[#This Row],[Gross Sales]]+tblData[[#This Row],[Trade Discounts]]+tblData[[#This Row],[Returns]]</f>
        <v>424</v>
      </c>
      <c r="AG401" s="74">
        <f>tblData[[#This Row],[Material Cost]]+tblData[[#This Row],[Conversion Cost]]+tblData[[#This Row],[Inbound Freight]]</f>
        <v>-186</v>
      </c>
      <c r="AH401" s="74">
        <f>tblData[[#This Row],[Net Revenue]]+tblData[[#This Row],[COGS]]</f>
        <v>238</v>
      </c>
      <c r="AI401" s="74">
        <f>tblData[[#This Row],[Advertising]]+tblData[[#This Row],[Promotions]]</f>
        <v>-83</v>
      </c>
      <c r="AJ401" s="74">
        <f>tblData[[#This Row],[Outbound Logistics]]+tblData[[#This Row],[Direct Selling]]</f>
        <v>-47</v>
      </c>
      <c r="AK401" s="74">
        <f>tblData[[#This Row],[Gross Profit]]+tblData[[#This Row],[AP Spend]]+tblData[[#This Row],[Cost to Serve]]</f>
        <v>108</v>
      </c>
    </row>
    <row r="402" spans="2:37" x14ac:dyDescent="0.25">
      <c r="B402" s="71" t="s">
        <v>36</v>
      </c>
      <c r="C402" s="71">
        <v>2025</v>
      </c>
      <c r="D402" s="71">
        <v>10</v>
      </c>
      <c r="E402" s="71" t="s">
        <v>47</v>
      </c>
      <c r="F402" s="71" t="s">
        <v>38</v>
      </c>
      <c r="G402" s="72">
        <v>72.5</v>
      </c>
      <c r="H402" s="73">
        <v>995</v>
      </c>
      <c r="I402" s="73">
        <v>-26</v>
      </c>
      <c r="J402" s="73">
        <v>-50</v>
      </c>
      <c r="K402" s="73">
        <v>-212</v>
      </c>
      <c r="L402" s="73">
        <v>-54</v>
      </c>
      <c r="M402" s="73">
        <v>-28</v>
      </c>
      <c r="N402" s="73">
        <v>-61</v>
      </c>
      <c r="O402" s="73">
        <v>-33</v>
      </c>
      <c r="P402" s="73">
        <v>-119</v>
      </c>
      <c r="Q402" s="73">
        <v>-40</v>
      </c>
      <c r="R402" s="73">
        <v>0</v>
      </c>
      <c r="S402" s="73">
        <v>0</v>
      </c>
      <c r="T402" s="73">
        <v>0</v>
      </c>
      <c r="U402" s="73">
        <v>0</v>
      </c>
      <c r="V402" s="73">
        <v>0</v>
      </c>
      <c r="W402" s="73">
        <v>0</v>
      </c>
      <c r="X402" s="73">
        <v>0</v>
      </c>
      <c r="Y402" s="73">
        <v>0</v>
      </c>
      <c r="Z402" s="73">
        <v>81</v>
      </c>
      <c r="AA402" s="73">
        <v>821</v>
      </c>
      <c r="AB402" s="73">
        <v>0</v>
      </c>
      <c r="AC402" s="73">
        <v>0</v>
      </c>
      <c r="AD402" s="73">
        <v>0</v>
      </c>
      <c r="AE402" s="73">
        <v>0</v>
      </c>
      <c r="AF402" s="74">
        <f>tblData[[#This Row],[Gross Sales]]+tblData[[#This Row],[Trade Discounts]]+tblData[[#This Row],[Returns]]</f>
        <v>919</v>
      </c>
      <c r="AG402" s="74">
        <f>tblData[[#This Row],[Material Cost]]+tblData[[#This Row],[Conversion Cost]]+tblData[[#This Row],[Inbound Freight]]</f>
        <v>-294</v>
      </c>
      <c r="AH402" s="74">
        <f>tblData[[#This Row],[Net Revenue]]+tblData[[#This Row],[COGS]]</f>
        <v>625</v>
      </c>
      <c r="AI402" s="74">
        <f>tblData[[#This Row],[Advertising]]+tblData[[#This Row],[Promotions]]</f>
        <v>-94</v>
      </c>
      <c r="AJ402" s="74">
        <f>tblData[[#This Row],[Outbound Logistics]]+tblData[[#This Row],[Direct Selling]]</f>
        <v>-159</v>
      </c>
      <c r="AK402" s="74">
        <f>tblData[[#This Row],[Gross Profit]]+tblData[[#This Row],[AP Spend]]+tblData[[#This Row],[Cost to Serve]]</f>
        <v>372</v>
      </c>
    </row>
    <row r="403" spans="2:37" x14ac:dyDescent="0.25">
      <c r="B403" s="71" t="s">
        <v>36</v>
      </c>
      <c r="C403" s="71">
        <v>2025</v>
      </c>
      <c r="D403" s="71">
        <v>10</v>
      </c>
      <c r="E403" s="71" t="s">
        <v>47</v>
      </c>
      <c r="F403" s="71" t="s">
        <v>39</v>
      </c>
      <c r="G403" s="72">
        <v>92.9</v>
      </c>
      <c r="H403" s="73">
        <v>820</v>
      </c>
      <c r="I403" s="73">
        <v>-21</v>
      </c>
      <c r="J403" s="73">
        <v>-41</v>
      </c>
      <c r="K403" s="73">
        <v>-209</v>
      </c>
      <c r="L403" s="73">
        <v>-53</v>
      </c>
      <c r="M403" s="73">
        <v>-28</v>
      </c>
      <c r="N403" s="73">
        <v>-35</v>
      </c>
      <c r="O403" s="73">
        <v>-19</v>
      </c>
      <c r="P403" s="73">
        <v>-98</v>
      </c>
      <c r="Q403" s="73">
        <v>-33</v>
      </c>
      <c r="R403" s="73">
        <v>0</v>
      </c>
      <c r="S403" s="73">
        <v>0</v>
      </c>
      <c r="T403" s="73">
        <v>0</v>
      </c>
      <c r="U403" s="73">
        <v>0</v>
      </c>
      <c r="V403" s="73">
        <v>0</v>
      </c>
      <c r="W403" s="73">
        <v>0</v>
      </c>
      <c r="X403" s="73">
        <v>0</v>
      </c>
      <c r="Y403" s="73">
        <v>0</v>
      </c>
      <c r="Z403" s="73">
        <v>69</v>
      </c>
      <c r="AA403" s="73">
        <v>701</v>
      </c>
      <c r="AB403" s="73">
        <v>0</v>
      </c>
      <c r="AC403" s="73">
        <v>0</v>
      </c>
      <c r="AD403" s="73">
        <v>0</v>
      </c>
      <c r="AE403" s="73">
        <v>0</v>
      </c>
      <c r="AF403" s="74">
        <f>tblData[[#This Row],[Gross Sales]]+tblData[[#This Row],[Trade Discounts]]+tblData[[#This Row],[Returns]]</f>
        <v>758</v>
      </c>
      <c r="AG403" s="74">
        <f>tblData[[#This Row],[Material Cost]]+tblData[[#This Row],[Conversion Cost]]+tblData[[#This Row],[Inbound Freight]]</f>
        <v>-290</v>
      </c>
      <c r="AH403" s="74">
        <f>tblData[[#This Row],[Net Revenue]]+tblData[[#This Row],[COGS]]</f>
        <v>468</v>
      </c>
      <c r="AI403" s="74">
        <f>tblData[[#This Row],[Advertising]]+tblData[[#This Row],[Promotions]]</f>
        <v>-54</v>
      </c>
      <c r="AJ403" s="74">
        <f>tblData[[#This Row],[Outbound Logistics]]+tblData[[#This Row],[Direct Selling]]</f>
        <v>-131</v>
      </c>
      <c r="AK403" s="74">
        <f>tblData[[#This Row],[Gross Profit]]+tblData[[#This Row],[AP Spend]]+tblData[[#This Row],[Cost to Serve]]</f>
        <v>283</v>
      </c>
    </row>
    <row r="404" spans="2:37" x14ac:dyDescent="0.25">
      <c r="B404" s="71" t="s">
        <v>36</v>
      </c>
      <c r="C404" s="71">
        <v>2025</v>
      </c>
      <c r="D404" s="71">
        <v>10</v>
      </c>
      <c r="E404" s="71" t="s">
        <v>47</v>
      </c>
      <c r="F404" s="71" t="s">
        <v>40</v>
      </c>
      <c r="G404" s="72">
        <v>89.9</v>
      </c>
      <c r="H404" s="73">
        <v>617</v>
      </c>
      <c r="I404" s="73">
        <v>-16</v>
      </c>
      <c r="J404" s="73">
        <v>-31</v>
      </c>
      <c r="K404" s="73">
        <v>-175</v>
      </c>
      <c r="L404" s="73">
        <v>-44</v>
      </c>
      <c r="M404" s="73">
        <v>-23</v>
      </c>
      <c r="N404" s="73">
        <v>-17</v>
      </c>
      <c r="O404" s="73">
        <v>-9</v>
      </c>
      <c r="P404" s="73">
        <v>-74</v>
      </c>
      <c r="Q404" s="73">
        <v>-25</v>
      </c>
      <c r="R404" s="73">
        <v>0</v>
      </c>
      <c r="S404" s="73">
        <v>0</v>
      </c>
      <c r="T404" s="73">
        <v>0</v>
      </c>
      <c r="U404" s="73">
        <v>0</v>
      </c>
      <c r="V404" s="73">
        <v>0</v>
      </c>
      <c r="W404" s="73">
        <v>0</v>
      </c>
      <c r="X404" s="73">
        <v>0</v>
      </c>
      <c r="Y404" s="73">
        <v>0</v>
      </c>
      <c r="Z404" s="73">
        <v>52</v>
      </c>
      <c r="AA404" s="73">
        <v>556</v>
      </c>
      <c r="AB404" s="73">
        <v>0</v>
      </c>
      <c r="AC404" s="73">
        <v>0</v>
      </c>
      <c r="AD404" s="73">
        <v>0</v>
      </c>
      <c r="AE404" s="73">
        <v>0</v>
      </c>
      <c r="AF404" s="74">
        <f>tblData[[#This Row],[Gross Sales]]+tblData[[#This Row],[Trade Discounts]]+tblData[[#This Row],[Returns]]</f>
        <v>570</v>
      </c>
      <c r="AG404" s="74">
        <f>tblData[[#This Row],[Material Cost]]+tblData[[#This Row],[Conversion Cost]]+tblData[[#This Row],[Inbound Freight]]</f>
        <v>-242</v>
      </c>
      <c r="AH404" s="74">
        <f>tblData[[#This Row],[Net Revenue]]+tblData[[#This Row],[COGS]]</f>
        <v>328</v>
      </c>
      <c r="AI404" s="74">
        <f>tblData[[#This Row],[Advertising]]+tblData[[#This Row],[Promotions]]</f>
        <v>-26</v>
      </c>
      <c r="AJ404" s="74">
        <f>tblData[[#This Row],[Outbound Logistics]]+tblData[[#This Row],[Direct Selling]]</f>
        <v>-99</v>
      </c>
      <c r="AK404" s="74">
        <f>tblData[[#This Row],[Gross Profit]]+tblData[[#This Row],[AP Spend]]+tblData[[#This Row],[Cost to Serve]]</f>
        <v>203</v>
      </c>
    </row>
    <row r="405" spans="2:37" x14ac:dyDescent="0.25">
      <c r="B405" s="71" t="s">
        <v>36</v>
      </c>
      <c r="C405" s="71">
        <v>2025</v>
      </c>
      <c r="D405" s="71">
        <v>10</v>
      </c>
      <c r="E405" s="71" t="s">
        <v>47</v>
      </c>
      <c r="F405" s="71" t="s">
        <v>41</v>
      </c>
      <c r="G405" s="72">
        <v>44</v>
      </c>
      <c r="H405" s="73">
        <v>474</v>
      </c>
      <c r="I405" s="73">
        <v>-12</v>
      </c>
      <c r="J405" s="73">
        <v>-24</v>
      </c>
      <c r="K405" s="73">
        <v>-111</v>
      </c>
      <c r="L405" s="73">
        <v>-28</v>
      </c>
      <c r="M405" s="73">
        <v>-15</v>
      </c>
      <c r="N405" s="73">
        <v>-37</v>
      </c>
      <c r="O405" s="73">
        <v>-20</v>
      </c>
      <c r="P405" s="73">
        <v>-57</v>
      </c>
      <c r="Q405" s="73">
        <v>-19</v>
      </c>
      <c r="R405" s="73">
        <v>0</v>
      </c>
      <c r="S405" s="73">
        <v>0</v>
      </c>
      <c r="T405" s="73">
        <v>0</v>
      </c>
      <c r="U405" s="73">
        <v>0</v>
      </c>
      <c r="V405" s="73">
        <v>0</v>
      </c>
      <c r="W405" s="73">
        <v>0</v>
      </c>
      <c r="X405" s="73">
        <v>0</v>
      </c>
      <c r="Y405" s="73">
        <v>0</v>
      </c>
      <c r="Z405" s="73">
        <v>40</v>
      </c>
      <c r="AA405" s="73">
        <v>421</v>
      </c>
      <c r="AB405" s="73">
        <v>0</v>
      </c>
      <c r="AC405" s="73">
        <v>0</v>
      </c>
      <c r="AD405" s="73">
        <v>0</v>
      </c>
      <c r="AE405" s="73">
        <v>0</v>
      </c>
      <c r="AF405" s="74">
        <f>tblData[[#This Row],[Gross Sales]]+tblData[[#This Row],[Trade Discounts]]+tblData[[#This Row],[Returns]]</f>
        <v>438</v>
      </c>
      <c r="AG405" s="74">
        <f>tblData[[#This Row],[Material Cost]]+tblData[[#This Row],[Conversion Cost]]+tblData[[#This Row],[Inbound Freight]]</f>
        <v>-154</v>
      </c>
      <c r="AH405" s="74">
        <f>tblData[[#This Row],[Net Revenue]]+tblData[[#This Row],[COGS]]</f>
        <v>284</v>
      </c>
      <c r="AI405" s="74">
        <f>tblData[[#This Row],[Advertising]]+tblData[[#This Row],[Promotions]]</f>
        <v>-57</v>
      </c>
      <c r="AJ405" s="74">
        <f>tblData[[#This Row],[Outbound Logistics]]+tblData[[#This Row],[Direct Selling]]</f>
        <v>-76</v>
      </c>
      <c r="AK405" s="74">
        <f>tblData[[#This Row],[Gross Profit]]+tblData[[#This Row],[AP Spend]]+tblData[[#This Row],[Cost to Serve]]</f>
        <v>151</v>
      </c>
    </row>
    <row r="406" spans="2:37" x14ac:dyDescent="0.25">
      <c r="B406" s="71" t="s">
        <v>36</v>
      </c>
      <c r="C406" s="71">
        <v>2025</v>
      </c>
      <c r="D406" s="71">
        <v>10</v>
      </c>
      <c r="E406" s="71" t="s">
        <v>47</v>
      </c>
      <c r="F406" s="71" t="s">
        <v>42</v>
      </c>
      <c r="G406" s="72">
        <v>58.9</v>
      </c>
      <c r="H406" s="73">
        <v>346</v>
      </c>
      <c r="I406" s="73">
        <v>-9</v>
      </c>
      <c r="J406" s="73">
        <v>-17</v>
      </c>
      <c r="K406" s="73">
        <v>-108</v>
      </c>
      <c r="L406" s="73">
        <v>-27</v>
      </c>
      <c r="M406" s="73">
        <v>-14</v>
      </c>
      <c r="N406" s="73">
        <v>-7</v>
      </c>
      <c r="O406" s="73">
        <v>-4</v>
      </c>
      <c r="P406" s="73">
        <v>-42</v>
      </c>
      <c r="Q406" s="73">
        <v>-14</v>
      </c>
      <c r="R406" s="73">
        <v>0</v>
      </c>
      <c r="S406" s="73">
        <v>0</v>
      </c>
      <c r="T406" s="73">
        <v>0</v>
      </c>
      <c r="U406" s="73">
        <v>0</v>
      </c>
      <c r="V406" s="73">
        <v>0</v>
      </c>
      <c r="W406" s="73">
        <v>0</v>
      </c>
      <c r="X406" s="73">
        <v>0</v>
      </c>
      <c r="Y406" s="73">
        <v>0</v>
      </c>
      <c r="Z406" s="73">
        <v>29</v>
      </c>
      <c r="AA406" s="73">
        <v>496</v>
      </c>
      <c r="AB406" s="73">
        <v>0</v>
      </c>
      <c r="AC406" s="73">
        <v>0</v>
      </c>
      <c r="AD406" s="73">
        <v>0</v>
      </c>
      <c r="AE406" s="73">
        <v>0</v>
      </c>
      <c r="AF406" s="74">
        <f>tblData[[#This Row],[Gross Sales]]+tblData[[#This Row],[Trade Discounts]]+tblData[[#This Row],[Returns]]</f>
        <v>320</v>
      </c>
      <c r="AG406" s="74">
        <f>tblData[[#This Row],[Material Cost]]+tblData[[#This Row],[Conversion Cost]]+tblData[[#This Row],[Inbound Freight]]</f>
        <v>-149</v>
      </c>
      <c r="AH406" s="74">
        <f>tblData[[#This Row],[Net Revenue]]+tblData[[#This Row],[COGS]]</f>
        <v>171</v>
      </c>
      <c r="AI406" s="74">
        <f>tblData[[#This Row],[Advertising]]+tblData[[#This Row],[Promotions]]</f>
        <v>-11</v>
      </c>
      <c r="AJ406" s="74">
        <f>tblData[[#This Row],[Outbound Logistics]]+tblData[[#This Row],[Direct Selling]]</f>
        <v>-56</v>
      </c>
      <c r="AK406" s="74">
        <f>tblData[[#This Row],[Gross Profit]]+tblData[[#This Row],[AP Spend]]+tblData[[#This Row],[Cost to Serve]]</f>
        <v>104</v>
      </c>
    </row>
    <row r="407" spans="2:37" x14ac:dyDescent="0.25">
      <c r="B407" s="71" t="s">
        <v>36</v>
      </c>
      <c r="C407" s="71">
        <v>2025</v>
      </c>
      <c r="D407" s="71">
        <v>10</v>
      </c>
      <c r="E407" s="71" t="s">
        <v>47</v>
      </c>
      <c r="F407" s="71" t="s">
        <v>43</v>
      </c>
      <c r="G407" s="72">
        <v>11.6</v>
      </c>
      <c r="H407" s="73">
        <v>205</v>
      </c>
      <c r="I407" s="73">
        <v>-5</v>
      </c>
      <c r="J407" s="73">
        <v>-10</v>
      </c>
      <c r="K407" s="73">
        <v>-55</v>
      </c>
      <c r="L407" s="73">
        <v>-14</v>
      </c>
      <c r="M407" s="73">
        <v>-7</v>
      </c>
      <c r="N407" s="73">
        <v>-20</v>
      </c>
      <c r="O407" s="73">
        <v>-11</v>
      </c>
      <c r="P407" s="73">
        <v>-25</v>
      </c>
      <c r="Q407" s="73">
        <v>-8</v>
      </c>
      <c r="R407" s="73">
        <v>0</v>
      </c>
      <c r="S407" s="73">
        <v>0</v>
      </c>
      <c r="T407" s="73">
        <v>0</v>
      </c>
      <c r="U407" s="73">
        <v>0</v>
      </c>
      <c r="V407" s="73">
        <v>0</v>
      </c>
      <c r="W407" s="73">
        <v>0</v>
      </c>
      <c r="X407" s="73">
        <v>0</v>
      </c>
      <c r="Y407" s="73">
        <v>0</v>
      </c>
      <c r="Z407" s="73">
        <v>17</v>
      </c>
      <c r="AA407" s="73">
        <v>276</v>
      </c>
      <c r="AB407" s="73">
        <v>0</v>
      </c>
      <c r="AC407" s="73">
        <v>0</v>
      </c>
      <c r="AD407" s="73">
        <v>0</v>
      </c>
      <c r="AE407" s="73">
        <v>0</v>
      </c>
      <c r="AF407" s="74">
        <f>tblData[[#This Row],[Gross Sales]]+tblData[[#This Row],[Trade Discounts]]+tblData[[#This Row],[Returns]]</f>
        <v>190</v>
      </c>
      <c r="AG407" s="74">
        <f>tblData[[#This Row],[Material Cost]]+tblData[[#This Row],[Conversion Cost]]+tblData[[#This Row],[Inbound Freight]]</f>
        <v>-76</v>
      </c>
      <c r="AH407" s="74">
        <f>tblData[[#This Row],[Net Revenue]]+tblData[[#This Row],[COGS]]</f>
        <v>114</v>
      </c>
      <c r="AI407" s="74">
        <f>tblData[[#This Row],[Advertising]]+tblData[[#This Row],[Promotions]]</f>
        <v>-31</v>
      </c>
      <c r="AJ407" s="74">
        <f>tblData[[#This Row],[Outbound Logistics]]+tblData[[#This Row],[Direct Selling]]</f>
        <v>-33</v>
      </c>
      <c r="AK407" s="74">
        <f>tblData[[#This Row],[Gross Profit]]+tblData[[#This Row],[AP Spend]]+tblData[[#This Row],[Cost to Serve]]</f>
        <v>50</v>
      </c>
    </row>
    <row r="408" spans="2:37" x14ac:dyDescent="0.25">
      <c r="B408" s="71" t="s">
        <v>36</v>
      </c>
      <c r="C408" s="71">
        <v>2025</v>
      </c>
      <c r="D408" s="71">
        <v>10</v>
      </c>
      <c r="E408" s="71" t="s">
        <v>48</v>
      </c>
      <c r="F408" s="71" t="s">
        <v>38</v>
      </c>
      <c r="G408" s="72">
        <v>118.2</v>
      </c>
      <c r="H408" s="73">
        <v>1621</v>
      </c>
      <c r="I408" s="73">
        <v>-139</v>
      </c>
      <c r="J408" s="73">
        <v>-16</v>
      </c>
      <c r="K408" s="73">
        <v>-345</v>
      </c>
      <c r="L408" s="73">
        <v>-88</v>
      </c>
      <c r="M408" s="73">
        <v>-46</v>
      </c>
      <c r="N408" s="73">
        <v>-101</v>
      </c>
      <c r="O408" s="73">
        <v>-54</v>
      </c>
      <c r="P408" s="73">
        <v>-49</v>
      </c>
      <c r="Q408" s="73">
        <v>-24</v>
      </c>
      <c r="R408" s="73">
        <v>0</v>
      </c>
      <c r="S408" s="73">
        <v>0</v>
      </c>
      <c r="T408" s="73">
        <v>0</v>
      </c>
      <c r="U408" s="73">
        <v>0</v>
      </c>
      <c r="V408" s="73">
        <v>0</v>
      </c>
      <c r="W408" s="73">
        <v>0</v>
      </c>
      <c r="X408" s="73">
        <v>0</v>
      </c>
      <c r="Y408" s="73">
        <v>0</v>
      </c>
      <c r="Z408" s="73">
        <v>3077</v>
      </c>
      <c r="AA408" s="73">
        <v>1364</v>
      </c>
      <c r="AB408" s="73">
        <v>0</v>
      </c>
      <c r="AC408" s="73">
        <v>0</v>
      </c>
      <c r="AD408" s="73">
        <v>0</v>
      </c>
      <c r="AE408" s="73">
        <v>0</v>
      </c>
      <c r="AF408" s="74">
        <f>tblData[[#This Row],[Gross Sales]]+tblData[[#This Row],[Trade Discounts]]+tblData[[#This Row],[Returns]]</f>
        <v>1466</v>
      </c>
      <c r="AG408" s="74">
        <f>tblData[[#This Row],[Material Cost]]+tblData[[#This Row],[Conversion Cost]]+tblData[[#This Row],[Inbound Freight]]</f>
        <v>-479</v>
      </c>
      <c r="AH408" s="74">
        <f>tblData[[#This Row],[Net Revenue]]+tblData[[#This Row],[COGS]]</f>
        <v>987</v>
      </c>
      <c r="AI408" s="74">
        <f>tblData[[#This Row],[Advertising]]+tblData[[#This Row],[Promotions]]</f>
        <v>-155</v>
      </c>
      <c r="AJ408" s="74">
        <f>tblData[[#This Row],[Outbound Logistics]]+tblData[[#This Row],[Direct Selling]]</f>
        <v>-73</v>
      </c>
      <c r="AK408" s="74">
        <f>tblData[[#This Row],[Gross Profit]]+tblData[[#This Row],[AP Spend]]+tblData[[#This Row],[Cost to Serve]]</f>
        <v>759</v>
      </c>
    </row>
    <row r="409" spans="2:37" x14ac:dyDescent="0.25">
      <c r="B409" s="71" t="s">
        <v>36</v>
      </c>
      <c r="C409" s="71">
        <v>2025</v>
      </c>
      <c r="D409" s="71">
        <v>10</v>
      </c>
      <c r="E409" s="71" t="s">
        <v>48</v>
      </c>
      <c r="F409" s="71" t="s">
        <v>39</v>
      </c>
      <c r="G409" s="72">
        <v>155.30000000000001</v>
      </c>
      <c r="H409" s="73">
        <v>1369</v>
      </c>
      <c r="I409" s="73">
        <v>-118</v>
      </c>
      <c r="J409" s="73">
        <v>-14</v>
      </c>
      <c r="K409" s="73">
        <v>-350</v>
      </c>
      <c r="L409" s="73">
        <v>-89</v>
      </c>
      <c r="M409" s="73">
        <v>-47</v>
      </c>
      <c r="N409" s="73">
        <v>-58</v>
      </c>
      <c r="O409" s="73">
        <v>-31</v>
      </c>
      <c r="P409" s="73">
        <v>-41</v>
      </c>
      <c r="Q409" s="73">
        <v>-21</v>
      </c>
      <c r="R409" s="73">
        <v>0</v>
      </c>
      <c r="S409" s="73">
        <v>0</v>
      </c>
      <c r="T409" s="73">
        <v>0</v>
      </c>
      <c r="U409" s="73">
        <v>0</v>
      </c>
      <c r="V409" s="73">
        <v>0</v>
      </c>
      <c r="W409" s="73">
        <v>0</v>
      </c>
      <c r="X409" s="73">
        <v>0</v>
      </c>
      <c r="Y409" s="73">
        <v>0</v>
      </c>
      <c r="Z409" s="73">
        <v>2616</v>
      </c>
      <c r="AA409" s="73">
        <v>1172</v>
      </c>
      <c r="AB409" s="73">
        <v>0</v>
      </c>
      <c r="AC409" s="73">
        <v>0</v>
      </c>
      <c r="AD409" s="73">
        <v>0</v>
      </c>
      <c r="AE409" s="73">
        <v>0</v>
      </c>
      <c r="AF409" s="74">
        <f>tblData[[#This Row],[Gross Sales]]+tblData[[#This Row],[Trade Discounts]]+tblData[[#This Row],[Returns]]</f>
        <v>1237</v>
      </c>
      <c r="AG409" s="74">
        <f>tblData[[#This Row],[Material Cost]]+tblData[[#This Row],[Conversion Cost]]+tblData[[#This Row],[Inbound Freight]]</f>
        <v>-486</v>
      </c>
      <c r="AH409" s="74">
        <f>tblData[[#This Row],[Net Revenue]]+tblData[[#This Row],[COGS]]</f>
        <v>751</v>
      </c>
      <c r="AI409" s="74">
        <f>tblData[[#This Row],[Advertising]]+tblData[[#This Row],[Promotions]]</f>
        <v>-89</v>
      </c>
      <c r="AJ409" s="74">
        <f>tblData[[#This Row],[Outbound Logistics]]+tblData[[#This Row],[Direct Selling]]</f>
        <v>-62</v>
      </c>
      <c r="AK409" s="74">
        <f>tblData[[#This Row],[Gross Profit]]+tblData[[#This Row],[AP Spend]]+tblData[[#This Row],[Cost to Serve]]</f>
        <v>600</v>
      </c>
    </row>
    <row r="410" spans="2:37" x14ac:dyDescent="0.25">
      <c r="B410" s="71" t="s">
        <v>36</v>
      </c>
      <c r="C410" s="71">
        <v>2025</v>
      </c>
      <c r="D410" s="71">
        <v>10</v>
      </c>
      <c r="E410" s="71" t="s">
        <v>48</v>
      </c>
      <c r="F410" s="71" t="s">
        <v>40</v>
      </c>
      <c r="G410" s="72">
        <v>150.9</v>
      </c>
      <c r="H410" s="73">
        <v>1035</v>
      </c>
      <c r="I410" s="73">
        <v>-89</v>
      </c>
      <c r="J410" s="73">
        <v>-10</v>
      </c>
      <c r="K410" s="73">
        <v>-294</v>
      </c>
      <c r="L410" s="73">
        <v>-75</v>
      </c>
      <c r="M410" s="73">
        <v>-39</v>
      </c>
      <c r="N410" s="73">
        <v>-29</v>
      </c>
      <c r="O410" s="73">
        <v>-16</v>
      </c>
      <c r="P410" s="73">
        <v>-31</v>
      </c>
      <c r="Q410" s="73">
        <v>-16</v>
      </c>
      <c r="R410" s="73">
        <v>0</v>
      </c>
      <c r="S410" s="73">
        <v>0</v>
      </c>
      <c r="T410" s="73">
        <v>0</v>
      </c>
      <c r="U410" s="73">
        <v>0</v>
      </c>
      <c r="V410" s="73">
        <v>0</v>
      </c>
      <c r="W410" s="73">
        <v>0</v>
      </c>
      <c r="X410" s="73">
        <v>0</v>
      </c>
      <c r="Y410" s="73">
        <v>0</v>
      </c>
      <c r="Z410" s="73">
        <v>1982</v>
      </c>
      <c r="AA410" s="73">
        <v>925</v>
      </c>
      <c r="AB410" s="73">
        <v>0</v>
      </c>
      <c r="AC410" s="73">
        <v>0</v>
      </c>
      <c r="AD410" s="73">
        <v>0</v>
      </c>
      <c r="AE410" s="73">
        <v>0</v>
      </c>
      <c r="AF410" s="74">
        <f>tblData[[#This Row],[Gross Sales]]+tblData[[#This Row],[Trade Discounts]]+tblData[[#This Row],[Returns]]</f>
        <v>936</v>
      </c>
      <c r="AG410" s="74">
        <f>tblData[[#This Row],[Material Cost]]+tblData[[#This Row],[Conversion Cost]]+tblData[[#This Row],[Inbound Freight]]</f>
        <v>-408</v>
      </c>
      <c r="AH410" s="74">
        <f>tblData[[#This Row],[Net Revenue]]+tblData[[#This Row],[COGS]]</f>
        <v>528</v>
      </c>
      <c r="AI410" s="74">
        <f>tblData[[#This Row],[Advertising]]+tblData[[#This Row],[Promotions]]</f>
        <v>-45</v>
      </c>
      <c r="AJ410" s="74">
        <f>tblData[[#This Row],[Outbound Logistics]]+tblData[[#This Row],[Direct Selling]]</f>
        <v>-47</v>
      </c>
      <c r="AK410" s="74">
        <f>tblData[[#This Row],[Gross Profit]]+tblData[[#This Row],[AP Spend]]+tblData[[#This Row],[Cost to Serve]]</f>
        <v>436</v>
      </c>
    </row>
    <row r="411" spans="2:37" x14ac:dyDescent="0.25">
      <c r="B411" s="71" t="s">
        <v>36</v>
      </c>
      <c r="C411" s="71">
        <v>2025</v>
      </c>
      <c r="D411" s="71">
        <v>10</v>
      </c>
      <c r="E411" s="71" t="s">
        <v>48</v>
      </c>
      <c r="F411" s="71" t="s">
        <v>41</v>
      </c>
      <c r="G411" s="72">
        <v>72.599999999999994</v>
      </c>
      <c r="H411" s="73">
        <v>783</v>
      </c>
      <c r="I411" s="73">
        <v>-67</v>
      </c>
      <c r="J411" s="73">
        <v>-8</v>
      </c>
      <c r="K411" s="73">
        <v>-183</v>
      </c>
      <c r="L411" s="73">
        <v>-47</v>
      </c>
      <c r="M411" s="73">
        <v>-25</v>
      </c>
      <c r="N411" s="73">
        <v>-62</v>
      </c>
      <c r="O411" s="73">
        <v>-33</v>
      </c>
      <c r="P411" s="73">
        <v>-23</v>
      </c>
      <c r="Q411" s="73">
        <v>-12</v>
      </c>
      <c r="R411" s="73">
        <v>0</v>
      </c>
      <c r="S411" s="73">
        <v>0</v>
      </c>
      <c r="T411" s="73">
        <v>0</v>
      </c>
      <c r="U411" s="73">
        <v>0</v>
      </c>
      <c r="V411" s="73">
        <v>0</v>
      </c>
      <c r="W411" s="73">
        <v>0</v>
      </c>
      <c r="X411" s="73">
        <v>0</v>
      </c>
      <c r="Y411" s="73">
        <v>0</v>
      </c>
      <c r="Z411" s="73">
        <v>1499</v>
      </c>
      <c r="AA411" s="73">
        <v>692</v>
      </c>
      <c r="AB411" s="73">
        <v>0</v>
      </c>
      <c r="AC411" s="73">
        <v>0</v>
      </c>
      <c r="AD411" s="73">
        <v>0</v>
      </c>
      <c r="AE411" s="73">
        <v>0</v>
      </c>
      <c r="AF411" s="74">
        <f>tblData[[#This Row],[Gross Sales]]+tblData[[#This Row],[Trade Discounts]]+tblData[[#This Row],[Returns]]</f>
        <v>708</v>
      </c>
      <c r="AG411" s="74">
        <f>tblData[[#This Row],[Material Cost]]+tblData[[#This Row],[Conversion Cost]]+tblData[[#This Row],[Inbound Freight]]</f>
        <v>-255</v>
      </c>
      <c r="AH411" s="74">
        <f>tblData[[#This Row],[Net Revenue]]+tblData[[#This Row],[COGS]]</f>
        <v>453</v>
      </c>
      <c r="AI411" s="74">
        <f>tblData[[#This Row],[Advertising]]+tblData[[#This Row],[Promotions]]</f>
        <v>-95</v>
      </c>
      <c r="AJ411" s="74">
        <f>tblData[[#This Row],[Outbound Logistics]]+tblData[[#This Row],[Direct Selling]]</f>
        <v>-35</v>
      </c>
      <c r="AK411" s="74">
        <f>tblData[[#This Row],[Gross Profit]]+tblData[[#This Row],[AP Spend]]+tblData[[#This Row],[Cost to Serve]]</f>
        <v>323</v>
      </c>
    </row>
    <row r="412" spans="2:37" x14ac:dyDescent="0.25">
      <c r="B412" s="71" t="s">
        <v>36</v>
      </c>
      <c r="C412" s="71">
        <v>2025</v>
      </c>
      <c r="D412" s="71">
        <v>10</v>
      </c>
      <c r="E412" s="71" t="s">
        <v>48</v>
      </c>
      <c r="F412" s="71" t="s">
        <v>42</v>
      </c>
      <c r="G412" s="72">
        <v>98</v>
      </c>
      <c r="H412" s="73">
        <v>576</v>
      </c>
      <c r="I412" s="73">
        <v>-50</v>
      </c>
      <c r="J412" s="73">
        <v>-6</v>
      </c>
      <c r="K412" s="73">
        <v>-180</v>
      </c>
      <c r="L412" s="73">
        <v>-46</v>
      </c>
      <c r="M412" s="73">
        <v>-24</v>
      </c>
      <c r="N412" s="73">
        <v>-12</v>
      </c>
      <c r="O412" s="73">
        <v>-6</v>
      </c>
      <c r="P412" s="73">
        <v>-17</v>
      </c>
      <c r="Q412" s="73">
        <v>-9</v>
      </c>
      <c r="R412" s="73">
        <v>0</v>
      </c>
      <c r="S412" s="73">
        <v>0</v>
      </c>
      <c r="T412" s="73">
        <v>0</v>
      </c>
      <c r="U412" s="73">
        <v>0</v>
      </c>
      <c r="V412" s="73">
        <v>0</v>
      </c>
      <c r="W412" s="73">
        <v>0</v>
      </c>
      <c r="X412" s="73">
        <v>0</v>
      </c>
      <c r="Y412" s="73">
        <v>0</v>
      </c>
      <c r="Z412" s="73">
        <v>1099</v>
      </c>
      <c r="AA412" s="73">
        <v>827</v>
      </c>
      <c r="AB412" s="73">
        <v>0</v>
      </c>
      <c r="AC412" s="73">
        <v>0</v>
      </c>
      <c r="AD412" s="73">
        <v>0</v>
      </c>
      <c r="AE412" s="73">
        <v>0</v>
      </c>
      <c r="AF412" s="74">
        <f>tblData[[#This Row],[Gross Sales]]+tblData[[#This Row],[Trade Discounts]]+tblData[[#This Row],[Returns]]</f>
        <v>520</v>
      </c>
      <c r="AG412" s="74">
        <f>tblData[[#This Row],[Material Cost]]+tblData[[#This Row],[Conversion Cost]]+tblData[[#This Row],[Inbound Freight]]</f>
        <v>-250</v>
      </c>
      <c r="AH412" s="74">
        <f>tblData[[#This Row],[Net Revenue]]+tblData[[#This Row],[COGS]]</f>
        <v>270</v>
      </c>
      <c r="AI412" s="74">
        <f>tblData[[#This Row],[Advertising]]+tblData[[#This Row],[Promotions]]</f>
        <v>-18</v>
      </c>
      <c r="AJ412" s="74">
        <f>tblData[[#This Row],[Outbound Logistics]]+tblData[[#This Row],[Direct Selling]]</f>
        <v>-26</v>
      </c>
      <c r="AK412" s="74">
        <f>tblData[[#This Row],[Gross Profit]]+tblData[[#This Row],[AP Spend]]+tblData[[#This Row],[Cost to Serve]]</f>
        <v>226</v>
      </c>
    </row>
    <row r="413" spans="2:37" x14ac:dyDescent="0.25">
      <c r="B413" s="71" t="s">
        <v>36</v>
      </c>
      <c r="C413" s="71">
        <v>2025</v>
      </c>
      <c r="D413" s="71">
        <v>10</v>
      </c>
      <c r="E413" s="71" t="s">
        <v>48</v>
      </c>
      <c r="F413" s="71" t="s">
        <v>43</v>
      </c>
      <c r="G413" s="72">
        <v>19.7</v>
      </c>
      <c r="H413" s="73">
        <v>347</v>
      </c>
      <c r="I413" s="73">
        <v>-30</v>
      </c>
      <c r="J413" s="73">
        <v>-3</v>
      </c>
      <c r="K413" s="73">
        <v>-94</v>
      </c>
      <c r="L413" s="73">
        <v>-24</v>
      </c>
      <c r="M413" s="73">
        <v>-13</v>
      </c>
      <c r="N413" s="73">
        <v>-34</v>
      </c>
      <c r="O413" s="73">
        <v>-18</v>
      </c>
      <c r="P413" s="73">
        <v>-10</v>
      </c>
      <c r="Q413" s="73">
        <v>-5</v>
      </c>
      <c r="R413" s="73">
        <v>0</v>
      </c>
      <c r="S413" s="73">
        <v>0</v>
      </c>
      <c r="T413" s="73">
        <v>0</v>
      </c>
      <c r="U413" s="73">
        <v>0</v>
      </c>
      <c r="V413" s="73">
        <v>0</v>
      </c>
      <c r="W413" s="73">
        <v>0</v>
      </c>
      <c r="X413" s="73">
        <v>0</v>
      </c>
      <c r="Y413" s="73">
        <v>0</v>
      </c>
      <c r="Z413" s="73">
        <v>661</v>
      </c>
      <c r="AA413" s="73">
        <v>469</v>
      </c>
      <c r="AB413" s="73">
        <v>0</v>
      </c>
      <c r="AC413" s="73">
        <v>0</v>
      </c>
      <c r="AD413" s="73">
        <v>0</v>
      </c>
      <c r="AE413" s="73">
        <v>0</v>
      </c>
      <c r="AF413" s="74">
        <f>tblData[[#This Row],[Gross Sales]]+tblData[[#This Row],[Trade Discounts]]+tblData[[#This Row],[Returns]]</f>
        <v>314</v>
      </c>
      <c r="AG413" s="74">
        <f>tblData[[#This Row],[Material Cost]]+tblData[[#This Row],[Conversion Cost]]+tblData[[#This Row],[Inbound Freight]]</f>
        <v>-131</v>
      </c>
      <c r="AH413" s="74">
        <f>tblData[[#This Row],[Net Revenue]]+tblData[[#This Row],[COGS]]</f>
        <v>183</v>
      </c>
      <c r="AI413" s="74">
        <f>tblData[[#This Row],[Advertising]]+tblData[[#This Row],[Promotions]]</f>
        <v>-52</v>
      </c>
      <c r="AJ413" s="74">
        <f>tblData[[#This Row],[Outbound Logistics]]+tblData[[#This Row],[Direct Selling]]</f>
        <v>-15</v>
      </c>
      <c r="AK413" s="74">
        <f>tblData[[#This Row],[Gross Profit]]+tblData[[#This Row],[AP Spend]]+tblData[[#This Row],[Cost to Serve]]</f>
        <v>116</v>
      </c>
    </row>
    <row r="414" spans="2:37" x14ac:dyDescent="0.25">
      <c r="B414" s="71" t="s">
        <v>36</v>
      </c>
      <c r="C414" s="71">
        <v>2025</v>
      </c>
      <c r="D414" s="71">
        <v>10</v>
      </c>
      <c r="E414" s="71" t="s">
        <v>49</v>
      </c>
      <c r="F414" s="71" t="s">
        <v>49</v>
      </c>
      <c r="G414" s="72">
        <v>0</v>
      </c>
      <c r="H414" s="73">
        <v>0</v>
      </c>
      <c r="I414" s="73">
        <v>0</v>
      </c>
      <c r="J414" s="73">
        <v>0</v>
      </c>
      <c r="K414" s="73">
        <v>0</v>
      </c>
      <c r="L414" s="73">
        <v>0</v>
      </c>
      <c r="M414" s="73">
        <v>0</v>
      </c>
      <c r="N414" s="73">
        <v>0</v>
      </c>
      <c r="O414" s="73">
        <v>0</v>
      </c>
      <c r="P414" s="73">
        <v>0</v>
      </c>
      <c r="Q414" s="73">
        <v>0</v>
      </c>
      <c r="R414" s="73">
        <v>-4106</v>
      </c>
      <c r="S414" s="73">
        <v>-974</v>
      </c>
      <c r="T414" s="73">
        <v>-1261</v>
      </c>
      <c r="U414" s="73">
        <v>-1079</v>
      </c>
      <c r="V414" s="73">
        <v>-1413</v>
      </c>
      <c r="W414" s="73">
        <v>-722</v>
      </c>
      <c r="X414" s="73">
        <v>-2244</v>
      </c>
      <c r="Y414" s="73">
        <v>-1463</v>
      </c>
      <c r="Z414" s="73">
        <v>0</v>
      </c>
      <c r="AA414" s="73">
        <v>0</v>
      </c>
      <c r="AB414" s="73">
        <v>37929</v>
      </c>
      <c r="AC414" s="73">
        <v>41225</v>
      </c>
      <c r="AD414" s="73">
        <v>192500</v>
      </c>
      <c r="AE414" s="73">
        <v>1161</v>
      </c>
      <c r="AF414" s="74">
        <f>tblData[[#This Row],[Gross Sales]]+tblData[[#This Row],[Trade Discounts]]+tblData[[#This Row],[Returns]]</f>
        <v>0</v>
      </c>
      <c r="AG414" s="74">
        <f>tblData[[#This Row],[Material Cost]]+tblData[[#This Row],[Conversion Cost]]+tblData[[#This Row],[Inbound Freight]]</f>
        <v>0</v>
      </c>
      <c r="AH414" s="74">
        <f>tblData[[#This Row],[Net Revenue]]+tblData[[#This Row],[COGS]]</f>
        <v>0</v>
      </c>
      <c r="AI414" s="74">
        <f>tblData[[#This Row],[Advertising]]+tblData[[#This Row],[Promotions]]</f>
        <v>0</v>
      </c>
      <c r="AJ414" s="74">
        <f>tblData[[#This Row],[Outbound Logistics]]+tblData[[#This Row],[Direct Selling]]</f>
        <v>0</v>
      </c>
      <c r="AK414" s="74">
        <f>tblData[[#This Row],[Gross Profit]]+tblData[[#This Row],[AP Spend]]+tblData[[#This Row],[Cost to Serve]]</f>
        <v>0</v>
      </c>
    </row>
    <row r="415" spans="2:37" x14ac:dyDescent="0.25">
      <c r="B415" s="71" t="s">
        <v>36</v>
      </c>
      <c r="C415" s="71">
        <v>2025</v>
      </c>
      <c r="D415" s="71">
        <v>11</v>
      </c>
      <c r="E415" s="71" t="s">
        <v>37</v>
      </c>
      <c r="F415" s="71" t="s">
        <v>38</v>
      </c>
      <c r="G415" s="72">
        <v>377</v>
      </c>
      <c r="H415" s="73">
        <v>5172</v>
      </c>
      <c r="I415" s="73">
        <v>-962</v>
      </c>
      <c r="J415" s="73">
        <v>-78</v>
      </c>
      <c r="K415" s="73">
        <v>-1100</v>
      </c>
      <c r="L415" s="73">
        <v>-279</v>
      </c>
      <c r="M415" s="73">
        <v>-147</v>
      </c>
      <c r="N415" s="73">
        <v>-322</v>
      </c>
      <c r="O415" s="73">
        <v>-173</v>
      </c>
      <c r="P415" s="73">
        <v>-207</v>
      </c>
      <c r="Q415" s="73">
        <v>-155</v>
      </c>
      <c r="R415" s="73">
        <v>0</v>
      </c>
      <c r="S415" s="73">
        <v>0</v>
      </c>
      <c r="T415" s="73">
        <v>0</v>
      </c>
      <c r="U415" s="73">
        <v>0</v>
      </c>
      <c r="V415" s="73">
        <v>0</v>
      </c>
      <c r="W415" s="73">
        <v>0</v>
      </c>
      <c r="X415" s="73">
        <v>0</v>
      </c>
      <c r="Y415" s="73">
        <v>0</v>
      </c>
      <c r="Z415" s="73">
        <v>6927</v>
      </c>
      <c r="AA415" s="73">
        <v>4422</v>
      </c>
      <c r="AB415" s="73">
        <v>0</v>
      </c>
      <c r="AC415" s="73">
        <v>0</v>
      </c>
      <c r="AD415" s="73">
        <v>0</v>
      </c>
      <c r="AE415" s="73">
        <v>0</v>
      </c>
      <c r="AF415" s="74">
        <f>tblData[[#This Row],[Gross Sales]]+tblData[[#This Row],[Trade Discounts]]+tblData[[#This Row],[Returns]]</f>
        <v>4132</v>
      </c>
      <c r="AG415" s="74">
        <f>tblData[[#This Row],[Material Cost]]+tblData[[#This Row],[Conversion Cost]]+tblData[[#This Row],[Inbound Freight]]</f>
        <v>-1526</v>
      </c>
      <c r="AH415" s="74">
        <f>tblData[[#This Row],[Net Revenue]]+tblData[[#This Row],[COGS]]</f>
        <v>2606</v>
      </c>
      <c r="AI415" s="74">
        <f>tblData[[#This Row],[Advertising]]+tblData[[#This Row],[Promotions]]</f>
        <v>-495</v>
      </c>
      <c r="AJ415" s="74">
        <f>tblData[[#This Row],[Outbound Logistics]]+tblData[[#This Row],[Direct Selling]]</f>
        <v>-362</v>
      </c>
      <c r="AK415" s="74">
        <f>tblData[[#This Row],[Gross Profit]]+tblData[[#This Row],[AP Spend]]+tblData[[#This Row],[Cost to Serve]]</f>
        <v>1749</v>
      </c>
    </row>
    <row r="416" spans="2:37" x14ac:dyDescent="0.25">
      <c r="B416" s="71" t="s">
        <v>36</v>
      </c>
      <c r="C416" s="71">
        <v>2025</v>
      </c>
      <c r="D416" s="71">
        <v>11</v>
      </c>
      <c r="E416" s="71" t="s">
        <v>37</v>
      </c>
      <c r="F416" s="71" t="s">
        <v>39</v>
      </c>
      <c r="G416" s="72">
        <v>508.6</v>
      </c>
      <c r="H416" s="73">
        <v>4485</v>
      </c>
      <c r="I416" s="73">
        <v>-834</v>
      </c>
      <c r="J416" s="73">
        <v>-67</v>
      </c>
      <c r="K416" s="73">
        <v>-1145</v>
      </c>
      <c r="L416" s="73">
        <v>-291</v>
      </c>
      <c r="M416" s="73">
        <v>-153</v>
      </c>
      <c r="N416" s="73">
        <v>-184</v>
      </c>
      <c r="O416" s="73">
        <v>-99</v>
      </c>
      <c r="P416" s="73">
        <v>-179</v>
      </c>
      <c r="Q416" s="73">
        <v>-135</v>
      </c>
      <c r="R416" s="73">
        <v>0</v>
      </c>
      <c r="S416" s="73">
        <v>0</v>
      </c>
      <c r="T416" s="73">
        <v>0</v>
      </c>
      <c r="U416" s="73">
        <v>0</v>
      </c>
      <c r="V416" s="73">
        <v>0</v>
      </c>
      <c r="W416" s="73">
        <v>0</v>
      </c>
      <c r="X416" s="73">
        <v>0</v>
      </c>
      <c r="Y416" s="73">
        <v>0</v>
      </c>
      <c r="Z416" s="73">
        <v>6063</v>
      </c>
      <c r="AA416" s="73">
        <v>3910</v>
      </c>
      <c r="AB416" s="73">
        <v>0</v>
      </c>
      <c r="AC416" s="73">
        <v>0</v>
      </c>
      <c r="AD416" s="73">
        <v>0</v>
      </c>
      <c r="AE416" s="73">
        <v>0</v>
      </c>
      <c r="AF416" s="74">
        <f>tblData[[#This Row],[Gross Sales]]+tblData[[#This Row],[Trade Discounts]]+tblData[[#This Row],[Returns]]</f>
        <v>3584</v>
      </c>
      <c r="AG416" s="74">
        <f>tblData[[#This Row],[Material Cost]]+tblData[[#This Row],[Conversion Cost]]+tblData[[#This Row],[Inbound Freight]]</f>
        <v>-1589</v>
      </c>
      <c r="AH416" s="74">
        <f>tblData[[#This Row],[Net Revenue]]+tblData[[#This Row],[COGS]]</f>
        <v>1995</v>
      </c>
      <c r="AI416" s="74">
        <f>tblData[[#This Row],[Advertising]]+tblData[[#This Row],[Promotions]]</f>
        <v>-283</v>
      </c>
      <c r="AJ416" s="74">
        <f>tblData[[#This Row],[Outbound Logistics]]+tblData[[#This Row],[Direct Selling]]</f>
        <v>-314</v>
      </c>
      <c r="AK416" s="74">
        <f>tblData[[#This Row],[Gross Profit]]+tblData[[#This Row],[AP Spend]]+tblData[[#This Row],[Cost to Serve]]</f>
        <v>1398</v>
      </c>
    </row>
    <row r="417" spans="2:37" x14ac:dyDescent="0.25">
      <c r="B417" s="71" t="s">
        <v>36</v>
      </c>
      <c r="C417" s="71">
        <v>2025</v>
      </c>
      <c r="D417" s="71">
        <v>11</v>
      </c>
      <c r="E417" s="71" t="s">
        <v>37</v>
      </c>
      <c r="F417" s="71" t="s">
        <v>40</v>
      </c>
      <c r="G417" s="72">
        <v>483.4</v>
      </c>
      <c r="H417" s="73">
        <v>3316</v>
      </c>
      <c r="I417" s="73">
        <v>-617</v>
      </c>
      <c r="J417" s="73">
        <v>-50</v>
      </c>
      <c r="K417" s="73">
        <v>-941</v>
      </c>
      <c r="L417" s="73">
        <v>-239</v>
      </c>
      <c r="M417" s="73">
        <v>-126</v>
      </c>
      <c r="N417" s="73">
        <v>-92</v>
      </c>
      <c r="O417" s="73">
        <v>-50</v>
      </c>
      <c r="P417" s="73">
        <v>-133</v>
      </c>
      <c r="Q417" s="73">
        <v>-99</v>
      </c>
      <c r="R417" s="73">
        <v>0</v>
      </c>
      <c r="S417" s="73">
        <v>0</v>
      </c>
      <c r="T417" s="73">
        <v>0</v>
      </c>
      <c r="U417" s="73">
        <v>0</v>
      </c>
      <c r="V417" s="73">
        <v>0</v>
      </c>
      <c r="W417" s="73">
        <v>0</v>
      </c>
      <c r="X417" s="73">
        <v>0</v>
      </c>
      <c r="Y417" s="73">
        <v>0</v>
      </c>
      <c r="Z417" s="73">
        <v>4438</v>
      </c>
      <c r="AA417" s="73">
        <v>2982</v>
      </c>
      <c r="AB417" s="73">
        <v>0</v>
      </c>
      <c r="AC417" s="73">
        <v>0</v>
      </c>
      <c r="AD417" s="73">
        <v>0</v>
      </c>
      <c r="AE417" s="73">
        <v>0</v>
      </c>
      <c r="AF417" s="74">
        <f>tblData[[#This Row],[Gross Sales]]+tblData[[#This Row],[Trade Discounts]]+tblData[[#This Row],[Returns]]</f>
        <v>2649</v>
      </c>
      <c r="AG417" s="74">
        <f>tblData[[#This Row],[Material Cost]]+tblData[[#This Row],[Conversion Cost]]+tblData[[#This Row],[Inbound Freight]]</f>
        <v>-1306</v>
      </c>
      <c r="AH417" s="74">
        <f>tblData[[#This Row],[Net Revenue]]+tblData[[#This Row],[COGS]]</f>
        <v>1343</v>
      </c>
      <c r="AI417" s="74">
        <f>tblData[[#This Row],[Advertising]]+tblData[[#This Row],[Promotions]]</f>
        <v>-142</v>
      </c>
      <c r="AJ417" s="74">
        <f>tblData[[#This Row],[Outbound Logistics]]+tblData[[#This Row],[Direct Selling]]</f>
        <v>-232</v>
      </c>
      <c r="AK417" s="74">
        <f>tblData[[#This Row],[Gross Profit]]+tblData[[#This Row],[AP Spend]]+tblData[[#This Row],[Cost to Serve]]</f>
        <v>969</v>
      </c>
    </row>
    <row r="418" spans="2:37" x14ac:dyDescent="0.25">
      <c r="B418" s="71" t="s">
        <v>36</v>
      </c>
      <c r="C418" s="71">
        <v>2025</v>
      </c>
      <c r="D418" s="71">
        <v>11</v>
      </c>
      <c r="E418" s="71" t="s">
        <v>37</v>
      </c>
      <c r="F418" s="71" t="s">
        <v>41</v>
      </c>
      <c r="G418" s="72">
        <v>236.8</v>
      </c>
      <c r="H418" s="73">
        <v>2553</v>
      </c>
      <c r="I418" s="73">
        <v>-475</v>
      </c>
      <c r="J418" s="73">
        <v>-38</v>
      </c>
      <c r="K418" s="73">
        <v>-598</v>
      </c>
      <c r="L418" s="73">
        <v>-152</v>
      </c>
      <c r="M418" s="73">
        <v>-80</v>
      </c>
      <c r="N418" s="73">
        <v>-197</v>
      </c>
      <c r="O418" s="73">
        <v>-106</v>
      </c>
      <c r="P418" s="73">
        <v>-102</v>
      </c>
      <c r="Q418" s="73">
        <v>-77</v>
      </c>
      <c r="R418" s="73">
        <v>0</v>
      </c>
      <c r="S418" s="73">
        <v>0</v>
      </c>
      <c r="T418" s="73">
        <v>0</v>
      </c>
      <c r="U418" s="73">
        <v>0</v>
      </c>
      <c r="V418" s="73">
        <v>0</v>
      </c>
      <c r="W418" s="73">
        <v>0</v>
      </c>
      <c r="X418" s="73">
        <v>0</v>
      </c>
      <c r="Y418" s="73">
        <v>0</v>
      </c>
      <c r="Z418" s="73">
        <v>3504</v>
      </c>
      <c r="AA418" s="73">
        <v>2331</v>
      </c>
      <c r="AB418" s="73">
        <v>0</v>
      </c>
      <c r="AC418" s="73">
        <v>0</v>
      </c>
      <c r="AD418" s="73">
        <v>0</v>
      </c>
      <c r="AE418" s="73">
        <v>0</v>
      </c>
      <c r="AF418" s="74">
        <f>tblData[[#This Row],[Gross Sales]]+tblData[[#This Row],[Trade Discounts]]+tblData[[#This Row],[Returns]]</f>
        <v>2040</v>
      </c>
      <c r="AG418" s="74">
        <f>tblData[[#This Row],[Material Cost]]+tblData[[#This Row],[Conversion Cost]]+tblData[[#This Row],[Inbound Freight]]</f>
        <v>-830</v>
      </c>
      <c r="AH418" s="74">
        <f>tblData[[#This Row],[Net Revenue]]+tblData[[#This Row],[COGS]]</f>
        <v>1210</v>
      </c>
      <c r="AI418" s="74">
        <f>tblData[[#This Row],[Advertising]]+tblData[[#This Row],[Promotions]]</f>
        <v>-303</v>
      </c>
      <c r="AJ418" s="74">
        <f>tblData[[#This Row],[Outbound Logistics]]+tblData[[#This Row],[Direct Selling]]</f>
        <v>-179</v>
      </c>
      <c r="AK418" s="74">
        <f>tblData[[#This Row],[Gross Profit]]+tblData[[#This Row],[AP Spend]]+tblData[[#This Row],[Cost to Serve]]</f>
        <v>728</v>
      </c>
    </row>
    <row r="419" spans="2:37" x14ac:dyDescent="0.25">
      <c r="B419" s="71" t="s">
        <v>36</v>
      </c>
      <c r="C419" s="71">
        <v>2025</v>
      </c>
      <c r="D419" s="71">
        <v>11</v>
      </c>
      <c r="E419" s="71" t="s">
        <v>37</v>
      </c>
      <c r="F419" s="71" t="s">
        <v>42</v>
      </c>
      <c r="G419" s="72">
        <v>322.60000000000002</v>
      </c>
      <c r="H419" s="73">
        <v>1897</v>
      </c>
      <c r="I419" s="73">
        <v>-353</v>
      </c>
      <c r="J419" s="73">
        <v>-28</v>
      </c>
      <c r="K419" s="73">
        <v>-592</v>
      </c>
      <c r="L419" s="73">
        <v>-150</v>
      </c>
      <c r="M419" s="73">
        <v>-79</v>
      </c>
      <c r="N419" s="73">
        <v>-38</v>
      </c>
      <c r="O419" s="73">
        <v>-21</v>
      </c>
      <c r="P419" s="73">
        <v>-76</v>
      </c>
      <c r="Q419" s="73">
        <v>-57</v>
      </c>
      <c r="R419" s="73">
        <v>0</v>
      </c>
      <c r="S419" s="73">
        <v>0</v>
      </c>
      <c r="T419" s="73">
        <v>0</v>
      </c>
      <c r="U419" s="73">
        <v>0</v>
      </c>
      <c r="V419" s="73">
        <v>0</v>
      </c>
      <c r="W419" s="73">
        <v>0</v>
      </c>
      <c r="X419" s="73">
        <v>0</v>
      </c>
      <c r="Y419" s="73">
        <v>0</v>
      </c>
      <c r="Z419" s="73">
        <v>2499</v>
      </c>
      <c r="AA419" s="73">
        <v>2709</v>
      </c>
      <c r="AB419" s="73">
        <v>0</v>
      </c>
      <c r="AC419" s="73">
        <v>0</v>
      </c>
      <c r="AD419" s="73">
        <v>0</v>
      </c>
      <c r="AE419" s="73">
        <v>0</v>
      </c>
      <c r="AF419" s="74">
        <f>tblData[[#This Row],[Gross Sales]]+tblData[[#This Row],[Trade Discounts]]+tblData[[#This Row],[Returns]]</f>
        <v>1516</v>
      </c>
      <c r="AG419" s="74">
        <f>tblData[[#This Row],[Material Cost]]+tblData[[#This Row],[Conversion Cost]]+tblData[[#This Row],[Inbound Freight]]</f>
        <v>-821</v>
      </c>
      <c r="AH419" s="74">
        <f>tblData[[#This Row],[Net Revenue]]+tblData[[#This Row],[COGS]]</f>
        <v>695</v>
      </c>
      <c r="AI419" s="74">
        <f>tblData[[#This Row],[Advertising]]+tblData[[#This Row],[Promotions]]</f>
        <v>-59</v>
      </c>
      <c r="AJ419" s="74">
        <f>tblData[[#This Row],[Outbound Logistics]]+tblData[[#This Row],[Direct Selling]]</f>
        <v>-133</v>
      </c>
      <c r="AK419" s="74">
        <f>tblData[[#This Row],[Gross Profit]]+tblData[[#This Row],[AP Spend]]+tblData[[#This Row],[Cost to Serve]]</f>
        <v>503</v>
      </c>
    </row>
    <row r="420" spans="2:37" x14ac:dyDescent="0.25">
      <c r="B420" s="71" t="s">
        <v>36</v>
      </c>
      <c r="C420" s="71">
        <v>2025</v>
      </c>
      <c r="D420" s="71">
        <v>11</v>
      </c>
      <c r="E420" s="71" t="s">
        <v>37</v>
      </c>
      <c r="F420" s="71" t="s">
        <v>43</v>
      </c>
      <c r="G420" s="72">
        <v>58.5</v>
      </c>
      <c r="H420" s="73">
        <v>1032</v>
      </c>
      <c r="I420" s="73">
        <v>-192</v>
      </c>
      <c r="J420" s="73">
        <v>-15</v>
      </c>
      <c r="K420" s="73">
        <v>-278</v>
      </c>
      <c r="L420" s="73">
        <v>-71</v>
      </c>
      <c r="M420" s="73">
        <v>-37</v>
      </c>
      <c r="N420" s="73">
        <v>-107</v>
      </c>
      <c r="O420" s="73">
        <v>-58</v>
      </c>
      <c r="P420" s="73">
        <v>-41</v>
      </c>
      <c r="Q420" s="73">
        <v>-31</v>
      </c>
      <c r="R420" s="73">
        <v>0</v>
      </c>
      <c r="S420" s="73">
        <v>0</v>
      </c>
      <c r="T420" s="73">
        <v>0</v>
      </c>
      <c r="U420" s="73">
        <v>0</v>
      </c>
      <c r="V420" s="73">
        <v>0</v>
      </c>
      <c r="W420" s="73">
        <v>0</v>
      </c>
      <c r="X420" s="73">
        <v>0</v>
      </c>
      <c r="Y420" s="73">
        <v>0</v>
      </c>
      <c r="Z420" s="73">
        <v>1434</v>
      </c>
      <c r="AA420" s="73">
        <v>1464</v>
      </c>
      <c r="AB420" s="73">
        <v>0</v>
      </c>
      <c r="AC420" s="73">
        <v>0</v>
      </c>
      <c r="AD420" s="73">
        <v>0</v>
      </c>
      <c r="AE420" s="73">
        <v>0</v>
      </c>
      <c r="AF420" s="74">
        <f>tblData[[#This Row],[Gross Sales]]+tblData[[#This Row],[Trade Discounts]]+tblData[[#This Row],[Returns]]</f>
        <v>825</v>
      </c>
      <c r="AG420" s="74">
        <f>tblData[[#This Row],[Material Cost]]+tblData[[#This Row],[Conversion Cost]]+tblData[[#This Row],[Inbound Freight]]</f>
        <v>-386</v>
      </c>
      <c r="AH420" s="74">
        <f>tblData[[#This Row],[Net Revenue]]+tblData[[#This Row],[COGS]]</f>
        <v>439</v>
      </c>
      <c r="AI420" s="74">
        <f>tblData[[#This Row],[Advertising]]+tblData[[#This Row],[Promotions]]</f>
        <v>-165</v>
      </c>
      <c r="AJ420" s="74">
        <f>tblData[[#This Row],[Outbound Logistics]]+tblData[[#This Row],[Direct Selling]]</f>
        <v>-72</v>
      </c>
      <c r="AK420" s="74">
        <f>tblData[[#This Row],[Gross Profit]]+tblData[[#This Row],[AP Spend]]+tblData[[#This Row],[Cost to Serve]]</f>
        <v>202</v>
      </c>
    </row>
    <row r="421" spans="2:37" x14ac:dyDescent="0.25">
      <c r="B421" s="71" t="s">
        <v>36</v>
      </c>
      <c r="C421" s="71">
        <v>2025</v>
      </c>
      <c r="D421" s="71">
        <v>11</v>
      </c>
      <c r="E421" s="71" t="s">
        <v>44</v>
      </c>
      <c r="F421" s="71" t="s">
        <v>38</v>
      </c>
      <c r="G421" s="72">
        <v>287.7</v>
      </c>
      <c r="H421" s="73">
        <v>3948</v>
      </c>
      <c r="I421" s="73">
        <v>-616</v>
      </c>
      <c r="J421" s="73">
        <v>-47</v>
      </c>
      <c r="K421" s="73">
        <v>-840</v>
      </c>
      <c r="L421" s="73">
        <v>-213</v>
      </c>
      <c r="M421" s="73">
        <v>-113</v>
      </c>
      <c r="N421" s="73">
        <v>-258</v>
      </c>
      <c r="O421" s="73">
        <v>-139</v>
      </c>
      <c r="P421" s="73">
        <v>-158</v>
      </c>
      <c r="Q421" s="73">
        <v>-118</v>
      </c>
      <c r="R421" s="73">
        <v>0</v>
      </c>
      <c r="S421" s="73">
        <v>0</v>
      </c>
      <c r="T421" s="73">
        <v>0</v>
      </c>
      <c r="U421" s="73">
        <v>0</v>
      </c>
      <c r="V421" s="73">
        <v>0</v>
      </c>
      <c r="W421" s="73">
        <v>0</v>
      </c>
      <c r="X421" s="73">
        <v>0</v>
      </c>
      <c r="Y421" s="73">
        <v>0</v>
      </c>
      <c r="Z421" s="73">
        <v>5207</v>
      </c>
      <c r="AA421" s="73">
        <v>3511</v>
      </c>
      <c r="AB421" s="73">
        <v>0</v>
      </c>
      <c r="AC421" s="73">
        <v>0</v>
      </c>
      <c r="AD421" s="73">
        <v>0</v>
      </c>
      <c r="AE421" s="73">
        <v>0</v>
      </c>
      <c r="AF421" s="74">
        <f>tblData[[#This Row],[Gross Sales]]+tblData[[#This Row],[Trade Discounts]]+tblData[[#This Row],[Returns]]</f>
        <v>3285</v>
      </c>
      <c r="AG421" s="74">
        <f>tblData[[#This Row],[Material Cost]]+tblData[[#This Row],[Conversion Cost]]+tblData[[#This Row],[Inbound Freight]]</f>
        <v>-1166</v>
      </c>
      <c r="AH421" s="74">
        <f>tblData[[#This Row],[Net Revenue]]+tblData[[#This Row],[COGS]]</f>
        <v>2119</v>
      </c>
      <c r="AI421" s="74">
        <f>tblData[[#This Row],[Advertising]]+tblData[[#This Row],[Promotions]]</f>
        <v>-397</v>
      </c>
      <c r="AJ421" s="74">
        <f>tblData[[#This Row],[Outbound Logistics]]+tblData[[#This Row],[Direct Selling]]</f>
        <v>-276</v>
      </c>
      <c r="AK421" s="74">
        <f>tblData[[#This Row],[Gross Profit]]+tblData[[#This Row],[AP Spend]]+tblData[[#This Row],[Cost to Serve]]</f>
        <v>1446</v>
      </c>
    </row>
    <row r="422" spans="2:37" x14ac:dyDescent="0.25">
      <c r="B422" s="71" t="s">
        <v>36</v>
      </c>
      <c r="C422" s="71">
        <v>2025</v>
      </c>
      <c r="D422" s="71">
        <v>11</v>
      </c>
      <c r="E422" s="71" t="s">
        <v>44</v>
      </c>
      <c r="F422" s="71" t="s">
        <v>39</v>
      </c>
      <c r="G422" s="72">
        <v>390.1</v>
      </c>
      <c r="H422" s="73">
        <v>3441</v>
      </c>
      <c r="I422" s="73">
        <v>-537</v>
      </c>
      <c r="J422" s="73">
        <v>-41</v>
      </c>
      <c r="K422" s="73">
        <v>-878</v>
      </c>
      <c r="L422" s="73">
        <v>-223</v>
      </c>
      <c r="M422" s="73">
        <v>-118</v>
      </c>
      <c r="N422" s="73">
        <v>-147</v>
      </c>
      <c r="O422" s="73">
        <v>-79</v>
      </c>
      <c r="P422" s="73">
        <v>-138</v>
      </c>
      <c r="Q422" s="73">
        <v>-103</v>
      </c>
      <c r="R422" s="73">
        <v>0</v>
      </c>
      <c r="S422" s="73">
        <v>0</v>
      </c>
      <c r="T422" s="73">
        <v>0</v>
      </c>
      <c r="U422" s="73">
        <v>0</v>
      </c>
      <c r="V422" s="73">
        <v>0</v>
      </c>
      <c r="W422" s="73">
        <v>0</v>
      </c>
      <c r="X422" s="73">
        <v>0</v>
      </c>
      <c r="Y422" s="73">
        <v>0</v>
      </c>
      <c r="Z422" s="73">
        <v>4464</v>
      </c>
      <c r="AA422" s="73">
        <v>3041</v>
      </c>
      <c r="AB422" s="73">
        <v>0</v>
      </c>
      <c r="AC422" s="73">
        <v>0</v>
      </c>
      <c r="AD422" s="73">
        <v>0</v>
      </c>
      <c r="AE422" s="73">
        <v>0</v>
      </c>
      <c r="AF422" s="74">
        <f>tblData[[#This Row],[Gross Sales]]+tblData[[#This Row],[Trade Discounts]]+tblData[[#This Row],[Returns]]</f>
        <v>2863</v>
      </c>
      <c r="AG422" s="74">
        <f>tblData[[#This Row],[Material Cost]]+tblData[[#This Row],[Conversion Cost]]+tblData[[#This Row],[Inbound Freight]]</f>
        <v>-1219</v>
      </c>
      <c r="AH422" s="74">
        <f>tblData[[#This Row],[Net Revenue]]+tblData[[#This Row],[COGS]]</f>
        <v>1644</v>
      </c>
      <c r="AI422" s="74">
        <f>tblData[[#This Row],[Advertising]]+tblData[[#This Row],[Promotions]]</f>
        <v>-226</v>
      </c>
      <c r="AJ422" s="74">
        <f>tblData[[#This Row],[Outbound Logistics]]+tblData[[#This Row],[Direct Selling]]</f>
        <v>-241</v>
      </c>
      <c r="AK422" s="74">
        <f>tblData[[#This Row],[Gross Profit]]+tblData[[#This Row],[AP Spend]]+tblData[[#This Row],[Cost to Serve]]</f>
        <v>1177</v>
      </c>
    </row>
    <row r="423" spans="2:37" x14ac:dyDescent="0.25">
      <c r="B423" s="71" t="s">
        <v>36</v>
      </c>
      <c r="C423" s="71">
        <v>2025</v>
      </c>
      <c r="D423" s="71">
        <v>11</v>
      </c>
      <c r="E423" s="71" t="s">
        <v>44</v>
      </c>
      <c r="F423" s="71" t="s">
        <v>40</v>
      </c>
      <c r="G423" s="72">
        <v>381.6</v>
      </c>
      <c r="H423" s="73">
        <v>2617</v>
      </c>
      <c r="I423" s="73">
        <v>-408</v>
      </c>
      <c r="J423" s="73">
        <v>-31</v>
      </c>
      <c r="K423" s="73">
        <v>-743</v>
      </c>
      <c r="L423" s="73">
        <v>-188</v>
      </c>
      <c r="M423" s="73">
        <v>-99</v>
      </c>
      <c r="N423" s="73">
        <v>-74</v>
      </c>
      <c r="O423" s="73">
        <v>-40</v>
      </c>
      <c r="P423" s="73">
        <v>-105</v>
      </c>
      <c r="Q423" s="73">
        <v>-79</v>
      </c>
      <c r="R423" s="73">
        <v>0</v>
      </c>
      <c r="S423" s="73">
        <v>0</v>
      </c>
      <c r="T423" s="73">
        <v>0</v>
      </c>
      <c r="U423" s="73">
        <v>0</v>
      </c>
      <c r="V423" s="73">
        <v>0</v>
      </c>
      <c r="W423" s="73">
        <v>0</v>
      </c>
      <c r="X423" s="73">
        <v>0</v>
      </c>
      <c r="Y423" s="73">
        <v>0</v>
      </c>
      <c r="Z423" s="73">
        <v>3384</v>
      </c>
      <c r="AA423" s="73">
        <v>2402</v>
      </c>
      <c r="AB423" s="73">
        <v>0</v>
      </c>
      <c r="AC423" s="73">
        <v>0</v>
      </c>
      <c r="AD423" s="73">
        <v>0</v>
      </c>
      <c r="AE423" s="73">
        <v>0</v>
      </c>
      <c r="AF423" s="74">
        <f>tblData[[#This Row],[Gross Sales]]+tblData[[#This Row],[Trade Discounts]]+tblData[[#This Row],[Returns]]</f>
        <v>2178</v>
      </c>
      <c r="AG423" s="74">
        <f>tblData[[#This Row],[Material Cost]]+tblData[[#This Row],[Conversion Cost]]+tblData[[#This Row],[Inbound Freight]]</f>
        <v>-1030</v>
      </c>
      <c r="AH423" s="74">
        <f>tblData[[#This Row],[Net Revenue]]+tblData[[#This Row],[COGS]]</f>
        <v>1148</v>
      </c>
      <c r="AI423" s="74">
        <f>tblData[[#This Row],[Advertising]]+tblData[[#This Row],[Promotions]]</f>
        <v>-114</v>
      </c>
      <c r="AJ423" s="74">
        <f>tblData[[#This Row],[Outbound Logistics]]+tblData[[#This Row],[Direct Selling]]</f>
        <v>-184</v>
      </c>
      <c r="AK423" s="74">
        <f>tblData[[#This Row],[Gross Profit]]+tblData[[#This Row],[AP Spend]]+tblData[[#This Row],[Cost to Serve]]</f>
        <v>850</v>
      </c>
    </row>
    <row r="424" spans="2:37" x14ac:dyDescent="0.25">
      <c r="B424" s="71" t="s">
        <v>36</v>
      </c>
      <c r="C424" s="71">
        <v>2025</v>
      </c>
      <c r="D424" s="71">
        <v>11</v>
      </c>
      <c r="E424" s="71" t="s">
        <v>44</v>
      </c>
      <c r="F424" s="71" t="s">
        <v>41</v>
      </c>
      <c r="G424" s="72">
        <v>193.4</v>
      </c>
      <c r="H424" s="73">
        <v>2085</v>
      </c>
      <c r="I424" s="73">
        <v>-325</v>
      </c>
      <c r="J424" s="73">
        <v>-25</v>
      </c>
      <c r="K424" s="73">
        <v>-488</v>
      </c>
      <c r="L424" s="73">
        <v>-124</v>
      </c>
      <c r="M424" s="73">
        <v>-65</v>
      </c>
      <c r="N424" s="73">
        <v>-157</v>
      </c>
      <c r="O424" s="73">
        <v>-85</v>
      </c>
      <c r="P424" s="73">
        <v>-83</v>
      </c>
      <c r="Q424" s="73">
        <v>-63</v>
      </c>
      <c r="R424" s="73">
        <v>0</v>
      </c>
      <c r="S424" s="73">
        <v>0</v>
      </c>
      <c r="T424" s="73">
        <v>0</v>
      </c>
      <c r="U424" s="73">
        <v>0</v>
      </c>
      <c r="V424" s="73">
        <v>0</v>
      </c>
      <c r="W424" s="73">
        <v>0</v>
      </c>
      <c r="X424" s="73">
        <v>0</v>
      </c>
      <c r="Y424" s="73">
        <v>0</v>
      </c>
      <c r="Z424" s="73">
        <v>2671</v>
      </c>
      <c r="AA424" s="73">
        <v>1877</v>
      </c>
      <c r="AB424" s="73">
        <v>0</v>
      </c>
      <c r="AC424" s="73">
        <v>0</v>
      </c>
      <c r="AD424" s="73">
        <v>0</v>
      </c>
      <c r="AE424" s="73">
        <v>0</v>
      </c>
      <c r="AF424" s="74">
        <f>tblData[[#This Row],[Gross Sales]]+tblData[[#This Row],[Trade Discounts]]+tblData[[#This Row],[Returns]]</f>
        <v>1735</v>
      </c>
      <c r="AG424" s="74">
        <f>tblData[[#This Row],[Material Cost]]+tblData[[#This Row],[Conversion Cost]]+tblData[[#This Row],[Inbound Freight]]</f>
        <v>-677</v>
      </c>
      <c r="AH424" s="74">
        <f>tblData[[#This Row],[Net Revenue]]+tblData[[#This Row],[COGS]]</f>
        <v>1058</v>
      </c>
      <c r="AI424" s="74">
        <f>tblData[[#This Row],[Advertising]]+tblData[[#This Row],[Promotions]]</f>
        <v>-242</v>
      </c>
      <c r="AJ424" s="74">
        <f>tblData[[#This Row],[Outbound Logistics]]+tblData[[#This Row],[Direct Selling]]</f>
        <v>-146</v>
      </c>
      <c r="AK424" s="74">
        <f>tblData[[#This Row],[Gross Profit]]+tblData[[#This Row],[AP Spend]]+tblData[[#This Row],[Cost to Serve]]</f>
        <v>670</v>
      </c>
    </row>
    <row r="425" spans="2:37" x14ac:dyDescent="0.25">
      <c r="B425" s="71" t="s">
        <v>36</v>
      </c>
      <c r="C425" s="71">
        <v>2025</v>
      </c>
      <c r="D425" s="71">
        <v>11</v>
      </c>
      <c r="E425" s="71" t="s">
        <v>44</v>
      </c>
      <c r="F425" s="71" t="s">
        <v>42</v>
      </c>
      <c r="G425" s="72">
        <v>255.7</v>
      </c>
      <c r="H425" s="73">
        <v>1504</v>
      </c>
      <c r="I425" s="73">
        <v>-235</v>
      </c>
      <c r="J425" s="73">
        <v>-18</v>
      </c>
      <c r="K425" s="73">
        <v>-469</v>
      </c>
      <c r="L425" s="73">
        <v>-119</v>
      </c>
      <c r="M425" s="73">
        <v>-63</v>
      </c>
      <c r="N425" s="73">
        <v>-31</v>
      </c>
      <c r="O425" s="73">
        <v>-17</v>
      </c>
      <c r="P425" s="73">
        <v>-60</v>
      </c>
      <c r="Q425" s="73">
        <v>-45</v>
      </c>
      <c r="R425" s="73">
        <v>0</v>
      </c>
      <c r="S425" s="73">
        <v>0</v>
      </c>
      <c r="T425" s="73">
        <v>0</v>
      </c>
      <c r="U425" s="73">
        <v>0</v>
      </c>
      <c r="V425" s="73">
        <v>0</v>
      </c>
      <c r="W425" s="73">
        <v>0</v>
      </c>
      <c r="X425" s="73">
        <v>0</v>
      </c>
      <c r="Y425" s="73">
        <v>0</v>
      </c>
      <c r="Z425" s="73">
        <v>1888</v>
      </c>
      <c r="AA425" s="73">
        <v>2162</v>
      </c>
      <c r="AB425" s="73">
        <v>0</v>
      </c>
      <c r="AC425" s="73">
        <v>0</v>
      </c>
      <c r="AD425" s="73">
        <v>0</v>
      </c>
      <c r="AE425" s="73">
        <v>0</v>
      </c>
      <c r="AF425" s="74">
        <f>tblData[[#This Row],[Gross Sales]]+tblData[[#This Row],[Trade Discounts]]+tblData[[#This Row],[Returns]]</f>
        <v>1251</v>
      </c>
      <c r="AG425" s="74">
        <f>tblData[[#This Row],[Material Cost]]+tblData[[#This Row],[Conversion Cost]]+tblData[[#This Row],[Inbound Freight]]</f>
        <v>-651</v>
      </c>
      <c r="AH425" s="74">
        <f>tblData[[#This Row],[Net Revenue]]+tblData[[#This Row],[COGS]]</f>
        <v>600</v>
      </c>
      <c r="AI425" s="74">
        <f>tblData[[#This Row],[Advertising]]+tblData[[#This Row],[Promotions]]</f>
        <v>-48</v>
      </c>
      <c r="AJ425" s="74">
        <f>tblData[[#This Row],[Outbound Logistics]]+tblData[[#This Row],[Direct Selling]]</f>
        <v>-105</v>
      </c>
      <c r="AK425" s="74">
        <f>tblData[[#This Row],[Gross Profit]]+tblData[[#This Row],[AP Spend]]+tblData[[#This Row],[Cost to Serve]]</f>
        <v>447</v>
      </c>
    </row>
    <row r="426" spans="2:37" x14ac:dyDescent="0.25">
      <c r="B426" s="71" t="s">
        <v>36</v>
      </c>
      <c r="C426" s="71">
        <v>2025</v>
      </c>
      <c r="D426" s="71">
        <v>11</v>
      </c>
      <c r="E426" s="71" t="s">
        <v>44</v>
      </c>
      <c r="F426" s="71" t="s">
        <v>43</v>
      </c>
      <c r="G426" s="72">
        <v>48.3</v>
      </c>
      <c r="H426" s="73">
        <v>852</v>
      </c>
      <c r="I426" s="73">
        <v>-133</v>
      </c>
      <c r="J426" s="73">
        <v>-10</v>
      </c>
      <c r="K426" s="73">
        <v>-230</v>
      </c>
      <c r="L426" s="73">
        <v>-58</v>
      </c>
      <c r="M426" s="73">
        <v>-31</v>
      </c>
      <c r="N426" s="73">
        <v>-86</v>
      </c>
      <c r="O426" s="73">
        <v>-46</v>
      </c>
      <c r="P426" s="73">
        <v>-34</v>
      </c>
      <c r="Q426" s="73">
        <v>-26</v>
      </c>
      <c r="R426" s="73">
        <v>0</v>
      </c>
      <c r="S426" s="73">
        <v>0</v>
      </c>
      <c r="T426" s="73">
        <v>0</v>
      </c>
      <c r="U426" s="73">
        <v>0</v>
      </c>
      <c r="V426" s="73">
        <v>0</v>
      </c>
      <c r="W426" s="73">
        <v>0</v>
      </c>
      <c r="X426" s="73">
        <v>0</v>
      </c>
      <c r="Y426" s="73">
        <v>0</v>
      </c>
      <c r="Z426" s="73">
        <v>1116</v>
      </c>
      <c r="AA426" s="73">
        <v>1204</v>
      </c>
      <c r="AB426" s="73">
        <v>0</v>
      </c>
      <c r="AC426" s="73">
        <v>0</v>
      </c>
      <c r="AD426" s="73">
        <v>0</v>
      </c>
      <c r="AE426" s="73">
        <v>0</v>
      </c>
      <c r="AF426" s="74">
        <f>tblData[[#This Row],[Gross Sales]]+tblData[[#This Row],[Trade Discounts]]+tblData[[#This Row],[Returns]]</f>
        <v>709</v>
      </c>
      <c r="AG426" s="74">
        <f>tblData[[#This Row],[Material Cost]]+tblData[[#This Row],[Conversion Cost]]+tblData[[#This Row],[Inbound Freight]]</f>
        <v>-319</v>
      </c>
      <c r="AH426" s="74">
        <f>tblData[[#This Row],[Net Revenue]]+tblData[[#This Row],[COGS]]</f>
        <v>390</v>
      </c>
      <c r="AI426" s="74">
        <f>tblData[[#This Row],[Advertising]]+tblData[[#This Row],[Promotions]]</f>
        <v>-132</v>
      </c>
      <c r="AJ426" s="74">
        <f>tblData[[#This Row],[Outbound Logistics]]+tblData[[#This Row],[Direct Selling]]</f>
        <v>-60</v>
      </c>
      <c r="AK426" s="74">
        <f>tblData[[#This Row],[Gross Profit]]+tblData[[#This Row],[AP Spend]]+tblData[[#This Row],[Cost to Serve]]</f>
        <v>198</v>
      </c>
    </row>
    <row r="427" spans="2:37" x14ac:dyDescent="0.25">
      <c r="B427" s="71" t="s">
        <v>36</v>
      </c>
      <c r="C427" s="71">
        <v>2025</v>
      </c>
      <c r="D427" s="71">
        <v>11</v>
      </c>
      <c r="E427" s="71" t="s">
        <v>45</v>
      </c>
      <c r="F427" s="71" t="s">
        <v>38</v>
      </c>
      <c r="G427" s="72">
        <v>169.5</v>
      </c>
      <c r="H427" s="73">
        <v>2326</v>
      </c>
      <c r="I427" s="73">
        <v>-502</v>
      </c>
      <c r="J427" s="73">
        <v>-23</v>
      </c>
      <c r="K427" s="73">
        <v>-495</v>
      </c>
      <c r="L427" s="73">
        <v>-126</v>
      </c>
      <c r="M427" s="73">
        <v>-66</v>
      </c>
      <c r="N427" s="73">
        <v>-150</v>
      </c>
      <c r="O427" s="73">
        <v>-81</v>
      </c>
      <c r="P427" s="73">
        <v>-81</v>
      </c>
      <c r="Q427" s="73">
        <v>-47</v>
      </c>
      <c r="R427" s="73">
        <v>0</v>
      </c>
      <c r="S427" s="73">
        <v>0</v>
      </c>
      <c r="T427" s="73">
        <v>0</v>
      </c>
      <c r="U427" s="73">
        <v>0</v>
      </c>
      <c r="V427" s="73">
        <v>0</v>
      </c>
      <c r="W427" s="73">
        <v>0</v>
      </c>
      <c r="X427" s="73">
        <v>0</v>
      </c>
      <c r="Y427" s="73">
        <v>0</v>
      </c>
      <c r="Z427" s="73">
        <v>2534</v>
      </c>
      <c r="AA427" s="73">
        <v>2041</v>
      </c>
      <c r="AB427" s="73">
        <v>0</v>
      </c>
      <c r="AC427" s="73">
        <v>0</v>
      </c>
      <c r="AD427" s="73">
        <v>0</v>
      </c>
      <c r="AE427" s="73">
        <v>0</v>
      </c>
      <c r="AF427" s="74">
        <f>tblData[[#This Row],[Gross Sales]]+tblData[[#This Row],[Trade Discounts]]+tblData[[#This Row],[Returns]]</f>
        <v>1801</v>
      </c>
      <c r="AG427" s="74">
        <f>tblData[[#This Row],[Material Cost]]+tblData[[#This Row],[Conversion Cost]]+tblData[[#This Row],[Inbound Freight]]</f>
        <v>-687</v>
      </c>
      <c r="AH427" s="74">
        <f>tblData[[#This Row],[Net Revenue]]+tblData[[#This Row],[COGS]]</f>
        <v>1114</v>
      </c>
      <c r="AI427" s="74">
        <f>tblData[[#This Row],[Advertising]]+tblData[[#This Row],[Promotions]]</f>
        <v>-231</v>
      </c>
      <c r="AJ427" s="74">
        <f>tblData[[#This Row],[Outbound Logistics]]+tblData[[#This Row],[Direct Selling]]</f>
        <v>-128</v>
      </c>
      <c r="AK427" s="74">
        <f>tblData[[#This Row],[Gross Profit]]+tblData[[#This Row],[AP Spend]]+tblData[[#This Row],[Cost to Serve]]</f>
        <v>755</v>
      </c>
    </row>
    <row r="428" spans="2:37" x14ac:dyDescent="0.25">
      <c r="B428" s="71" t="s">
        <v>36</v>
      </c>
      <c r="C428" s="71">
        <v>2025</v>
      </c>
      <c r="D428" s="71">
        <v>11</v>
      </c>
      <c r="E428" s="71" t="s">
        <v>45</v>
      </c>
      <c r="F428" s="71" t="s">
        <v>39</v>
      </c>
      <c r="G428" s="72">
        <v>239.1</v>
      </c>
      <c r="H428" s="73">
        <v>2108</v>
      </c>
      <c r="I428" s="73">
        <v>-455</v>
      </c>
      <c r="J428" s="73">
        <v>-21</v>
      </c>
      <c r="K428" s="73">
        <v>-538</v>
      </c>
      <c r="L428" s="73">
        <v>-137</v>
      </c>
      <c r="M428" s="73">
        <v>-72</v>
      </c>
      <c r="N428" s="73">
        <v>-86</v>
      </c>
      <c r="O428" s="73">
        <v>-46</v>
      </c>
      <c r="P428" s="73">
        <v>-74</v>
      </c>
      <c r="Q428" s="73">
        <v>-42</v>
      </c>
      <c r="R428" s="73">
        <v>0</v>
      </c>
      <c r="S428" s="73">
        <v>0</v>
      </c>
      <c r="T428" s="73">
        <v>0</v>
      </c>
      <c r="U428" s="73">
        <v>0</v>
      </c>
      <c r="V428" s="73">
        <v>0</v>
      </c>
      <c r="W428" s="73">
        <v>0</v>
      </c>
      <c r="X428" s="73">
        <v>0</v>
      </c>
      <c r="Y428" s="73">
        <v>0</v>
      </c>
      <c r="Z428" s="73">
        <v>2232</v>
      </c>
      <c r="AA428" s="73">
        <v>1816</v>
      </c>
      <c r="AB428" s="73">
        <v>0</v>
      </c>
      <c r="AC428" s="73">
        <v>0</v>
      </c>
      <c r="AD428" s="73">
        <v>0</v>
      </c>
      <c r="AE428" s="73">
        <v>0</v>
      </c>
      <c r="AF428" s="74">
        <f>tblData[[#This Row],[Gross Sales]]+tblData[[#This Row],[Trade Discounts]]+tblData[[#This Row],[Returns]]</f>
        <v>1632</v>
      </c>
      <c r="AG428" s="74">
        <f>tblData[[#This Row],[Material Cost]]+tblData[[#This Row],[Conversion Cost]]+tblData[[#This Row],[Inbound Freight]]</f>
        <v>-747</v>
      </c>
      <c r="AH428" s="74">
        <f>tblData[[#This Row],[Net Revenue]]+tblData[[#This Row],[COGS]]</f>
        <v>885</v>
      </c>
      <c r="AI428" s="74">
        <f>tblData[[#This Row],[Advertising]]+tblData[[#This Row],[Promotions]]</f>
        <v>-132</v>
      </c>
      <c r="AJ428" s="74">
        <f>tblData[[#This Row],[Outbound Logistics]]+tblData[[#This Row],[Direct Selling]]</f>
        <v>-116</v>
      </c>
      <c r="AK428" s="74">
        <f>tblData[[#This Row],[Gross Profit]]+tblData[[#This Row],[AP Spend]]+tblData[[#This Row],[Cost to Serve]]</f>
        <v>637</v>
      </c>
    </row>
    <row r="429" spans="2:37" x14ac:dyDescent="0.25">
      <c r="B429" s="71" t="s">
        <v>36</v>
      </c>
      <c r="C429" s="71">
        <v>2025</v>
      </c>
      <c r="D429" s="71">
        <v>11</v>
      </c>
      <c r="E429" s="71" t="s">
        <v>45</v>
      </c>
      <c r="F429" s="71" t="s">
        <v>40</v>
      </c>
      <c r="G429" s="72">
        <v>213.8</v>
      </c>
      <c r="H429" s="73">
        <v>1467</v>
      </c>
      <c r="I429" s="73">
        <v>-317</v>
      </c>
      <c r="J429" s="73">
        <v>-15</v>
      </c>
      <c r="K429" s="73">
        <v>-416</v>
      </c>
      <c r="L429" s="73">
        <v>-106</v>
      </c>
      <c r="M429" s="73">
        <v>-56</v>
      </c>
      <c r="N429" s="73">
        <v>-43</v>
      </c>
      <c r="O429" s="73">
        <v>-23</v>
      </c>
      <c r="P429" s="73">
        <v>-51</v>
      </c>
      <c r="Q429" s="73">
        <v>-29</v>
      </c>
      <c r="R429" s="73">
        <v>0</v>
      </c>
      <c r="S429" s="73">
        <v>0</v>
      </c>
      <c r="T429" s="73">
        <v>0</v>
      </c>
      <c r="U429" s="73">
        <v>0</v>
      </c>
      <c r="V429" s="73">
        <v>0</v>
      </c>
      <c r="W429" s="73">
        <v>0</v>
      </c>
      <c r="X429" s="73">
        <v>0</v>
      </c>
      <c r="Y429" s="73">
        <v>0</v>
      </c>
      <c r="Z429" s="73">
        <v>1622</v>
      </c>
      <c r="AA429" s="73">
        <v>1375</v>
      </c>
      <c r="AB429" s="73">
        <v>0</v>
      </c>
      <c r="AC429" s="73">
        <v>0</v>
      </c>
      <c r="AD429" s="73">
        <v>0</v>
      </c>
      <c r="AE429" s="73">
        <v>0</v>
      </c>
      <c r="AF429" s="74">
        <f>tblData[[#This Row],[Gross Sales]]+tblData[[#This Row],[Trade Discounts]]+tblData[[#This Row],[Returns]]</f>
        <v>1135</v>
      </c>
      <c r="AG429" s="74">
        <f>tblData[[#This Row],[Material Cost]]+tblData[[#This Row],[Conversion Cost]]+tblData[[#This Row],[Inbound Freight]]</f>
        <v>-578</v>
      </c>
      <c r="AH429" s="74">
        <f>tblData[[#This Row],[Net Revenue]]+tblData[[#This Row],[COGS]]</f>
        <v>557</v>
      </c>
      <c r="AI429" s="74">
        <f>tblData[[#This Row],[Advertising]]+tblData[[#This Row],[Promotions]]</f>
        <v>-66</v>
      </c>
      <c r="AJ429" s="74">
        <f>tblData[[#This Row],[Outbound Logistics]]+tblData[[#This Row],[Direct Selling]]</f>
        <v>-80</v>
      </c>
      <c r="AK429" s="74">
        <f>tblData[[#This Row],[Gross Profit]]+tblData[[#This Row],[AP Spend]]+tblData[[#This Row],[Cost to Serve]]</f>
        <v>411</v>
      </c>
    </row>
    <row r="430" spans="2:37" x14ac:dyDescent="0.25">
      <c r="B430" s="71" t="s">
        <v>36</v>
      </c>
      <c r="C430" s="71">
        <v>2025</v>
      </c>
      <c r="D430" s="71">
        <v>11</v>
      </c>
      <c r="E430" s="71" t="s">
        <v>45</v>
      </c>
      <c r="F430" s="71" t="s">
        <v>41</v>
      </c>
      <c r="G430" s="72">
        <v>109</v>
      </c>
      <c r="H430" s="73">
        <v>1175</v>
      </c>
      <c r="I430" s="73">
        <v>-254</v>
      </c>
      <c r="J430" s="73">
        <v>-12</v>
      </c>
      <c r="K430" s="73">
        <v>-275</v>
      </c>
      <c r="L430" s="73">
        <v>-70</v>
      </c>
      <c r="M430" s="73">
        <v>-37</v>
      </c>
      <c r="N430" s="73">
        <v>-92</v>
      </c>
      <c r="O430" s="73">
        <v>-49</v>
      </c>
      <c r="P430" s="73">
        <v>-41</v>
      </c>
      <c r="Q430" s="73">
        <v>-23</v>
      </c>
      <c r="R430" s="73">
        <v>0</v>
      </c>
      <c r="S430" s="73">
        <v>0</v>
      </c>
      <c r="T430" s="73">
        <v>0</v>
      </c>
      <c r="U430" s="73">
        <v>0</v>
      </c>
      <c r="V430" s="73">
        <v>0</v>
      </c>
      <c r="W430" s="73">
        <v>0</v>
      </c>
      <c r="X430" s="73">
        <v>0</v>
      </c>
      <c r="Y430" s="73">
        <v>0</v>
      </c>
      <c r="Z430" s="73">
        <v>1288</v>
      </c>
      <c r="AA430" s="73">
        <v>1081</v>
      </c>
      <c r="AB430" s="73">
        <v>0</v>
      </c>
      <c r="AC430" s="73">
        <v>0</v>
      </c>
      <c r="AD430" s="73">
        <v>0</v>
      </c>
      <c r="AE430" s="73">
        <v>0</v>
      </c>
      <c r="AF430" s="74">
        <f>tblData[[#This Row],[Gross Sales]]+tblData[[#This Row],[Trade Discounts]]+tblData[[#This Row],[Returns]]</f>
        <v>909</v>
      </c>
      <c r="AG430" s="74">
        <f>tblData[[#This Row],[Material Cost]]+tblData[[#This Row],[Conversion Cost]]+tblData[[#This Row],[Inbound Freight]]</f>
        <v>-382</v>
      </c>
      <c r="AH430" s="74">
        <f>tblData[[#This Row],[Net Revenue]]+tblData[[#This Row],[COGS]]</f>
        <v>527</v>
      </c>
      <c r="AI430" s="74">
        <f>tblData[[#This Row],[Advertising]]+tblData[[#This Row],[Promotions]]</f>
        <v>-141</v>
      </c>
      <c r="AJ430" s="74">
        <f>tblData[[#This Row],[Outbound Logistics]]+tblData[[#This Row],[Direct Selling]]</f>
        <v>-64</v>
      </c>
      <c r="AK430" s="74">
        <f>tblData[[#This Row],[Gross Profit]]+tblData[[#This Row],[AP Spend]]+tblData[[#This Row],[Cost to Serve]]</f>
        <v>322</v>
      </c>
    </row>
    <row r="431" spans="2:37" x14ac:dyDescent="0.25">
      <c r="B431" s="71" t="s">
        <v>36</v>
      </c>
      <c r="C431" s="71">
        <v>2025</v>
      </c>
      <c r="D431" s="71">
        <v>11</v>
      </c>
      <c r="E431" s="71" t="s">
        <v>45</v>
      </c>
      <c r="F431" s="71" t="s">
        <v>42</v>
      </c>
      <c r="G431" s="72">
        <v>148.9</v>
      </c>
      <c r="H431" s="73">
        <v>876</v>
      </c>
      <c r="I431" s="73">
        <v>-189</v>
      </c>
      <c r="J431" s="73">
        <v>-9</v>
      </c>
      <c r="K431" s="73">
        <v>-273</v>
      </c>
      <c r="L431" s="73">
        <v>-69</v>
      </c>
      <c r="M431" s="73">
        <v>-37</v>
      </c>
      <c r="N431" s="73">
        <v>-18</v>
      </c>
      <c r="O431" s="73">
        <v>-10</v>
      </c>
      <c r="P431" s="73">
        <v>-31</v>
      </c>
      <c r="Q431" s="73">
        <v>-18</v>
      </c>
      <c r="R431" s="73">
        <v>0</v>
      </c>
      <c r="S431" s="73">
        <v>0</v>
      </c>
      <c r="T431" s="73">
        <v>0</v>
      </c>
      <c r="U431" s="73">
        <v>0</v>
      </c>
      <c r="V431" s="73">
        <v>0</v>
      </c>
      <c r="W431" s="73">
        <v>0</v>
      </c>
      <c r="X431" s="73">
        <v>0</v>
      </c>
      <c r="Y431" s="73">
        <v>0</v>
      </c>
      <c r="Z431" s="73">
        <v>930</v>
      </c>
      <c r="AA431" s="73">
        <v>1273</v>
      </c>
      <c r="AB431" s="73">
        <v>0</v>
      </c>
      <c r="AC431" s="73">
        <v>0</v>
      </c>
      <c r="AD431" s="73">
        <v>0</v>
      </c>
      <c r="AE431" s="73">
        <v>0</v>
      </c>
      <c r="AF431" s="74">
        <f>tblData[[#This Row],[Gross Sales]]+tblData[[#This Row],[Trade Discounts]]+tblData[[#This Row],[Returns]]</f>
        <v>678</v>
      </c>
      <c r="AG431" s="74">
        <f>tblData[[#This Row],[Material Cost]]+tblData[[#This Row],[Conversion Cost]]+tblData[[#This Row],[Inbound Freight]]</f>
        <v>-379</v>
      </c>
      <c r="AH431" s="74">
        <f>tblData[[#This Row],[Net Revenue]]+tblData[[#This Row],[COGS]]</f>
        <v>299</v>
      </c>
      <c r="AI431" s="74">
        <f>tblData[[#This Row],[Advertising]]+tblData[[#This Row],[Promotions]]</f>
        <v>-28</v>
      </c>
      <c r="AJ431" s="74">
        <f>tblData[[#This Row],[Outbound Logistics]]+tblData[[#This Row],[Direct Selling]]</f>
        <v>-49</v>
      </c>
      <c r="AK431" s="74">
        <f>tblData[[#This Row],[Gross Profit]]+tblData[[#This Row],[AP Spend]]+tblData[[#This Row],[Cost to Serve]]</f>
        <v>222</v>
      </c>
    </row>
    <row r="432" spans="2:37" x14ac:dyDescent="0.25">
      <c r="B432" s="71" t="s">
        <v>36</v>
      </c>
      <c r="C432" s="71">
        <v>2025</v>
      </c>
      <c r="D432" s="71">
        <v>11</v>
      </c>
      <c r="E432" s="71" t="s">
        <v>45</v>
      </c>
      <c r="F432" s="71" t="s">
        <v>43</v>
      </c>
      <c r="G432" s="72">
        <v>29.3</v>
      </c>
      <c r="H432" s="73">
        <v>516</v>
      </c>
      <c r="I432" s="73">
        <v>-111</v>
      </c>
      <c r="J432" s="73">
        <v>-5</v>
      </c>
      <c r="K432" s="73">
        <v>-139</v>
      </c>
      <c r="L432" s="73">
        <v>-35</v>
      </c>
      <c r="M432" s="73">
        <v>-19</v>
      </c>
      <c r="N432" s="73">
        <v>-50</v>
      </c>
      <c r="O432" s="73">
        <v>-27</v>
      </c>
      <c r="P432" s="73">
        <v>-18</v>
      </c>
      <c r="Q432" s="73">
        <v>-10</v>
      </c>
      <c r="R432" s="73">
        <v>0</v>
      </c>
      <c r="S432" s="73">
        <v>0</v>
      </c>
      <c r="T432" s="73">
        <v>0</v>
      </c>
      <c r="U432" s="73">
        <v>0</v>
      </c>
      <c r="V432" s="73">
        <v>0</v>
      </c>
      <c r="W432" s="73">
        <v>0</v>
      </c>
      <c r="X432" s="73">
        <v>0</v>
      </c>
      <c r="Y432" s="73">
        <v>0</v>
      </c>
      <c r="Z432" s="73">
        <v>551</v>
      </c>
      <c r="AA432" s="73">
        <v>710</v>
      </c>
      <c r="AB432" s="73">
        <v>0</v>
      </c>
      <c r="AC432" s="73">
        <v>0</v>
      </c>
      <c r="AD432" s="73">
        <v>0</v>
      </c>
      <c r="AE432" s="73">
        <v>0</v>
      </c>
      <c r="AF432" s="74">
        <f>tblData[[#This Row],[Gross Sales]]+tblData[[#This Row],[Trade Discounts]]+tblData[[#This Row],[Returns]]</f>
        <v>400</v>
      </c>
      <c r="AG432" s="74">
        <f>tblData[[#This Row],[Material Cost]]+tblData[[#This Row],[Conversion Cost]]+tblData[[#This Row],[Inbound Freight]]</f>
        <v>-193</v>
      </c>
      <c r="AH432" s="74">
        <f>tblData[[#This Row],[Net Revenue]]+tblData[[#This Row],[COGS]]</f>
        <v>207</v>
      </c>
      <c r="AI432" s="74">
        <f>tblData[[#This Row],[Advertising]]+tblData[[#This Row],[Promotions]]</f>
        <v>-77</v>
      </c>
      <c r="AJ432" s="74">
        <f>tblData[[#This Row],[Outbound Logistics]]+tblData[[#This Row],[Direct Selling]]</f>
        <v>-28</v>
      </c>
      <c r="AK432" s="74">
        <f>tblData[[#This Row],[Gross Profit]]+tblData[[#This Row],[AP Spend]]+tblData[[#This Row],[Cost to Serve]]</f>
        <v>102</v>
      </c>
    </row>
    <row r="433" spans="2:37" x14ac:dyDescent="0.25">
      <c r="B433" s="71" t="s">
        <v>36</v>
      </c>
      <c r="C433" s="71">
        <v>2025</v>
      </c>
      <c r="D433" s="71">
        <v>11</v>
      </c>
      <c r="E433" s="71" t="s">
        <v>46</v>
      </c>
      <c r="F433" s="71" t="s">
        <v>38</v>
      </c>
      <c r="G433" s="72">
        <v>187.6</v>
      </c>
      <c r="H433" s="73">
        <v>2574</v>
      </c>
      <c r="I433" s="73">
        <v>-273</v>
      </c>
      <c r="J433" s="73">
        <v>-103</v>
      </c>
      <c r="K433" s="73">
        <v>-548</v>
      </c>
      <c r="L433" s="73">
        <v>-139</v>
      </c>
      <c r="M433" s="73">
        <v>-73</v>
      </c>
      <c r="N433" s="73">
        <v>-172</v>
      </c>
      <c r="O433" s="73">
        <v>-92</v>
      </c>
      <c r="P433" s="73">
        <v>-193</v>
      </c>
      <c r="Q433" s="73">
        <v>-51</v>
      </c>
      <c r="R433" s="73">
        <v>0</v>
      </c>
      <c r="S433" s="73">
        <v>0</v>
      </c>
      <c r="T433" s="73">
        <v>0</v>
      </c>
      <c r="U433" s="73">
        <v>0</v>
      </c>
      <c r="V433" s="73">
        <v>0</v>
      </c>
      <c r="W433" s="73">
        <v>0</v>
      </c>
      <c r="X433" s="73">
        <v>0</v>
      </c>
      <c r="Y433" s="73">
        <v>0</v>
      </c>
      <c r="Z433" s="73">
        <v>1648</v>
      </c>
      <c r="AA433" s="73">
        <v>2165</v>
      </c>
      <c r="AB433" s="73">
        <v>0</v>
      </c>
      <c r="AC433" s="73">
        <v>0</v>
      </c>
      <c r="AD433" s="73">
        <v>0</v>
      </c>
      <c r="AE433" s="73">
        <v>0</v>
      </c>
      <c r="AF433" s="74">
        <f>tblData[[#This Row],[Gross Sales]]+tblData[[#This Row],[Trade Discounts]]+tblData[[#This Row],[Returns]]</f>
        <v>2198</v>
      </c>
      <c r="AG433" s="74">
        <f>tblData[[#This Row],[Material Cost]]+tblData[[#This Row],[Conversion Cost]]+tblData[[#This Row],[Inbound Freight]]</f>
        <v>-760</v>
      </c>
      <c r="AH433" s="74">
        <f>tblData[[#This Row],[Net Revenue]]+tblData[[#This Row],[COGS]]</f>
        <v>1438</v>
      </c>
      <c r="AI433" s="74">
        <f>tblData[[#This Row],[Advertising]]+tblData[[#This Row],[Promotions]]</f>
        <v>-264</v>
      </c>
      <c r="AJ433" s="74">
        <f>tblData[[#This Row],[Outbound Logistics]]+tblData[[#This Row],[Direct Selling]]</f>
        <v>-244</v>
      </c>
      <c r="AK433" s="74">
        <f>tblData[[#This Row],[Gross Profit]]+tblData[[#This Row],[AP Spend]]+tblData[[#This Row],[Cost to Serve]]</f>
        <v>930</v>
      </c>
    </row>
    <row r="434" spans="2:37" x14ac:dyDescent="0.25">
      <c r="B434" s="71" t="s">
        <v>36</v>
      </c>
      <c r="C434" s="71">
        <v>2025</v>
      </c>
      <c r="D434" s="71">
        <v>11</v>
      </c>
      <c r="E434" s="71" t="s">
        <v>46</v>
      </c>
      <c r="F434" s="71" t="s">
        <v>39</v>
      </c>
      <c r="G434" s="72">
        <v>245.7</v>
      </c>
      <c r="H434" s="73">
        <v>2167</v>
      </c>
      <c r="I434" s="73">
        <v>-230</v>
      </c>
      <c r="J434" s="73">
        <v>-87</v>
      </c>
      <c r="K434" s="73">
        <v>-553</v>
      </c>
      <c r="L434" s="73">
        <v>-140</v>
      </c>
      <c r="M434" s="73">
        <v>-74</v>
      </c>
      <c r="N434" s="73">
        <v>-98</v>
      </c>
      <c r="O434" s="73">
        <v>-53</v>
      </c>
      <c r="P434" s="73">
        <v>-163</v>
      </c>
      <c r="Q434" s="73">
        <v>-43</v>
      </c>
      <c r="R434" s="73">
        <v>0</v>
      </c>
      <c r="S434" s="73">
        <v>0</v>
      </c>
      <c r="T434" s="73">
        <v>0</v>
      </c>
      <c r="U434" s="73">
        <v>0</v>
      </c>
      <c r="V434" s="73">
        <v>0</v>
      </c>
      <c r="W434" s="73">
        <v>0</v>
      </c>
      <c r="X434" s="73">
        <v>0</v>
      </c>
      <c r="Y434" s="73">
        <v>0</v>
      </c>
      <c r="Z434" s="73">
        <v>1400</v>
      </c>
      <c r="AA434" s="73">
        <v>1858</v>
      </c>
      <c r="AB434" s="73">
        <v>0</v>
      </c>
      <c r="AC434" s="73">
        <v>0</v>
      </c>
      <c r="AD434" s="73">
        <v>0</v>
      </c>
      <c r="AE434" s="73">
        <v>0</v>
      </c>
      <c r="AF434" s="74">
        <f>tblData[[#This Row],[Gross Sales]]+tblData[[#This Row],[Trade Discounts]]+tblData[[#This Row],[Returns]]</f>
        <v>1850</v>
      </c>
      <c r="AG434" s="74">
        <f>tblData[[#This Row],[Material Cost]]+tblData[[#This Row],[Conversion Cost]]+tblData[[#This Row],[Inbound Freight]]</f>
        <v>-767</v>
      </c>
      <c r="AH434" s="74">
        <f>tblData[[#This Row],[Net Revenue]]+tblData[[#This Row],[COGS]]</f>
        <v>1083</v>
      </c>
      <c r="AI434" s="74">
        <f>tblData[[#This Row],[Advertising]]+tblData[[#This Row],[Promotions]]</f>
        <v>-151</v>
      </c>
      <c r="AJ434" s="74">
        <f>tblData[[#This Row],[Outbound Logistics]]+tblData[[#This Row],[Direct Selling]]</f>
        <v>-206</v>
      </c>
      <c r="AK434" s="74">
        <f>tblData[[#This Row],[Gross Profit]]+tblData[[#This Row],[AP Spend]]+tblData[[#This Row],[Cost to Serve]]</f>
        <v>726</v>
      </c>
    </row>
    <row r="435" spans="2:37" x14ac:dyDescent="0.25">
      <c r="B435" s="71" t="s">
        <v>36</v>
      </c>
      <c r="C435" s="71">
        <v>2025</v>
      </c>
      <c r="D435" s="71">
        <v>11</v>
      </c>
      <c r="E435" s="71" t="s">
        <v>46</v>
      </c>
      <c r="F435" s="71" t="s">
        <v>40</v>
      </c>
      <c r="G435" s="72">
        <v>231.5</v>
      </c>
      <c r="H435" s="73">
        <v>1588</v>
      </c>
      <c r="I435" s="73">
        <v>-168</v>
      </c>
      <c r="J435" s="73">
        <v>-64</v>
      </c>
      <c r="K435" s="73">
        <v>-451</v>
      </c>
      <c r="L435" s="73">
        <v>-114</v>
      </c>
      <c r="M435" s="73">
        <v>-60</v>
      </c>
      <c r="N435" s="73">
        <v>-49</v>
      </c>
      <c r="O435" s="73">
        <v>-26</v>
      </c>
      <c r="P435" s="73">
        <v>-119</v>
      </c>
      <c r="Q435" s="73">
        <v>-32</v>
      </c>
      <c r="R435" s="73">
        <v>0</v>
      </c>
      <c r="S435" s="73">
        <v>0</v>
      </c>
      <c r="T435" s="73">
        <v>0</v>
      </c>
      <c r="U435" s="73">
        <v>0</v>
      </c>
      <c r="V435" s="73">
        <v>0</v>
      </c>
      <c r="W435" s="73">
        <v>0</v>
      </c>
      <c r="X435" s="73">
        <v>0</v>
      </c>
      <c r="Y435" s="73">
        <v>0</v>
      </c>
      <c r="Z435" s="73">
        <v>1046</v>
      </c>
      <c r="AA435" s="73">
        <v>1447</v>
      </c>
      <c r="AB435" s="73">
        <v>0</v>
      </c>
      <c r="AC435" s="73">
        <v>0</v>
      </c>
      <c r="AD435" s="73">
        <v>0</v>
      </c>
      <c r="AE435" s="73">
        <v>0</v>
      </c>
      <c r="AF435" s="74">
        <f>tblData[[#This Row],[Gross Sales]]+tblData[[#This Row],[Trade Discounts]]+tblData[[#This Row],[Returns]]</f>
        <v>1356</v>
      </c>
      <c r="AG435" s="74">
        <f>tblData[[#This Row],[Material Cost]]+tblData[[#This Row],[Conversion Cost]]+tblData[[#This Row],[Inbound Freight]]</f>
        <v>-625</v>
      </c>
      <c r="AH435" s="74">
        <f>tblData[[#This Row],[Net Revenue]]+tblData[[#This Row],[COGS]]</f>
        <v>731</v>
      </c>
      <c r="AI435" s="74">
        <f>tblData[[#This Row],[Advertising]]+tblData[[#This Row],[Promotions]]</f>
        <v>-75</v>
      </c>
      <c r="AJ435" s="74">
        <f>tblData[[#This Row],[Outbound Logistics]]+tblData[[#This Row],[Direct Selling]]</f>
        <v>-151</v>
      </c>
      <c r="AK435" s="74">
        <f>tblData[[#This Row],[Gross Profit]]+tblData[[#This Row],[AP Spend]]+tblData[[#This Row],[Cost to Serve]]</f>
        <v>505</v>
      </c>
    </row>
    <row r="436" spans="2:37" x14ac:dyDescent="0.25">
      <c r="B436" s="71" t="s">
        <v>36</v>
      </c>
      <c r="C436" s="71">
        <v>2025</v>
      </c>
      <c r="D436" s="71">
        <v>11</v>
      </c>
      <c r="E436" s="71" t="s">
        <v>46</v>
      </c>
      <c r="F436" s="71" t="s">
        <v>41</v>
      </c>
      <c r="G436" s="72">
        <v>112.5</v>
      </c>
      <c r="H436" s="73">
        <v>1212</v>
      </c>
      <c r="I436" s="73">
        <v>-129</v>
      </c>
      <c r="J436" s="73">
        <v>-48</v>
      </c>
      <c r="K436" s="73">
        <v>-284</v>
      </c>
      <c r="L436" s="73">
        <v>-72</v>
      </c>
      <c r="M436" s="73">
        <v>-38</v>
      </c>
      <c r="N436" s="73">
        <v>-105</v>
      </c>
      <c r="O436" s="73">
        <v>-57</v>
      </c>
      <c r="P436" s="73">
        <v>-91</v>
      </c>
      <c r="Q436" s="73">
        <v>-24</v>
      </c>
      <c r="R436" s="73">
        <v>0</v>
      </c>
      <c r="S436" s="73">
        <v>0</v>
      </c>
      <c r="T436" s="73">
        <v>0</v>
      </c>
      <c r="U436" s="73">
        <v>0</v>
      </c>
      <c r="V436" s="73">
        <v>0</v>
      </c>
      <c r="W436" s="73">
        <v>0</v>
      </c>
      <c r="X436" s="73">
        <v>0</v>
      </c>
      <c r="Y436" s="73">
        <v>0</v>
      </c>
      <c r="Z436" s="73">
        <v>817</v>
      </c>
      <c r="AA436" s="73">
        <v>1118</v>
      </c>
      <c r="AB436" s="73">
        <v>0</v>
      </c>
      <c r="AC436" s="73">
        <v>0</v>
      </c>
      <c r="AD436" s="73">
        <v>0</v>
      </c>
      <c r="AE436" s="73">
        <v>0</v>
      </c>
      <c r="AF436" s="74">
        <f>tblData[[#This Row],[Gross Sales]]+tblData[[#This Row],[Trade Discounts]]+tblData[[#This Row],[Returns]]</f>
        <v>1035</v>
      </c>
      <c r="AG436" s="74">
        <f>tblData[[#This Row],[Material Cost]]+tblData[[#This Row],[Conversion Cost]]+tblData[[#This Row],[Inbound Freight]]</f>
        <v>-394</v>
      </c>
      <c r="AH436" s="74">
        <f>tblData[[#This Row],[Net Revenue]]+tblData[[#This Row],[COGS]]</f>
        <v>641</v>
      </c>
      <c r="AI436" s="74">
        <f>tblData[[#This Row],[Advertising]]+tblData[[#This Row],[Promotions]]</f>
        <v>-162</v>
      </c>
      <c r="AJ436" s="74">
        <f>tblData[[#This Row],[Outbound Logistics]]+tblData[[#This Row],[Direct Selling]]</f>
        <v>-115</v>
      </c>
      <c r="AK436" s="74">
        <f>tblData[[#This Row],[Gross Profit]]+tblData[[#This Row],[AP Spend]]+tblData[[#This Row],[Cost to Serve]]</f>
        <v>364</v>
      </c>
    </row>
    <row r="437" spans="2:37" x14ac:dyDescent="0.25">
      <c r="B437" s="71" t="s">
        <v>36</v>
      </c>
      <c r="C437" s="71">
        <v>2025</v>
      </c>
      <c r="D437" s="71">
        <v>11</v>
      </c>
      <c r="E437" s="71" t="s">
        <v>46</v>
      </c>
      <c r="F437" s="71" t="s">
        <v>42</v>
      </c>
      <c r="G437" s="72">
        <v>149.9</v>
      </c>
      <c r="H437" s="73">
        <v>881</v>
      </c>
      <c r="I437" s="73">
        <v>-93</v>
      </c>
      <c r="J437" s="73">
        <v>-35</v>
      </c>
      <c r="K437" s="73">
        <v>-275</v>
      </c>
      <c r="L437" s="73">
        <v>-70</v>
      </c>
      <c r="M437" s="73">
        <v>-37</v>
      </c>
      <c r="N437" s="73">
        <v>-20</v>
      </c>
      <c r="O437" s="73">
        <v>-11</v>
      </c>
      <c r="P437" s="73">
        <v>-66</v>
      </c>
      <c r="Q437" s="73">
        <v>-18</v>
      </c>
      <c r="R437" s="73">
        <v>0</v>
      </c>
      <c r="S437" s="73">
        <v>0</v>
      </c>
      <c r="T437" s="73">
        <v>0</v>
      </c>
      <c r="U437" s="73">
        <v>0</v>
      </c>
      <c r="V437" s="73">
        <v>0</v>
      </c>
      <c r="W437" s="73">
        <v>0</v>
      </c>
      <c r="X437" s="73">
        <v>0</v>
      </c>
      <c r="Y437" s="73">
        <v>0</v>
      </c>
      <c r="Z437" s="73">
        <v>578</v>
      </c>
      <c r="AA437" s="73">
        <v>1290</v>
      </c>
      <c r="AB437" s="73">
        <v>0</v>
      </c>
      <c r="AC437" s="73">
        <v>0</v>
      </c>
      <c r="AD437" s="73">
        <v>0</v>
      </c>
      <c r="AE437" s="73">
        <v>0</v>
      </c>
      <c r="AF437" s="74">
        <f>tblData[[#This Row],[Gross Sales]]+tblData[[#This Row],[Trade Discounts]]+tblData[[#This Row],[Returns]]</f>
        <v>753</v>
      </c>
      <c r="AG437" s="74">
        <f>tblData[[#This Row],[Material Cost]]+tblData[[#This Row],[Conversion Cost]]+tblData[[#This Row],[Inbound Freight]]</f>
        <v>-382</v>
      </c>
      <c r="AH437" s="74">
        <f>tblData[[#This Row],[Net Revenue]]+tblData[[#This Row],[COGS]]</f>
        <v>371</v>
      </c>
      <c r="AI437" s="74">
        <f>tblData[[#This Row],[Advertising]]+tblData[[#This Row],[Promotions]]</f>
        <v>-31</v>
      </c>
      <c r="AJ437" s="74">
        <f>tblData[[#This Row],[Outbound Logistics]]+tblData[[#This Row],[Direct Selling]]</f>
        <v>-84</v>
      </c>
      <c r="AK437" s="74">
        <f>tblData[[#This Row],[Gross Profit]]+tblData[[#This Row],[AP Spend]]+tblData[[#This Row],[Cost to Serve]]</f>
        <v>256</v>
      </c>
    </row>
    <row r="438" spans="2:37" x14ac:dyDescent="0.25">
      <c r="B438" s="71" t="s">
        <v>36</v>
      </c>
      <c r="C438" s="71">
        <v>2025</v>
      </c>
      <c r="D438" s="71">
        <v>11</v>
      </c>
      <c r="E438" s="71" t="s">
        <v>46</v>
      </c>
      <c r="F438" s="71" t="s">
        <v>43</v>
      </c>
      <c r="G438" s="72">
        <v>29.4</v>
      </c>
      <c r="H438" s="73">
        <v>519</v>
      </c>
      <c r="I438" s="73">
        <v>-55</v>
      </c>
      <c r="J438" s="73">
        <v>-21</v>
      </c>
      <c r="K438" s="73">
        <v>-140</v>
      </c>
      <c r="L438" s="73">
        <v>-36</v>
      </c>
      <c r="M438" s="73">
        <v>-19</v>
      </c>
      <c r="N438" s="73">
        <v>-57</v>
      </c>
      <c r="O438" s="73">
        <v>-31</v>
      </c>
      <c r="P438" s="73">
        <v>-39</v>
      </c>
      <c r="Q438" s="73">
        <v>-10</v>
      </c>
      <c r="R438" s="73">
        <v>0</v>
      </c>
      <c r="S438" s="73">
        <v>0</v>
      </c>
      <c r="T438" s="73">
        <v>0</v>
      </c>
      <c r="U438" s="73">
        <v>0</v>
      </c>
      <c r="V438" s="73">
        <v>0</v>
      </c>
      <c r="W438" s="73">
        <v>0</v>
      </c>
      <c r="X438" s="73">
        <v>0</v>
      </c>
      <c r="Y438" s="73">
        <v>0</v>
      </c>
      <c r="Z438" s="73">
        <v>347</v>
      </c>
      <c r="AA438" s="73">
        <v>729</v>
      </c>
      <c r="AB438" s="73">
        <v>0</v>
      </c>
      <c r="AC438" s="73">
        <v>0</v>
      </c>
      <c r="AD438" s="73">
        <v>0</v>
      </c>
      <c r="AE438" s="73">
        <v>0</v>
      </c>
      <c r="AF438" s="74">
        <f>tblData[[#This Row],[Gross Sales]]+tblData[[#This Row],[Trade Discounts]]+tblData[[#This Row],[Returns]]</f>
        <v>443</v>
      </c>
      <c r="AG438" s="74">
        <f>tblData[[#This Row],[Material Cost]]+tblData[[#This Row],[Conversion Cost]]+tblData[[#This Row],[Inbound Freight]]</f>
        <v>-195</v>
      </c>
      <c r="AH438" s="74">
        <f>tblData[[#This Row],[Net Revenue]]+tblData[[#This Row],[COGS]]</f>
        <v>248</v>
      </c>
      <c r="AI438" s="74">
        <f>tblData[[#This Row],[Advertising]]+tblData[[#This Row],[Promotions]]</f>
        <v>-88</v>
      </c>
      <c r="AJ438" s="74">
        <f>tblData[[#This Row],[Outbound Logistics]]+tblData[[#This Row],[Direct Selling]]</f>
        <v>-49</v>
      </c>
      <c r="AK438" s="74">
        <f>tblData[[#This Row],[Gross Profit]]+tblData[[#This Row],[AP Spend]]+tblData[[#This Row],[Cost to Serve]]</f>
        <v>111</v>
      </c>
    </row>
    <row r="439" spans="2:37" x14ac:dyDescent="0.25">
      <c r="B439" s="71" t="s">
        <v>36</v>
      </c>
      <c r="C439" s="71">
        <v>2025</v>
      </c>
      <c r="D439" s="71">
        <v>11</v>
      </c>
      <c r="E439" s="71" t="s">
        <v>47</v>
      </c>
      <c r="F439" s="71" t="s">
        <v>38</v>
      </c>
      <c r="G439" s="72">
        <v>74.3</v>
      </c>
      <c r="H439" s="73">
        <v>1020</v>
      </c>
      <c r="I439" s="73">
        <v>-27</v>
      </c>
      <c r="J439" s="73">
        <v>-51</v>
      </c>
      <c r="K439" s="73">
        <v>-217</v>
      </c>
      <c r="L439" s="73">
        <v>-55</v>
      </c>
      <c r="M439" s="73">
        <v>-29</v>
      </c>
      <c r="N439" s="73">
        <v>-64</v>
      </c>
      <c r="O439" s="73">
        <v>-35</v>
      </c>
      <c r="P439" s="73">
        <v>-122</v>
      </c>
      <c r="Q439" s="73">
        <v>-41</v>
      </c>
      <c r="R439" s="73">
        <v>0</v>
      </c>
      <c r="S439" s="73">
        <v>0</v>
      </c>
      <c r="T439" s="73">
        <v>0</v>
      </c>
      <c r="U439" s="73">
        <v>0</v>
      </c>
      <c r="V439" s="73">
        <v>0</v>
      </c>
      <c r="W439" s="73">
        <v>0</v>
      </c>
      <c r="X439" s="73">
        <v>0</v>
      </c>
      <c r="Y439" s="73">
        <v>0</v>
      </c>
      <c r="Z439" s="73">
        <v>87</v>
      </c>
      <c r="AA439" s="73">
        <v>880</v>
      </c>
      <c r="AB439" s="73">
        <v>0</v>
      </c>
      <c r="AC439" s="73">
        <v>0</v>
      </c>
      <c r="AD439" s="73">
        <v>0</v>
      </c>
      <c r="AE439" s="73">
        <v>0</v>
      </c>
      <c r="AF439" s="74">
        <f>tblData[[#This Row],[Gross Sales]]+tblData[[#This Row],[Trade Discounts]]+tblData[[#This Row],[Returns]]</f>
        <v>942</v>
      </c>
      <c r="AG439" s="74">
        <f>tblData[[#This Row],[Material Cost]]+tblData[[#This Row],[Conversion Cost]]+tblData[[#This Row],[Inbound Freight]]</f>
        <v>-301</v>
      </c>
      <c r="AH439" s="74">
        <f>tblData[[#This Row],[Net Revenue]]+tblData[[#This Row],[COGS]]</f>
        <v>641</v>
      </c>
      <c r="AI439" s="74">
        <f>tblData[[#This Row],[Advertising]]+tblData[[#This Row],[Promotions]]</f>
        <v>-99</v>
      </c>
      <c r="AJ439" s="74">
        <f>tblData[[#This Row],[Outbound Logistics]]+tblData[[#This Row],[Direct Selling]]</f>
        <v>-163</v>
      </c>
      <c r="AK439" s="74">
        <f>tblData[[#This Row],[Gross Profit]]+tblData[[#This Row],[AP Spend]]+tblData[[#This Row],[Cost to Serve]]</f>
        <v>379</v>
      </c>
    </row>
    <row r="440" spans="2:37" x14ac:dyDescent="0.25">
      <c r="B440" s="71" t="s">
        <v>36</v>
      </c>
      <c r="C440" s="71">
        <v>2025</v>
      </c>
      <c r="D440" s="71">
        <v>11</v>
      </c>
      <c r="E440" s="71" t="s">
        <v>47</v>
      </c>
      <c r="F440" s="71" t="s">
        <v>39</v>
      </c>
      <c r="G440" s="72">
        <v>100.1</v>
      </c>
      <c r="H440" s="73">
        <v>883</v>
      </c>
      <c r="I440" s="73">
        <v>-23</v>
      </c>
      <c r="J440" s="73">
        <v>-44</v>
      </c>
      <c r="K440" s="73">
        <v>-225</v>
      </c>
      <c r="L440" s="73">
        <v>-57</v>
      </c>
      <c r="M440" s="73">
        <v>-30</v>
      </c>
      <c r="N440" s="73">
        <v>-37</v>
      </c>
      <c r="O440" s="73">
        <v>-20</v>
      </c>
      <c r="P440" s="73">
        <v>-106</v>
      </c>
      <c r="Q440" s="73">
        <v>-35</v>
      </c>
      <c r="R440" s="73">
        <v>0</v>
      </c>
      <c r="S440" s="73">
        <v>0</v>
      </c>
      <c r="T440" s="73">
        <v>0</v>
      </c>
      <c r="U440" s="73">
        <v>0</v>
      </c>
      <c r="V440" s="73">
        <v>0</v>
      </c>
      <c r="W440" s="73">
        <v>0</v>
      </c>
      <c r="X440" s="73">
        <v>0</v>
      </c>
      <c r="Y440" s="73">
        <v>0</v>
      </c>
      <c r="Z440" s="73">
        <v>74</v>
      </c>
      <c r="AA440" s="73">
        <v>760</v>
      </c>
      <c r="AB440" s="73">
        <v>0</v>
      </c>
      <c r="AC440" s="73">
        <v>0</v>
      </c>
      <c r="AD440" s="73">
        <v>0</v>
      </c>
      <c r="AE440" s="73">
        <v>0</v>
      </c>
      <c r="AF440" s="74">
        <f>tblData[[#This Row],[Gross Sales]]+tblData[[#This Row],[Trade Discounts]]+tblData[[#This Row],[Returns]]</f>
        <v>816</v>
      </c>
      <c r="AG440" s="74">
        <f>tblData[[#This Row],[Material Cost]]+tblData[[#This Row],[Conversion Cost]]+tblData[[#This Row],[Inbound Freight]]</f>
        <v>-312</v>
      </c>
      <c r="AH440" s="74">
        <f>tblData[[#This Row],[Net Revenue]]+tblData[[#This Row],[COGS]]</f>
        <v>504</v>
      </c>
      <c r="AI440" s="74">
        <f>tblData[[#This Row],[Advertising]]+tblData[[#This Row],[Promotions]]</f>
        <v>-57</v>
      </c>
      <c r="AJ440" s="74">
        <f>tblData[[#This Row],[Outbound Logistics]]+tblData[[#This Row],[Direct Selling]]</f>
        <v>-141</v>
      </c>
      <c r="AK440" s="74">
        <f>tblData[[#This Row],[Gross Profit]]+tblData[[#This Row],[AP Spend]]+tblData[[#This Row],[Cost to Serve]]</f>
        <v>306</v>
      </c>
    </row>
    <row r="441" spans="2:37" x14ac:dyDescent="0.25">
      <c r="B441" s="71" t="s">
        <v>36</v>
      </c>
      <c r="C441" s="71">
        <v>2025</v>
      </c>
      <c r="D441" s="71">
        <v>11</v>
      </c>
      <c r="E441" s="71" t="s">
        <v>47</v>
      </c>
      <c r="F441" s="71" t="s">
        <v>40</v>
      </c>
      <c r="G441" s="72">
        <v>97.8</v>
      </c>
      <c r="H441" s="73">
        <v>671</v>
      </c>
      <c r="I441" s="73">
        <v>-17</v>
      </c>
      <c r="J441" s="73">
        <v>-34</v>
      </c>
      <c r="K441" s="73">
        <v>-190</v>
      </c>
      <c r="L441" s="73">
        <v>-48</v>
      </c>
      <c r="M441" s="73">
        <v>-26</v>
      </c>
      <c r="N441" s="73">
        <v>-18</v>
      </c>
      <c r="O441" s="73">
        <v>-10</v>
      </c>
      <c r="P441" s="73">
        <v>-81</v>
      </c>
      <c r="Q441" s="73">
        <v>-27</v>
      </c>
      <c r="R441" s="73">
        <v>0</v>
      </c>
      <c r="S441" s="73">
        <v>0</v>
      </c>
      <c r="T441" s="73">
        <v>0</v>
      </c>
      <c r="U441" s="73">
        <v>0</v>
      </c>
      <c r="V441" s="73">
        <v>0</v>
      </c>
      <c r="W441" s="73">
        <v>0</v>
      </c>
      <c r="X441" s="73">
        <v>0</v>
      </c>
      <c r="Y441" s="73">
        <v>0</v>
      </c>
      <c r="Z441" s="73">
        <v>57</v>
      </c>
      <c r="AA441" s="73">
        <v>604</v>
      </c>
      <c r="AB441" s="73">
        <v>0</v>
      </c>
      <c r="AC441" s="73">
        <v>0</v>
      </c>
      <c r="AD441" s="73">
        <v>0</v>
      </c>
      <c r="AE441" s="73">
        <v>0</v>
      </c>
      <c r="AF441" s="74">
        <f>tblData[[#This Row],[Gross Sales]]+tblData[[#This Row],[Trade Discounts]]+tblData[[#This Row],[Returns]]</f>
        <v>620</v>
      </c>
      <c r="AG441" s="74">
        <f>tblData[[#This Row],[Material Cost]]+tblData[[#This Row],[Conversion Cost]]+tblData[[#This Row],[Inbound Freight]]</f>
        <v>-264</v>
      </c>
      <c r="AH441" s="74">
        <f>tblData[[#This Row],[Net Revenue]]+tblData[[#This Row],[COGS]]</f>
        <v>356</v>
      </c>
      <c r="AI441" s="74">
        <f>tblData[[#This Row],[Advertising]]+tblData[[#This Row],[Promotions]]</f>
        <v>-28</v>
      </c>
      <c r="AJ441" s="74">
        <f>tblData[[#This Row],[Outbound Logistics]]+tblData[[#This Row],[Direct Selling]]</f>
        <v>-108</v>
      </c>
      <c r="AK441" s="74">
        <f>tblData[[#This Row],[Gross Profit]]+tblData[[#This Row],[AP Spend]]+tblData[[#This Row],[Cost to Serve]]</f>
        <v>220</v>
      </c>
    </row>
    <row r="442" spans="2:37" x14ac:dyDescent="0.25">
      <c r="B442" s="71" t="s">
        <v>36</v>
      </c>
      <c r="C442" s="71">
        <v>2025</v>
      </c>
      <c r="D442" s="71">
        <v>11</v>
      </c>
      <c r="E442" s="71" t="s">
        <v>47</v>
      </c>
      <c r="F442" s="71" t="s">
        <v>41</v>
      </c>
      <c r="G442" s="72">
        <v>47.7</v>
      </c>
      <c r="H442" s="73">
        <v>514</v>
      </c>
      <c r="I442" s="73">
        <v>-13</v>
      </c>
      <c r="J442" s="73">
        <v>-26</v>
      </c>
      <c r="K442" s="73">
        <v>-120</v>
      </c>
      <c r="L442" s="73">
        <v>-31</v>
      </c>
      <c r="M442" s="73">
        <v>-16</v>
      </c>
      <c r="N442" s="73">
        <v>-39</v>
      </c>
      <c r="O442" s="73">
        <v>-21</v>
      </c>
      <c r="P442" s="73">
        <v>-62</v>
      </c>
      <c r="Q442" s="73">
        <v>-21</v>
      </c>
      <c r="R442" s="73">
        <v>0</v>
      </c>
      <c r="S442" s="73">
        <v>0</v>
      </c>
      <c r="T442" s="73">
        <v>0</v>
      </c>
      <c r="U442" s="73">
        <v>0</v>
      </c>
      <c r="V442" s="73">
        <v>0</v>
      </c>
      <c r="W442" s="73">
        <v>0</v>
      </c>
      <c r="X442" s="73">
        <v>0</v>
      </c>
      <c r="Y442" s="73">
        <v>0</v>
      </c>
      <c r="Z442" s="73">
        <v>43</v>
      </c>
      <c r="AA442" s="73">
        <v>455</v>
      </c>
      <c r="AB442" s="73">
        <v>0</v>
      </c>
      <c r="AC442" s="73">
        <v>0</v>
      </c>
      <c r="AD442" s="73">
        <v>0</v>
      </c>
      <c r="AE442" s="73">
        <v>0</v>
      </c>
      <c r="AF442" s="74">
        <f>tblData[[#This Row],[Gross Sales]]+tblData[[#This Row],[Trade Discounts]]+tblData[[#This Row],[Returns]]</f>
        <v>475</v>
      </c>
      <c r="AG442" s="74">
        <f>tblData[[#This Row],[Material Cost]]+tblData[[#This Row],[Conversion Cost]]+tblData[[#This Row],[Inbound Freight]]</f>
        <v>-167</v>
      </c>
      <c r="AH442" s="74">
        <f>tblData[[#This Row],[Net Revenue]]+tblData[[#This Row],[COGS]]</f>
        <v>308</v>
      </c>
      <c r="AI442" s="74">
        <f>tblData[[#This Row],[Advertising]]+tblData[[#This Row],[Promotions]]</f>
        <v>-60</v>
      </c>
      <c r="AJ442" s="74">
        <f>tblData[[#This Row],[Outbound Logistics]]+tblData[[#This Row],[Direct Selling]]</f>
        <v>-83</v>
      </c>
      <c r="AK442" s="74">
        <f>tblData[[#This Row],[Gross Profit]]+tblData[[#This Row],[AP Spend]]+tblData[[#This Row],[Cost to Serve]]</f>
        <v>165</v>
      </c>
    </row>
    <row r="443" spans="2:37" x14ac:dyDescent="0.25">
      <c r="B443" s="71" t="s">
        <v>36</v>
      </c>
      <c r="C443" s="71">
        <v>2025</v>
      </c>
      <c r="D443" s="71">
        <v>11</v>
      </c>
      <c r="E443" s="71" t="s">
        <v>47</v>
      </c>
      <c r="F443" s="71" t="s">
        <v>42</v>
      </c>
      <c r="G443" s="72">
        <v>61.8</v>
      </c>
      <c r="H443" s="73">
        <v>364</v>
      </c>
      <c r="I443" s="73">
        <v>-9</v>
      </c>
      <c r="J443" s="73">
        <v>-18</v>
      </c>
      <c r="K443" s="73">
        <v>-113</v>
      </c>
      <c r="L443" s="73">
        <v>-29</v>
      </c>
      <c r="M443" s="73">
        <v>-15</v>
      </c>
      <c r="N443" s="73">
        <v>-8</v>
      </c>
      <c r="O443" s="73">
        <v>-4</v>
      </c>
      <c r="P443" s="73">
        <v>-44</v>
      </c>
      <c r="Q443" s="73">
        <v>-15</v>
      </c>
      <c r="R443" s="73">
        <v>0</v>
      </c>
      <c r="S443" s="73">
        <v>0</v>
      </c>
      <c r="T443" s="73">
        <v>0</v>
      </c>
      <c r="U443" s="73">
        <v>0</v>
      </c>
      <c r="V443" s="73">
        <v>0</v>
      </c>
      <c r="W443" s="73">
        <v>0</v>
      </c>
      <c r="X443" s="73">
        <v>0</v>
      </c>
      <c r="Y443" s="73">
        <v>0</v>
      </c>
      <c r="Z443" s="73">
        <v>31</v>
      </c>
      <c r="AA443" s="73">
        <v>537</v>
      </c>
      <c r="AB443" s="73">
        <v>0</v>
      </c>
      <c r="AC443" s="73">
        <v>0</v>
      </c>
      <c r="AD443" s="73">
        <v>0</v>
      </c>
      <c r="AE443" s="73">
        <v>0</v>
      </c>
      <c r="AF443" s="74">
        <f>tblData[[#This Row],[Gross Sales]]+tblData[[#This Row],[Trade Discounts]]+tblData[[#This Row],[Returns]]</f>
        <v>337</v>
      </c>
      <c r="AG443" s="74">
        <f>tblData[[#This Row],[Material Cost]]+tblData[[#This Row],[Conversion Cost]]+tblData[[#This Row],[Inbound Freight]]</f>
        <v>-157</v>
      </c>
      <c r="AH443" s="74">
        <f>tblData[[#This Row],[Net Revenue]]+tblData[[#This Row],[COGS]]</f>
        <v>180</v>
      </c>
      <c r="AI443" s="74">
        <f>tblData[[#This Row],[Advertising]]+tblData[[#This Row],[Promotions]]</f>
        <v>-12</v>
      </c>
      <c r="AJ443" s="74">
        <f>tblData[[#This Row],[Outbound Logistics]]+tblData[[#This Row],[Direct Selling]]</f>
        <v>-59</v>
      </c>
      <c r="AK443" s="74">
        <f>tblData[[#This Row],[Gross Profit]]+tblData[[#This Row],[AP Spend]]+tblData[[#This Row],[Cost to Serve]]</f>
        <v>109</v>
      </c>
    </row>
    <row r="444" spans="2:37" x14ac:dyDescent="0.25">
      <c r="B444" s="71" t="s">
        <v>36</v>
      </c>
      <c r="C444" s="71">
        <v>2025</v>
      </c>
      <c r="D444" s="71">
        <v>11</v>
      </c>
      <c r="E444" s="71" t="s">
        <v>47</v>
      </c>
      <c r="F444" s="71" t="s">
        <v>43</v>
      </c>
      <c r="G444" s="72">
        <v>12.7</v>
      </c>
      <c r="H444" s="73">
        <v>225</v>
      </c>
      <c r="I444" s="73">
        <v>-6</v>
      </c>
      <c r="J444" s="73">
        <v>-11</v>
      </c>
      <c r="K444" s="73">
        <v>-61</v>
      </c>
      <c r="L444" s="73">
        <v>-15</v>
      </c>
      <c r="M444" s="73">
        <v>-8</v>
      </c>
      <c r="N444" s="73">
        <v>-21</v>
      </c>
      <c r="O444" s="73">
        <v>-12</v>
      </c>
      <c r="P444" s="73">
        <v>-27</v>
      </c>
      <c r="Q444" s="73">
        <v>-9</v>
      </c>
      <c r="R444" s="73">
        <v>0</v>
      </c>
      <c r="S444" s="73">
        <v>0</v>
      </c>
      <c r="T444" s="73">
        <v>0</v>
      </c>
      <c r="U444" s="73">
        <v>0</v>
      </c>
      <c r="V444" s="73">
        <v>0</v>
      </c>
      <c r="W444" s="73">
        <v>0</v>
      </c>
      <c r="X444" s="73">
        <v>0</v>
      </c>
      <c r="Y444" s="73">
        <v>0</v>
      </c>
      <c r="Z444" s="73">
        <v>19</v>
      </c>
      <c r="AA444" s="73">
        <v>302</v>
      </c>
      <c r="AB444" s="73">
        <v>0</v>
      </c>
      <c r="AC444" s="73">
        <v>0</v>
      </c>
      <c r="AD444" s="73">
        <v>0</v>
      </c>
      <c r="AE444" s="73">
        <v>0</v>
      </c>
      <c r="AF444" s="74">
        <f>tblData[[#This Row],[Gross Sales]]+tblData[[#This Row],[Trade Discounts]]+tblData[[#This Row],[Returns]]</f>
        <v>208</v>
      </c>
      <c r="AG444" s="74">
        <f>tblData[[#This Row],[Material Cost]]+tblData[[#This Row],[Conversion Cost]]+tblData[[#This Row],[Inbound Freight]]</f>
        <v>-84</v>
      </c>
      <c r="AH444" s="74">
        <f>tblData[[#This Row],[Net Revenue]]+tblData[[#This Row],[COGS]]</f>
        <v>124</v>
      </c>
      <c r="AI444" s="74">
        <f>tblData[[#This Row],[Advertising]]+tblData[[#This Row],[Promotions]]</f>
        <v>-33</v>
      </c>
      <c r="AJ444" s="74">
        <f>tblData[[#This Row],[Outbound Logistics]]+tblData[[#This Row],[Direct Selling]]</f>
        <v>-36</v>
      </c>
      <c r="AK444" s="74">
        <f>tblData[[#This Row],[Gross Profit]]+tblData[[#This Row],[AP Spend]]+tblData[[#This Row],[Cost to Serve]]</f>
        <v>55</v>
      </c>
    </row>
    <row r="445" spans="2:37" x14ac:dyDescent="0.25">
      <c r="B445" s="71" t="s">
        <v>36</v>
      </c>
      <c r="C445" s="71">
        <v>2025</v>
      </c>
      <c r="D445" s="71">
        <v>11</v>
      </c>
      <c r="E445" s="71" t="s">
        <v>48</v>
      </c>
      <c r="F445" s="71" t="s">
        <v>38</v>
      </c>
      <c r="G445" s="72">
        <v>123.4</v>
      </c>
      <c r="H445" s="73">
        <v>1693</v>
      </c>
      <c r="I445" s="73">
        <v>-146</v>
      </c>
      <c r="J445" s="73">
        <v>-17</v>
      </c>
      <c r="K445" s="73">
        <v>-360</v>
      </c>
      <c r="L445" s="73">
        <v>-91</v>
      </c>
      <c r="M445" s="73">
        <v>-48</v>
      </c>
      <c r="N445" s="73">
        <v>-107</v>
      </c>
      <c r="O445" s="73">
        <v>-58</v>
      </c>
      <c r="P445" s="73">
        <v>-51</v>
      </c>
      <c r="Q445" s="73">
        <v>-25</v>
      </c>
      <c r="R445" s="73">
        <v>0</v>
      </c>
      <c r="S445" s="73">
        <v>0</v>
      </c>
      <c r="T445" s="73">
        <v>0</v>
      </c>
      <c r="U445" s="73">
        <v>0</v>
      </c>
      <c r="V445" s="73">
        <v>0</v>
      </c>
      <c r="W445" s="73">
        <v>0</v>
      </c>
      <c r="X445" s="73">
        <v>0</v>
      </c>
      <c r="Y445" s="73">
        <v>0</v>
      </c>
      <c r="Z445" s="73">
        <v>3311</v>
      </c>
      <c r="AA445" s="73">
        <v>1468</v>
      </c>
      <c r="AB445" s="73">
        <v>0</v>
      </c>
      <c r="AC445" s="73">
        <v>0</v>
      </c>
      <c r="AD445" s="73">
        <v>0</v>
      </c>
      <c r="AE445" s="73">
        <v>0</v>
      </c>
      <c r="AF445" s="74">
        <f>tblData[[#This Row],[Gross Sales]]+tblData[[#This Row],[Trade Discounts]]+tblData[[#This Row],[Returns]]</f>
        <v>1530</v>
      </c>
      <c r="AG445" s="74">
        <f>tblData[[#This Row],[Material Cost]]+tblData[[#This Row],[Conversion Cost]]+tblData[[#This Row],[Inbound Freight]]</f>
        <v>-499</v>
      </c>
      <c r="AH445" s="74">
        <f>tblData[[#This Row],[Net Revenue]]+tblData[[#This Row],[COGS]]</f>
        <v>1031</v>
      </c>
      <c r="AI445" s="74">
        <f>tblData[[#This Row],[Advertising]]+tblData[[#This Row],[Promotions]]</f>
        <v>-165</v>
      </c>
      <c r="AJ445" s="74">
        <f>tblData[[#This Row],[Outbound Logistics]]+tblData[[#This Row],[Direct Selling]]</f>
        <v>-76</v>
      </c>
      <c r="AK445" s="74">
        <f>tblData[[#This Row],[Gross Profit]]+tblData[[#This Row],[AP Spend]]+tblData[[#This Row],[Cost to Serve]]</f>
        <v>790</v>
      </c>
    </row>
    <row r="446" spans="2:37" x14ac:dyDescent="0.25">
      <c r="B446" s="71" t="s">
        <v>36</v>
      </c>
      <c r="C446" s="71">
        <v>2025</v>
      </c>
      <c r="D446" s="71">
        <v>11</v>
      </c>
      <c r="E446" s="71" t="s">
        <v>48</v>
      </c>
      <c r="F446" s="71" t="s">
        <v>39</v>
      </c>
      <c r="G446" s="72">
        <v>167.9</v>
      </c>
      <c r="H446" s="73">
        <v>1481</v>
      </c>
      <c r="I446" s="73">
        <v>-127</v>
      </c>
      <c r="J446" s="73">
        <v>-15</v>
      </c>
      <c r="K446" s="73">
        <v>-378</v>
      </c>
      <c r="L446" s="73">
        <v>-96</v>
      </c>
      <c r="M446" s="73">
        <v>-51</v>
      </c>
      <c r="N446" s="73">
        <v>-61</v>
      </c>
      <c r="O446" s="73">
        <v>-33</v>
      </c>
      <c r="P446" s="73">
        <v>-44</v>
      </c>
      <c r="Q446" s="73">
        <v>-22</v>
      </c>
      <c r="R446" s="73">
        <v>0</v>
      </c>
      <c r="S446" s="73">
        <v>0</v>
      </c>
      <c r="T446" s="73">
        <v>0</v>
      </c>
      <c r="U446" s="73">
        <v>0</v>
      </c>
      <c r="V446" s="73">
        <v>0</v>
      </c>
      <c r="W446" s="73">
        <v>0</v>
      </c>
      <c r="X446" s="73">
        <v>0</v>
      </c>
      <c r="Y446" s="73">
        <v>0</v>
      </c>
      <c r="Z446" s="73">
        <v>2863</v>
      </c>
      <c r="AA446" s="73">
        <v>1282</v>
      </c>
      <c r="AB446" s="73">
        <v>0</v>
      </c>
      <c r="AC446" s="73">
        <v>0</v>
      </c>
      <c r="AD446" s="73">
        <v>0</v>
      </c>
      <c r="AE446" s="73">
        <v>0</v>
      </c>
      <c r="AF446" s="74">
        <f>tblData[[#This Row],[Gross Sales]]+tblData[[#This Row],[Trade Discounts]]+tblData[[#This Row],[Returns]]</f>
        <v>1339</v>
      </c>
      <c r="AG446" s="74">
        <f>tblData[[#This Row],[Material Cost]]+tblData[[#This Row],[Conversion Cost]]+tblData[[#This Row],[Inbound Freight]]</f>
        <v>-525</v>
      </c>
      <c r="AH446" s="74">
        <f>tblData[[#This Row],[Net Revenue]]+tblData[[#This Row],[COGS]]</f>
        <v>814</v>
      </c>
      <c r="AI446" s="74">
        <f>tblData[[#This Row],[Advertising]]+tblData[[#This Row],[Promotions]]</f>
        <v>-94</v>
      </c>
      <c r="AJ446" s="74">
        <f>tblData[[#This Row],[Outbound Logistics]]+tblData[[#This Row],[Direct Selling]]</f>
        <v>-66</v>
      </c>
      <c r="AK446" s="74">
        <f>tblData[[#This Row],[Gross Profit]]+tblData[[#This Row],[AP Spend]]+tblData[[#This Row],[Cost to Serve]]</f>
        <v>654</v>
      </c>
    </row>
    <row r="447" spans="2:37" x14ac:dyDescent="0.25">
      <c r="B447" s="71" t="s">
        <v>36</v>
      </c>
      <c r="C447" s="71">
        <v>2025</v>
      </c>
      <c r="D447" s="71">
        <v>11</v>
      </c>
      <c r="E447" s="71" t="s">
        <v>48</v>
      </c>
      <c r="F447" s="71" t="s">
        <v>40</v>
      </c>
      <c r="G447" s="72">
        <v>159.5</v>
      </c>
      <c r="H447" s="73">
        <v>1094</v>
      </c>
      <c r="I447" s="73">
        <v>-94</v>
      </c>
      <c r="J447" s="73">
        <v>-11</v>
      </c>
      <c r="K447" s="73">
        <v>-310</v>
      </c>
      <c r="L447" s="73">
        <v>-79</v>
      </c>
      <c r="M447" s="73">
        <v>-42</v>
      </c>
      <c r="N447" s="73">
        <v>-31</v>
      </c>
      <c r="O447" s="73">
        <v>-17</v>
      </c>
      <c r="P447" s="73">
        <v>-33</v>
      </c>
      <c r="Q447" s="73">
        <v>-16</v>
      </c>
      <c r="R447" s="73">
        <v>0</v>
      </c>
      <c r="S447" s="73">
        <v>0</v>
      </c>
      <c r="T447" s="73">
        <v>0</v>
      </c>
      <c r="U447" s="73">
        <v>0</v>
      </c>
      <c r="V447" s="73">
        <v>0</v>
      </c>
      <c r="W447" s="73">
        <v>0</v>
      </c>
      <c r="X447" s="73">
        <v>0</v>
      </c>
      <c r="Y447" s="73">
        <v>0</v>
      </c>
      <c r="Z447" s="73">
        <v>2137</v>
      </c>
      <c r="AA447" s="73">
        <v>997</v>
      </c>
      <c r="AB447" s="73">
        <v>0</v>
      </c>
      <c r="AC447" s="73">
        <v>0</v>
      </c>
      <c r="AD447" s="73">
        <v>0</v>
      </c>
      <c r="AE447" s="73">
        <v>0</v>
      </c>
      <c r="AF447" s="74">
        <f>tblData[[#This Row],[Gross Sales]]+tblData[[#This Row],[Trade Discounts]]+tblData[[#This Row],[Returns]]</f>
        <v>989</v>
      </c>
      <c r="AG447" s="74">
        <f>tblData[[#This Row],[Material Cost]]+tblData[[#This Row],[Conversion Cost]]+tblData[[#This Row],[Inbound Freight]]</f>
        <v>-431</v>
      </c>
      <c r="AH447" s="74">
        <f>tblData[[#This Row],[Net Revenue]]+tblData[[#This Row],[COGS]]</f>
        <v>558</v>
      </c>
      <c r="AI447" s="74">
        <f>tblData[[#This Row],[Advertising]]+tblData[[#This Row],[Promotions]]</f>
        <v>-48</v>
      </c>
      <c r="AJ447" s="74">
        <f>tblData[[#This Row],[Outbound Logistics]]+tblData[[#This Row],[Direct Selling]]</f>
        <v>-49</v>
      </c>
      <c r="AK447" s="74">
        <f>tblData[[#This Row],[Gross Profit]]+tblData[[#This Row],[AP Spend]]+tblData[[#This Row],[Cost to Serve]]</f>
        <v>461</v>
      </c>
    </row>
    <row r="448" spans="2:37" x14ac:dyDescent="0.25">
      <c r="B448" s="71" t="s">
        <v>36</v>
      </c>
      <c r="C448" s="71">
        <v>2025</v>
      </c>
      <c r="D448" s="71">
        <v>11</v>
      </c>
      <c r="E448" s="71" t="s">
        <v>48</v>
      </c>
      <c r="F448" s="71" t="s">
        <v>41</v>
      </c>
      <c r="G448" s="72">
        <v>80.2</v>
      </c>
      <c r="H448" s="73">
        <v>865</v>
      </c>
      <c r="I448" s="73">
        <v>-74</v>
      </c>
      <c r="J448" s="73">
        <v>-9</v>
      </c>
      <c r="K448" s="73">
        <v>-202</v>
      </c>
      <c r="L448" s="73">
        <v>-51</v>
      </c>
      <c r="M448" s="73">
        <v>-27</v>
      </c>
      <c r="N448" s="73">
        <v>-66</v>
      </c>
      <c r="O448" s="73">
        <v>-35</v>
      </c>
      <c r="P448" s="73">
        <v>-26</v>
      </c>
      <c r="Q448" s="73">
        <v>-13</v>
      </c>
      <c r="R448" s="73">
        <v>0</v>
      </c>
      <c r="S448" s="73">
        <v>0</v>
      </c>
      <c r="T448" s="73">
        <v>0</v>
      </c>
      <c r="U448" s="73">
        <v>0</v>
      </c>
      <c r="V448" s="73">
        <v>0</v>
      </c>
      <c r="W448" s="73">
        <v>0</v>
      </c>
      <c r="X448" s="73">
        <v>0</v>
      </c>
      <c r="Y448" s="73">
        <v>0</v>
      </c>
      <c r="Z448" s="73">
        <v>1646</v>
      </c>
      <c r="AA448" s="73">
        <v>760</v>
      </c>
      <c r="AB448" s="73">
        <v>0</v>
      </c>
      <c r="AC448" s="73">
        <v>0</v>
      </c>
      <c r="AD448" s="73">
        <v>0</v>
      </c>
      <c r="AE448" s="73">
        <v>0</v>
      </c>
      <c r="AF448" s="74">
        <f>tblData[[#This Row],[Gross Sales]]+tblData[[#This Row],[Trade Discounts]]+tblData[[#This Row],[Returns]]</f>
        <v>782</v>
      </c>
      <c r="AG448" s="74">
        <f>tblData[[#This Row],[Material Cost]]+tblData[[#This Row],[Conversion Cost]]+tblData[[#This Row],[Inbound Freight]]</f>
        <v>-280</v>
      </c>
      <c r="AH448" s="74">
        <f>tblData[[#This Row],[Net Revenue]]+tblData[[#This Row],[COGS]]</f>
        <v>502</v>
      </c>
      <c r="AI448" s="74">
        <f>tblData[[#This Row],[Advertising]]+tblData[[#This Row],[Promotions]]</f>
        <v>-101</v>
      </c>
      <c r="AJ448" s="74">
        <f>tblData[[#This Row],[Outbound Logistics]]+tblData[[#This Row],[Direct Selling]]</f>
        <v>-39</v>
      </c>
      <c r="AK448" s="74">
        <f>tblData[[#This Row],[Gross Profit]]+tblData[[#This Row],[AP Spend]]+tblData[[#This Row],[Cost to Serve]]</f>
        <v>362</v>
      </c>
    </row>
    <row r="449" spans="2:37" x14ac:dyDescent="0.25">
      <c r="B449" s="71" t="s">
        <v>36</v>
      </c>
      <c r="C449" s="71">
        <v>2025</v>
      </c>
      <c r="D449" s="71">
        <v>11</v>
      </c>
      <c r="E449" s="71" t="s">
        <v>48</v>
      </c>
      <c r="F449" s="71" t="s">
        <v>42</v>
      </c>
      <c r="G449" s="72">
        <v>106.4</v>
      </c>
      <c r="H449" s="73">
        <v>626</v>
      </c>
      <c r="I449" s="73">
        <v>-54</v>
      </c>
      <c r="J449" s="73">
        <v>-6</v>
      </c>
      <c r="K449" s="73">
        <v>-195</v>
      </c>
      <c r="L449" s="73">
        <v>-50</v>
      </c>
      <c r="M449" s="73">
        <v>-26</v>
      </c>
      <c r="N449" s="73">
        <v>-13</v>
      </c>
      <c r="O449" s="73">
        <v>-7</v>
      </c>
      <c r="P449" s="73">
        <v>-19</v>
      </c>
      <c r="Q449" s="73">
        <v>-9</v>
      </c>
      <c r="R449" s="73">
        <v>0</v>
      </c>
      <c r="S449" s="73">
        <v>0</v>
      </c>
      <c r="T449" s="73">
        <v>0</v>
      </c>
      <c r="U449" s="73">
        <v>0</v>
      </c>
      <c r="V449" s="73">
        <v>0</v>
      </c>
      <c r="W449" s="73">
        <v>0</v>
      </c>
      <c r="X449" s="73">
        <v>0</v>
      </c>
      <c r="Y449" s="73">
        <v>0</v>
      </c>
      <c r="Z449" s="73">
        <v>1201</v>
      </c>
      <c r="AA449" s="73">
        <v>904</v>
      </c>
      <c r="AB449" s="73">
        <v>0</v>
      </c>
      <c r="AC449" s="73">
        <v>0</v>
      </c>
      <c r="AD449" s="73">
        <v>0</v>
      </c>
      <c r="AE449" s="73">
        <v>0</v>
      </c>
      <c r="AF449" s="74">
        <f>tblData[[#This Row],[Gross Sales]]+tblData[[#This Row],[Trade Discounts]]+tblData[[#This Row],[Returns]]</f>
        <v>566</v>
      </c>
      <c r="AG449" s="74">
        <f>tblData[[#This Row],[Material Cost]]+tblData[[#This Row],[Conversion Cost]]+tblData[[#This Row],[Inbound Freight]]</f>
        <v>-271</v>
      </c>
      <c r="AH449" s="74">
        <f>tblData[[#This Row],[Net Revenue]]+tblData[[#This Row],[COGS]]</f>
        <v>295</v>
      </c>
      <c r="AI449" s="74">
        <f>tblData[[#This Row],[Advertising]]+tblData[[#This Row],[Promotions]]</f>
        <v>-20</v>
      </c>
      <c r="AJ449" s="74">
        <f>tblData[[#This Row],[Outbound Logistics]]+tblData[[#This Row],[Direct Selling]]</f>
        <v>-28</v>
      </c>
      <c r="AK449" s="74">
        <f>tblData[[#This Row],[Gross Profit]]+tblData[[#This Row],[AP Spend]]+tblData[[#This Row],[Cost to Serve]]</f>
        <v>247</v>
      </c>
    </row>
    <row r="450" spans="2:37" x14ac:dyDescent="0.25">
      <c r="B450" s="71" t="s">
        <v>36</v>
      </c>
      <c r="C450" s="71">
        <v>2025</v>
      </c>
      <c r="D450" s="71">
        <v>11</v>
      </c>
      <c r="E450" s="71" t="s">
        <v>48</v>
      </c>
      <c r="F450" s="71" t="s">
        <v>43</v>
      </c>
      <c r="G450" s="72">
        <v>20.399999999999999</v>
      </c>
      <c r="H450" s="73">
        <v>360</v>
      </c>
      <c r="I450" s="73">
        <v>-31</v>
      </c>
      <c r="J450" s="73">
        <v>-4</v>
      </c>
      <c r="K450" s="73">
        <v>-97</v>
      </c>
      <c r="L450" s="73">
        <v>-25</v>
      </c>
      <c r="M450" s="73">
        <v>-13</v>
      </c>
      <c r="N450" s="73">
        <v>-36</v>
      </c>
      <c r="O450" s="73">
        <v>-19</v>
      </c>
      <c r="P450" s="73">
        <v>-11</v>
      </c>
      <c r="Q450" s="73">
        <v>-5</v>
      </c>
      <c r="R450" s="73">
        <v>0</v>
      </c>
      <c r="S450" s="73">
        <v>0</v>
      </c>
      <c r="T450" s="73">
        <v>0</v>
      </c>
      <c r="U450" s="73">
        <v>0</v>
      </c>
      <c r="V450" s="73">
        <v>0</v>
      </c>
      <c r="W450" s="73">
        <v>0</v>
      </c>
      <c r="X450" s="73">
        <v>0</v>
      </c>
      <c r="Y450" s="73">
        <v>0</v>
      </c>
      <c r="Z450" s="73">
        <v>714</v>
      </c>
      <c r="AA450" s="73">
        <v>506</v>
      </c>
      <c r="AB450" s="73">
        <v>0</v>
      </c>
      <c r="AC450" s="73">
        <v>0</v>
      </c>
      <c r="AD450" s="73">
        <v>0</v>
      </c>
      <c r="AE450" s="73">
        <v>0</v>
      </c>
      <c r="AF450" s="74">
        <f>tblData[[#This Row],[Gross Sales]]+tblData[[#This Row],[Trade Discounts]]+tblData[[#This Row],[Returns]]</f>
        <v>325</v>
      </c>
      <c r="AG450" s="74">
        <f>tblData[[#This Row],[Material Cost]]+tblData[[#This Row],[Conversion Cost]]+tblData[[#This Row],[Inbound Freight]]</f>
        <v>-135</v>
      </c>
      <c r="AH450" s="74">
        <f>tblData[[#This Row],[Net Revenue]]+tblData[[#This Row],[COGS]]</f>
        <v>190</v>
      </c>
      <c r="AI450" s="74">
        <f>tblData[[#This Row],[Advertising]]+tblData[[#This Row],[Promotions]]</f>
        <v>-55</v>
      </c>
      <c r="AJ450" s="74">
        <f>tblData[[#This Row],[Outbound Logistics]]+tblData[[#This Row],[Direct Selling]]</f>
        <v>-16</v>
      </c>
      <c r="AK450" s="74">
        <f>tblData[[#This Row],[Gross Profit]]+tblData[[#This Row],[AP Spend]]+tblData[[#This Row],[Cost to Serve]]</f>
        <v>119</v>
      </c>
    </row>
    <row r="451" spans="2:37" x14ac:dyDescent="0.25">
      <c r="B451" s="71" t="s">
        <v>36</v>
      </c>
      <c r="C451" s="71">
        <v>2025</v>
      </c>
      <c r="D451" s="71">
        <v>11</v>
      </c>
      <c r="E451" s="71" t="s">
        <v>49</v>
      </c>
      <c r="F451" s="71" t="s">
        <v>49</v>
      </c>
      <c r="G451" s="72">
        <v>0</v>
      </c>
      <c r="H451" s="73">
        <v>0</v>
      </c>
      <c r="I451" s="73">
        <v>0</v>
      </c>
      <c r="J451" s="73">
        <v>0</v>
      </c>
      <c r="K451" s="73">
        <v>0</v>
      </c>
      <c r="L451" s="73">
        <v>0</v>
      </c>
      <c r="M451" s="73">
        <v>0</v>
      </c>
      <c r="N451" s="73">
        <v>0</v>
      </c>
      <c r="O451" s="73">
        <v>0</v>
      </c>
      <c r="P451" s="73">
        <v>0</v>
      </c>
      <c r="Q451" s="73">
        <v>0</v>
      </c>
      <c r="R451" s="73">
        <v>-4122</v>
      </c>
      <c r="S451" s="73">
        <v>-974</v>
      </c>
      <c r="T451" s="73">
        <v>-1261</v>
      </c>
      <c r="U451" s="73">
        <v>-1079</v>
      </c>
      <c r="V451" s="73">
        <v>-1413</v>
      </c>
      <c r="W451" s="73">
        <v>-722</v>
      </c>
      <c r="X451" s="73">
        <v>-2493</v>
      </c>
      <c r="Y451" s="73">
        <v>-1546</v>
      </c>
      <c r="Z451" s="73">
        <v>0</v>
      </c>
      <c r="AA451" s="73">
        <v>0</v>
      </c>
      <c r="AB451" s="73">
        <v>40135</v>
      </c>
      <c r="AC451" s="73">
        <v>41123</v>
      </c>
      <c r="AD451" s="73">
        <v>192500</v>
      </c>
      <c r="AE451" s="73">
        <v>1162</v>
      </c>
      <c r="AF451" s="74">
        <f>tblData[[#This Row],[Gross Sales]]+tblData[[#This Row],[Trade Discounts]]+tblData[[#This Row],[Returns]]</f>
        <v>0</v>
      </c>
      <c r="AG451" s="74">
        <f>tblData[[#This Row],[Material Cost]]+tblData[[#This Row],[Conversion Cost]]+tblData[[#This Row],[Inbound Freight]]</f>
        <v>0</v>
      </c>
      <c r="AH451" s="74">
        <f>tblData[[#This Row],[Net Revenue]]+tblData[[#This Row],[COGS]]</f>
        <v>0</v>
      </c>
      <c r="AI451" s="74">
        <f>tblData[[#This Row],[Advertising]]+tblData[[#This Row],[Promotions]]</f>
        <v>0</v>
      </c>
      <c r="AJ451" s="74">
        <f>tblData[[#This Row],[Outbound Logistics]]+tblData[[#This Row],[Direct Selling]]</f>
        <v>0</v>
      </c>
      <c r="AK451" s="74">
        <f>tblData[[#This Row],[Gross Profit]]+tblData[[#This Row],[AP Spend]]+tblData[[#This Row],[Cost to Serve]]</f>
        <v>0</v>
      </c>
    </row>
    <row r="452" spans="2:37" x14ac:dyDescent="0.25">
      <c r="B452" s="71" t="s">
        <v>36</v>
      </c>
      <c r="C452" s="71">
        <v>2025</v>
      </c>
      <c r="D452" s="71">
        <v>12</v>
      </c>
      <c r="E452" s="71" t="s">
        <v>37</v>
      </c>
      <c r="F452" s="71" t="s">
        <v>38</v>
      </c>
      <c r="G452" s="72">
        <v>344.9</v>
      </c>
      <c r="H452" s="73">
        <v>4732</v>
      </c>
      <c r="I452" s="73">
        <v>-880</v>
      </c>
      <c r="J452" s="73">
        <v>-71</v>
      </c>
      <c r="K452" s="73">
        <v>-1007</v>
      </c>
      <c r="L452" s="73">
        <v>-256</v>
      </c>
      <c r="M452" s="73">
        <v>-135</v>
      </c>
      <c r="N452" s="73">
        <v>-297</v>
      </c>
      <c r="O452" s="73">
        <v>-160</v>
      </c>
      <c r="P452" s="73">
        <v>-189</v>
      </c>
      <c r="Q452" s="73">
        <v>-142</v>
      </c>
      <c r="R452" s="73">
        <v>0</v>
      </c>
      <c r="S452" s="73">
        <v>0</v>
      </c>
      <c r="T452" s="73">
        <v>0</v>
      </c>
      <c r="U452" s="73">
        <v>0</v>
      </c>
      <c r="V452" s="73">
        <v>0</v>
      </c>
      <c r="W452" s="73">
        <v>0</v>
      </c>
      <c r="X452" s="73">
        <v>0</v>
      </c>
      <c r="Y452" s="73">
        <v>0</v>
      </c>
      <c r="Z452" s="73">
        <v>7111</v>
      </c>
      <c r="AA452" s="73">
        <v>4539</v>
      </c>
      <c r="AB452" s="73">
        <v>0</v>
      </c>
      <c r="AC452" s="73">
        <v>0</v>
      </c>
      <c r="AD452" s="73">
        <v>0</v>
      </c>
      <c r="AE452" s="73">
        <v>0</v>
      </c>
      <c r="AF452" s="74">
        <f>tblData[[#This Row],[Gross Sales]]+tblData[[#This Row],[Trade Discounts]]+tblData[[#This Row],[Returns]]</f>
        <v>3781</v>
      </c>
      <c r="AG452" s="74">
        <f>tblData[[#This Row],[Material Cost]]+tblData[[#This Row],[Conversion Cost]]+tblData[[#This Row],[Inbound Freight]]</f>
        <v>-1398</v>
      </c>
      <c r="AH452" s="74">
        <f>tblData[[#This Row],[Net Revenue]]+tblData[[#This Row],[COGS]]</f>
        <v>2383</v>
      </c>
      <c r="AI452" s="74">
        <f>tblData[[#This Row],[Advertising]]+tblData[[#This Row],[Promotions]]</f>
        <v>-457</v>
      </c>
      <c r="AJ452" s="74">
        <f>tblData[[#This Row],[Outbound Logistics]]+tblData[[#This Row],[Direct Selling]]</f>
        <v>-331</v>
      </c>
      <c r="AK452" s="74">
        <f>tblData[[#This Row],[Gross Profit]]+tblData[[#This Row],[AP Spend]]+tblData[[#This Row],[Cost to Serve]]</f>
        <v>1595</v>
      </c>
    </row>
    <row r="453" spans="2:37" x14ac:dyDescent="0.25">
      <c r="B453" s="71" t="s">
        <v>36</v>
      </c>
      <c r="C453" s="71">
        <v>2025</v>
      </c>
      <c r="D453" s="71">
        <v>12</v>
      </c>
      <c r="E453" s="71" t="s">
        <v>37</v>
      </c>
      <c r="F453" s="71" t="s">
        <v>39</v>
      </c>
      <c r="G453" s="72">
        <v>455.2</v>
      </c>
      <c r="H453" s="73">
        <v>4015</v>
      </c>
      <c r="I453" s="73">
        <v>-747</v>
      </c>
      <c r="J453" s="73">
        <v>-60</v>
      </c>
      <c r="K453" s="73">
        <v>-1025</v>
      </c>
      <c r="L453" s="73">
        <v>-260</v>
      </c>
      <c r="M453" s="73">
        <v>-137</v>
      </c>
      <c r="N453" s="73">
        <v>-170</v>
      </c>
      <c r="O453" s="73">
        <v>-91</v>
      </c>
      <c r="P453" s="73">
        <v>-161</v>
      </c>
      <c r="Q453" s="73">
        <v>-120</v>
      </c>
      <c r="R453" s="73">
        <v>0</v>
      </c>
      <c r="S453" s="73">
        <v>0</v>
      </c>
      <c r="T453" s="73">
        <v>0</v>
      </c>
      <c r="U453" s="73">
        <v>0</v>
      </c>
      <c r="V453" s="73">
        <v>0</v>
      </c>
      <c r="W453" s="73">
        <v>0</v>
      </c>
      <c r="X453" s="73">
        <v>0</v>
      </c>
      <c r="Y453" s="73">
        <v>0</v>
      </c>
      <c r="Z453" s="73">
        <v>6125</v>
      </c>
      <c r="AA453" s="73">
        <v>3951</v>
      </c>
      <c r="AB453" s="73">
        <v>0</v>
      </c>
      <c r="AC453" s="73">
        <v>0</v>
      </c>
      <c r="AD453" s="73">
        <v>0</v>
      </c>
      <c r="AE453" s="73">
        <v>0</v>
      </c>
      <c r="AF453" s="74">
        <f>tblData[[#This Row],[Gross Sales]]+tblData[[#This Row],[Trade Discounts]]+tblData[[#This Row],[Returns]]</f>
        <v>3208</v>
      </c>
      <c r="AG453" s="74">
        <f>tblData[[#This Row],[Material Cost]]+tblData[[#This Row],[Conversion Cost]]+tblData[[#This Row],[Inbound Freight]]</f>
        <v>-1422</v>
      </c>
      <c r="AH453" s="74">
        <f>tblData[[#This Row],[Net Revenue]]+tblData[[#This Row],[COGS]]</f>
        <v>1786</v>
      </c>
      <c r="AI453" s="74">
        <f>tblData[[#This Row],[Advertising]]+tblData[[#This Row],[Promotions]]</f>
        <v>-261</v>
      </c>
      <c r="AJ453" s="74">
        <f>tblData[[#This Row],[Outbound Logistics]]+tblData[[#This Row],[Direct Selling]]</f>
        <v>-281</v>
      </c>
      <c r="AK453" s="74">
        <f>tblData[[#This Row],[Gross Profit]]+tblData[[#This Row],[AP Spend]]+tblData[[#This Row],[Cost to Serve]]</f>
        <v>1244</v>
      </c>
    </row>
    <row r="454" spans="2:37" x14ac:dyDescent="0.25">
      <c r="B454" s="71" t="s">
        <v>36</v>
      </c>
      <c r="C454" s="71">
        <v>2025</v>
      </c>
      <c r="D454" s="71">
        <v>12</v>
      </c>
      <c r="E454" s="71" t="s">
        <v>37</v>
      </c>
      <c r="F454" s="71" t="s">
        <v>40</v>
      </c>
      <c r="G454" s="72">
        <v>428.3</v>
      </c>
      <c r="H454" s="73">
        <v>2938</v>
      </c>
      <c r="I454" s="73">
        <v>-546</v>
      </c>
      <c r="J454" s="73">
        <v>-44</v>
      </c>
      <c r="K454" s="73">
        <v>-833</v>
      </c>
      <c r="L454" s="73">
        <v>-212</v>
      </c>
      <c r="M454" s="73">
        <v>-112</v>
      </c>
      <c r="N454" s="73">
        <v>-85</v>
      </c>
      <c r="O454" s="73">
        <v>-46</v>
      </c>
      <c r="P454" s="73">
        <v>-118</v>
      </c>
      <c r="Q454" s="73">
        <v>-88</v>
      </c>
      <c r="R454" s="73">
        <v>0</v>
      </c>
      <c r="S454" s="73">
        <v>0</v>
      </c>
      <c r="T454" s="73">
        <v>0</v>
      </c>
      <c r="U454" s="73">
        <v>0</v>
      </c>
      <c r="V454" s="73">
        <v>0</v>
      </c>
      <c r="W454" s="73">
        <v>0</v>
      </c>
      <c r="X454" s="73">
        <v>0</v>
      </c>
      <c r="Y454" s="73">
        <v>0</v>
      </c>
      <c r="Z454" s="73">
        <v>4483</v>
      </c>
      <c r="AA454" s="73">
        <v>3012</v>
      </c>
      <c r="AB454" s="73">
        <v>0</v>
      </c>
      <c r="AC454" s="73">
        <v>0</v>
      </c>
      <c r="AD454" s="73">
        <v>0</v>
      </c>
      <c r="AE454" s="73">
        <v>0</v>
      </c>
      <c r="AF454" s="74">
        <f>tblData[[#This Row],[Gross Sales]]+tblData[[#This Row],[Trade Discounts]]+tblData[[#This Row],[Returns]]</f>
        <v>2348</v>
      </c>
      <c r="AG454" s="74">
        <f>tblData[[#This Row],[Material Cost]]+tblData[[#This Row],[Conversion Cost]]+tblData[[#This Row],[Inbound Freight]]</f>
        <v>-1157</v>
      </c>
      <c r="AH454" s="74">
        <f>tblData[[#This Row],[Net Revenue]]+tblData[[#This Row],[COGS]]</f>
        <v>1191</v>
      </c>
      <c r="AI454" s="74">
        <f>tblData[[#This Row],[Advertising]]+tblData[[#This Row],[Promotions]]</f>
        <v>-131</v>
      </c>
      <c r="AJ454" s="74">
        <f>tblData[[#This Row],[Outbound Logistics]]+tblData[[#This Row],[Direct Selling]]</f>
        <v>-206</v>
      </c>
      <c r="AK454" s="74">
        <f>tblData[[#This Row],[Gross Profit]]+tblData[[#This Row],[AP Spend]]+tblData[[#This Row],[Cost to Serve]]</f>
        <v>854</v>
      </c>
    </row>
    <row r="455" spans="2:37" x14ac:dyDescent="0.25">
      <c r="B455" s="71" t="s">
        <v>36</v>
      </c>
      <c r="C455" s="71">
        <v>2025</v>
      </c>
      <c r="D455" s="71">
        <v>12</v>
      </c>
      <c r="E455" s="71" t="s">
        <v>37</v>
      </c>
      <c r="F455" s="71" t="s">
        <v>41</v>
      </c>
      <c r="G455" s="72">
        <v>225.4</v>
      </c>
      <c r="H455" s="73">
        <v>2430</v>
      </c>
      <c r="I455" s="73">
        <v>-452</v>
      </c>
      <c r="J455" s="73">
        <v>-36</v>
      </c>
      <c r="K455" s="73">
        <v>-569</v>
      </c>
      <c r="L455" s="73">
        <v>-144</v>
      </c>
      <c r="M455" s="73">
        <v>-76</v>
      </c>
      <c r="N455" s="73">
        <v>-182</v>
      </c>
      <c r="O455" s="73">
        <v>-98</v>
      </c>
      <c r="P455" s="73">
        <v>-97</v>
      </c>
      <c r="Q455" s="73">
        <v>-73</v>
      </c>
      <c r="R455" s="73">
        <v>0</v>
      </c>
      <c r="S455" s="73">
        <v>0</v>
      </c>
      <c r="T455" s="73">
        <v>0</v>
      </c>
      <c r="U455" s="73">
        <v>0</v>
      </c>
      <c r="V455" s="73">
        <v>0</v>
      </c>
      <c r="W455" s="73">
        <v>0</v>
      </c>
      <c r="X455" s="73">
        <v>0</v>
      </c>
      <c r="Y455" s="73">
        <v>0</v>
      </c>
      <c r="Z455" s="73">
        <v>3588</v>
      </c>
      <c r="AA455" s="73">
        <v>2387</v>
      </c>
      <c r="AB455" s="73">
        <v>0</v>
      </c>
      <c r="AC455" s="73">
        <v>0</v>
      </c>
      <c r="AD455" s="73">
        <v>0</v>
      </c>
      <c r="AE455" s="73">
        <v>0</v>
      </c>
      <c r="AF455" s="74">
        <f>tblData[[#This Row],[Gross Sales]]+tblData[[#This Row],[Trade Discounts]]+tblData[[#This Row],[Returns]]</f>
        <v>1942</v>
      </c>
      <c r="AG455" s="74">
        <f>tblData[[#This Row],[Material Cost]]+tblData[[#This Row],[Conversion Cost]]+tblData[[#This Row],[Inbound Freight]]</f>
        <v>-789</v>
      </c>
      <c r="AH455" s="74">
        <f>tblData[[#This Row],[Net Revenue]]+tblData[[#This Row],[COGS]]</f>
        <v>1153</v>
      </c>
      <c r="AI455" s="74">
        <f>tblData[[#This Row],[Advertising]]+tblData[[#This Row],[Promotions]]</f>
        <v>-280</v>
      </c>
      <c r="AJ455" s="74">
        <f>tblData[[#This Row],[Outbound Logistics]]+tblData[[#This Row],[Direct Selling]]</f>
        <v>-170</v>
      </c>
      <c r="AK455" s="74">
        <f>tblData[[#This Row],[Gross Profit]]+tblData[[#This Row],[AP Spend]]+tblData[[#This Row],[Cost to Serve]]</f>
        <v>703</v>
      </c>
    </row>
    <row r="456" spans="2:37" x14ac:dyDescent="0.25">
      <c r="B456" s="71" t="s">
        <v>36</v>
      </c>
      <c r="C456" s="71">
        <v>2025</v>
      </c>
      <c r="D456" s="71">
        <v>12</v>
      </c>
      <c r="E456" s="71" t="s">
        <v>37</v>
      </c>
      <c r="F456" s="71" t="s">
        <v>42</v>
      </c>
      <c r="G456" s="72">
        <v>286.60000000000002</v>
      </c>
      <c r="H456" s="73">
        <v>1685</v>
      </c>
      <c r="I456" s="73">
        <v>-313</v>
      </c>
      <c r="J456" s="73">
        <v>-25</v>
      </c>
      <c r="K456" s="73">
        <v>-526</v>
      </c>
      <c r="L456" s="73">
        <v>-133</v>
      </c>
      <c r="M456" s="73">
        <v>-70</v>
      </c>
      <c r="N456" s="73">
        <v>-35</v>
      </c>
      <c r="O456" s="73">
        <v>-19</v>
      </c>
      <c r="P456" s="73">
        <v>-67</v>
      </c>
      <c r="Q456" s="73">
        <v>-51</v>
      </c>
      <c r="R456" s="73">
        <v>0</v>
      </c>
      <c r="S456" s="73">
        <v>0</v>
      </c>
      <c r="T456" s="73">
        <v>0</v>
      </c>
      <c r="U456" s="73">
        <v>0</v>
      </c>
      <c r="V456" s="73">
        <v>0</v>
      </c>
      <c r="W456" s="73">
        <v>0</v>
      </c>
      <c r="X456" s="73">
        <v>0</v>
      </c>
      <c r="Y456" s="73">
        <v>0</v>
      </c>
      <c r="Z456" s="73">
        <v>2553</v>
      </c>
      <c r="AA456" s="73">
        <v>2767</v>
      </c>
      <c r="AB456" s="73">
        <v>0</v>
      </c>
      <c r="AC456" s="73">
        <v>0</v>
      </c>
      <c r="AD456" s="73">
        <v>0</v>
      </c>
      <c r="AE456" s="73">
        <v>0</v>
      </c>
      <c r="AF456" s="74">
        <f>tblData[[#This Row],[Gross Sales]]+tblData[[#This Row],[Trade Discounts]]+tblData[[#This Row],[Returns]]</f>
        <v>1347</v>
      </c>
      <c r="AG456" s="74">
        <f>tblData[[#This Row],[Material Cost]]+tblData[[#This Row],[Conversion Cost]]+tblData[[#This Row],[Inbound Freight]]</f>
        <v>-729</v>
      </c>
      <c r="AH456" s="74">
        <f>tblData[[#This Row],[Net Revenue]]+tblData[[#This Row],[COGS]]</f>
        <v>618</v>
      </c>
      <c r="AI456" s="74">
        <f>tblData[[#This Row],[Advertising]]+tblData[[#This Row],[Promotions]]</f>
        <v>-54</v>
      </c>
      <c r="AJ456" s="74">
        <f>tblData[[#This Row],[Outbound Logistics]]+tblData[[#This Row],[Direct Selling]]</f>
        <v>-118</v>
      </c>
      <c r="AK456" s="74">
        <f>tblData[[#This Row],[Gross Profit]]+tblData[[#This Row],[AP Spend]]+tblData[[#This Row],[Cost to Serve]]</f>
        <v>446</v>
      </c>
    </row>
    <row r="457" spans="2:37" x14ac:dyDescent="0.25">
      <c r="B457" s="71" t="s">
        <v>36</v>
      </c>
      <c r="C457" s="71">
        <v>2025</v>
      </c>
      <c r="D457" s="71">
        <v>12</v>
      </c>
      <c r="E457" s="71" t="s">
        <v>37</v>
      </c>
      <c r="F457" s="71" t="s">
        <v>43</v>
      </c>
      <c r="G457" s="72">
        <v>55.4</v>
      </c>
      <c r="H457" s="73">
        <v>978</v>
      </c>
      <c r="I457" s="73">
        <v>-182</v>
      </c>
      <c r="J457" s="73">
        <v>-15</v>
      </c>
      <c r="K457" s="73">
        <v>-263</v>
      </c>
      <c r="L457" s="73">
        <v>-67</v>
      </c>
      <c r="M457" s="73">
        <v>-35</v>
      </c>
      <c r="N457" s="73">
        <v>-99</v>
      </c>
      <c r="O457" s="73">
        <v>-53</v>
      </c>
      <c r="P457" s="73">
        <v>-39</v>
      </c>
      <c r="Q457" s="73">
        <v>-29</v>
      </c>
      <c r="R457" s="73">
        <v>0</v>
      </c>
      <c r="S457" s="73">
        <v>0</v>
      </c>
      <c r="T457" s="73">
        <v>0</v>
      </c>
      <c r="U457" s="73">
        <v>0</v>
      </c>
      <c r="V457" s="73">
        <v>0</v>
      </c>
      <c r="W457" s="73">
        <v>0</v>
      </c>
      <c r="X457" s="73">
        <v>0</v>
      </c>
      <c r="Y457" s="73">
        <v>0</v>
      </c>
      <c r="Z457" s="73">
        <v>1460</v>
      </c>
      <c r="AA457" s="73">
        <v>1491</v>
      </c>
      <c r="AB457" s="73">
        <v>0</v>
      </c>
      <c r="AC457" s="73">
        <v>0</v>
      </c>
      <c r="AD457" s="73">
        <v>0</v>
      </c>
      <c r="AE457" s="73">
        <v>0</v>
      </c>
      <c r="AF457" s="74">
        <f>tblData[[#This Row],[Gross Sales]]+tblData[[#This Row],[Trade Discounts]]+tblData[[#This Row],[Returns]]</f>
        <v>781</v>
      </c>
      <c r="AG457" s="74">
        <f>tblData[[#This Row],[Material Cost]]+tblData[[#This Row],[Conversion Cost]]+tblData[[#This Row],[Inbound Freight]]</f>
        <v>-365</v>
      </c>
      <c r="AH457" s="74">
        <f>tblData[[#This Row],[Net Revenue]]+tblData[[#This Row],[COGS]]</f>
        <v>416</v>
      </c>
      <c r="AI457" s="74">
        <f>tblData[[#This Row],[Advertising]]+tblData[[#This Row],[Promotions]]</f>
        <v>-152</v>
      </c>
      <c r="AJ457" s="74">
        <f>tblData[[#This Row],[Outbound Logistics]]+tblData[[#This Row],[Direct Selling]]</f>
        <v>-68</v>
      </c>
      <c r="AK457" s="74">
        <f>tblData[[#This Row],[Gross Profit]]+tblData[[#This Row],[AP Spend]]+tblData[[#This Row],[Cost to Serve]]</f>
        <v>196</v>
      </c>
    </row>
    <row r="458" spans="2:37" x14ac:dyDescent="0.25">
      <c r="B458" s="71" t="s">
        <v>36</v>
      </c>
      <c r="C458" s="71">
        <v>2025</v>
      </c>
      <c r="D458" s="71">
        <v>12</v>
      </c>
      <c r="E458" s="71" t="s">
        <v>44</v>
      </c>
      <c r="F458" s="71" t="s">
        <v>38</v>
      </c>
      <c r="G458" s="72">
        <v>286.39999999999998</v>
      </c>
      <c r="H458" s="73">
        <v>3929</v>
      </c>
      <c r="I458" s="73">
        <v>-613</v>
      </c>
      <c r="J458" s="73">
        <v>-47</v>
      </c>
      <c r="K458" s="73">
        <v>-836</v>
      </c>
      <c r="L458" s="73">
        <v>-212</v>
      </c>
      <c r="M458" s="73">
        <v>-112</v>
      </c>
      <c r="N458" s="73">
        <v>-238</v>
      </c>
      <c r="O458" s="73">
        <v>-128</v>
      </c>
      <c r="P458" s="73">
        <v>-157</v>
      </c>
      <c r="Q458" s="73">
        <v>-118</v>
      </c>
      <c r="R458" s="73">
        <v>0</v>
      </c>
      <c r="S458" s="73">
        <v>0</v>
      </c>
      <c r="T458" s="73">
        <v>0</v>
      </c>
      <c r="U458" s="73">
        <v>0</v>
      </c>
      <c r="V458" s="73">
        <v>0</v>
      </c>
      <c r="W458" s="73">
        <v>0</v>
      </c>
      <c r="X458" s="73">
        <v>0</v>
      </c>
      <c r="Y458" s="73">
        <v>0</v>
      </c>
      <c r="Z458" s="73">
        <v>5419</v>
      </c>
      <c r="AA458" s="73">
        <v>3654</v>
      </c>
      <c r="AB458" s="73">
        <v>0</v>
      </c>
      <c r="AC458" s="73">
        <v>0</v>
      </c>
      <c r="AD458" s="73">
        <v>0</v>
      </c>
      <c r="AE458" s="73">
        <v>0</v>
      </c>
      <c r="AF458" s="74">
        <f>tblData[[#This Row],[Gross Sales]]+tblData[[#This Row],[Trade Discounts]]+tblData[[#This Row],[Returns]]</f>
        <v>3269</v>
      </c>
      <c r="AG458" s="74">
        <f>tblData[[#This Row],[Material Cost]]+tblData[[#This Row],[Conversion Cost]]+tblData[[#This Row],[Inbound Freight]]</f>
        <v>-1160</v>
      </c>
      <c r="AH458" s="74">
        <f>tblData[[#This Row],[Net Revenue]]+tblData[[#This Row],[COGS]]</f>
        <v>2109</v>
      </c>
      <c r="AI458" s="74">
        <f>tblData[[#This Row],[Advertising]]+tblData[[#This Row],[Promotions]]</f>
        <v>-366</v>
      </c>
      <c r="AJ458" s="74">
        <f>tblData[[#This Row],[Outbound Logistics]]+tblData[[#This Row],[Direct Selling]]</f>
        <v>-275</v>
      </c>
      <c r="AK458" s="74">
        <f>tblData[[#This Row],[Gross Profit]]+tblData[[#This Row],[AP Spend]]+tblData[[#This Row],[Cost to Serve]]</f>
        <v>1468</v>
      </c>
    </row>
    <row r="459" spans="2:37" x14ac:dyDescent="0.25">
      <c r="B459" s="71" t="s">
        <v>36</v>
      </c>
      <c r="C459" s="71">
        <v>2025</v>
      </c>
      <c r="D459" s="71">
        <v>12</v>
      </c>
      <c r="E459" s="71" t="s">
        <v>44</v>
      </c>
      <c r="F459" s="71" t="s">
        <v>39</v>
      </c>
      <c r="G459" s="72">
        <v>366.5</v>
      </c>
      <c r="H459" s="73">
        <v>3232</v>
      </c>
      <c r="I459" s="73">
        <v>-504</v>
      </c>
      <c r="J459" s="73">
        <v>-39</v>
      </c>
      <c r="K459" s="73">
        <v>-825</v>
      </c>
      <c r="L459" s="73">
        <v>-209</v>
      </c>
      <c r="M459" s="73">
        <v>-111</v>
      </c>
      <c r="N459" s="73">
        <v>-136</v>
      </c>
      <c r="O459" s="73">
        <v>-73</v>
      </c>
      <c r="P459" s="73">
        <v>-129</v>
      </c>
      <c r="Q459" s="73">
        <v>-97</v>
      </c>
      <c r="R459" s="73">
        <v>0</v>
      </c>
      <c r="S459" s="73">
        <v>0</v>
      </c>
      <c r="T459" s="73">
        <v>0</v>
      </c>
      <c r="U459" s="73">
        <v>0</v>
      </c>
      <c r="V459" s="73">
        <v>0</v>
      </c>
      <c r="W459" s="73">
        <v>0</v>
      </c>
      <c r="X459" s="73">
        <v>0</v>
      </c>
      <c r="Y459" s="73">
        <v>0</v>
      </c>
      <c r="Z459" s="73">
        <v>4555</v>
      </c>
      <c r="AA459" s="73">
        <v>3104</v>
      </c>
      <c r="AB459" s="73">
        <v>0</v>
      </c>
      <c r="AC459" s="73">
        <v>0</v>
      </c>
      <c r="AD459" s="73">
        <v>0</v>
      </c>
      <c r="AE459" s="73">
        <v>0</v>
      </c>
      <c r="AF459" s="74">
        <f>tblData[[#This Row],[Gross Sales]]+tblData[[#This Row],[Trade Discounts]]+tblData[[#This Row],[Returns]]</f>
        <v>2689</v>
      </c>
      <c r="AG459" s="74">
        <f>tblData[[#This Row],[Material Cost]]+tblData[[#This Row],[Conversion Cost]]+tblData[[#This Row],[Inbound Freight]]</f>
        <v>-1145</v>
      </c>
      <c r="AH459" s="74">
        <f>tblData[[#This Row],[Net Revenue]]+tblData[[#This Row],[COGS]]</f>
        <v>1544</v>
      </c>
      <c r="AI459" s="74">
        <f>tblData[[#This Row],[Advertising]]+tblData[[#This Row],[Promotions]]</f>
        <v>-209</v>
      </c>
      <c r="AJ459" s="74">
        <f>tblData[[#This Row],[Outbound Logistics]]+tblData[[#This Row],[Direct Selling]]</f>
        <v>-226</v>
      </c>
      <c r="AK459" s="74">
        <f>tblData[[#This Row],[Gross Profit]]+tblData[[#This Row],[AP Spend]]+tblData[[#This Row],[Cost to Serve]]</f>
        <v>1109</v>
      </c>
    </row>
    <row r="460" spans="2:37" x14ac:dyDescent="0.25">
      <c r="B460" s="71" t="s">
        <v>36</v>
      </c>
      <c r="C460" s="71">
        <v>2025</v>
      </c>
      <c r="D460" s="71">
        <v>12</v>
      </c>
      <c r="E460" s="71" t="s">
        <v>44</v>
      </c>
      <c r="F460" s="71" t="s">
        <v>40</v>
      </c>
      <c r="G460" s="72">
        <v>346</v>
      </c>
      <c r="H460" s="73">
        <v>2374</v>
      </c>
      <c r="I460" s="73">
        <v>-370</v>
      </c>
      <c r="J460" s="73">
        <v>-28</v>
      </c>
      <c r="K460" s="73">
        <v>-673</v>
      </c>
      <c r="L460" s="73">
        <v>-171</v>
      </c>
      <c r="M460" s="73">
        <v>-90</v>
      </c>
      <c r="N460" s="73">
        <v>-68</v>
      </c>
      <c r="O460" s="73">
        <v>-37</v>
      </c>
      <c r="P460" s="73">
        <v>-95</v>
      </c>
      <c r="Q460" s="73">
        <v>-71</v>
      </c>
      <c r="R460" s="73">
        <v>0</v>
      </c>
      <c r="S460" s="73">
        <v>0</v>
      </c>
      <c r="T460" s="73">
        <v>0</v>
      </c>
      <c r="U460" s="73">
        <v>0</v>
      </c>
      <c r="V460" s="73">
        <v>0</v>
      </c>
      <c r="W460" s="73">
        <v>0</v>
      </c>
      <c r="X460" s="73">
        <v>0</v>
      </c>
      <c r="Y460" s="73">
        <v>0</v>
      </c>
      <c r="Z460" s="73">
        <v>3425</v>
      </c>
      <c r="AA460" s="73">
        <v>2431</v>
      </c>
      <c r="AB460" s="73">
        <v>0</v>
      </c>
      <c r="AC460" s="73">
        <v>0</v>
      </c>
      <c r="AD460" s="73">
        <v>0</v>
      </c>
      <c r="AE460" s="73">
        <v>0</v>
      </c>
      <c r="AF460" s="74">
        <f>tblData[[#This Row],[Gross Sales]]+tblData[[#This Row],[Trade Discounts]]+tblData[[#This Row],[Returns]]</f>
        <v>1976</v>
      </c>
      <c r="AG460" s="74">
        <f>tblData[[#This Row],[Material Cost]]+tblData[[#This Row],[Conversion Cost]]+tblData[[#This Row],[Inbound Freight]]</f>
        <v>-934</v>
      </c>
      <c r="AH460" s="74">
        <f>tblData[[#This Row],[Net Revenue]]+tblData[[#This Row],[COGS]]</f>
        <v>1042</v>
      </c>
      <c r="AI460" s="74">
        <f>tblData[[#This Row],[Advertising]]+tblData[[#This Row],[Promotions]]</f>
        <v>-105</v>
      </c>
      <c r="AJ460" s="74">
        <f>tblData[[#This Row],[Outbound Logistics]]+tblData[[#This Row],[Direct Selling]]</f>
        <v>-166</v>
      </c>
      <c r="AK460" s="74">
        <f>tblData[[#This Row],[Gross Profit]]+tblData[[#This Row],[AP Spend]]+tblData[[#This Row],[Cost to Serve]]</f>
        <v>771</v>
      </c>
    </row>
    <row r="461" spans="2:37" x14ac:dyDescent="0.25">
      <c r="B461" s="71" t="s">
        <v>36</v>
      </c>
      <c r="C461" s="71">
        <v>2025</v>
      </c>
      <c r="D461" s="71">
        <v>12</v>
      </c>
      <c r="E461" s="71" t="s">
        <v>44</v>
      </c>
      <c r="F461" s="71" t="s">
        <v>41</v>
      </c>
      <c r="G461" s="72">
        <v>173.4</v>
      </c>
      <c r="H461" s="73">
        <v>1869</v>
      </c>
      <c r="I461" s="73">
        <v>-292</v>
      </c>
      <c r="J461" s="73">
        <v>-22</v>
      </c>
      <c r="K461" s="73">
        <v>-437</v>
      </c>
      <c r="L461" s="73">
        <v>-111</v>
      </c>
      <c r="M461" s="73">
        <v>-59</v>
      </c>
      <c r="N461" s="73">
        <v>-145</v>
      </c>
      <c r="O461" s="73">
        <v>-78</v>
      </c>
      <c r="P461" s="73">
        <v>-75</v>
      </c>
      <c r="Q461" s="73">
        <v>-56</v>
      </c>
      <c r="R461" s="73">
        <v>0</v>
      </c>
      <c r="S461" s="73">
        <v>0</v>
      </c>
      <c r="T461" s="73">
        <v>0</v>
      </c>
      <c r="U461" s="73">
        <v>0</v>
      </c>
      <c r="V461" s="73">
        <v>0</v>
      </c>
      <c r="W461" s="73">
        <v>0</v>
      </c>
      <c r="X461" s="73">
        <v>0</v>
      </c>
      <c r="Y461" s="73">
        <v>0</v>
      </c>
      <c r="Z461" s="73">
        <v>2697</v>
      </c>
      <c r="AA461" s="73">
        <v>1895</v>
      </c>
      <c r="AB461" s="73">
        <v>0</v>
      </c>
      <c r="AC461" s="73">
        <v>0</v>
      </c>
      <c r="AD461" s="73">
        <v>0</v>
      </c>
      <c r="AE461" s="73">
        <v>0</v>
      </c>
      <c r="AF461" s="74">
        <f>tblData[[#This Row],[Gross Sales]]+tblData[[#This Row],[Trade Discounts]]+tblData[[#This Row],[Returns]]</f>
        <v>1555</v>
      </c>
      <c r="AG461" s="74">
        <f>tblData[[#This Row],[Material Cost]]+tblData[[#This Row],[Conversion Cost]]+tblData[[#This Row],[Inbound Freight]]</f>
        <v>-607</v>
      </c>
      <c r="AH461" s="74">
        <f>tblData[[#This Row],[Net Revenue]]+tblData[[#This Row],[COGS]]</f>
        <v>948</v>
      </c>
      <c r="AI461" s="74">
        <f>tblData[[#This Row],[Advertising]]+tblData[[#This Row],[Promotions]]</f>
        <v>-223</v>
      </c>
      <c r="AJ461" s="74">
        <f>tblData[[#This Row],[Outbound Logistics]]+tblData[[#This Row],[Direct Selling]]</f>
        <v>-131</v>
      </c>
      <c r="AK461" s="74">
        <f>tblData[[#This Row],[Gross Profit]]+tblData[[#This Row],[AP Spend]]+tblData[[#This Row],[Cost to Serve]]</f>
        <v>594</v>
      </c>
    </row>
    <row r="462" spans="2:37" x14ac:dyDescent="0.25">
      <c r="B462" s="71" t="s">
        <v>36</v>
      </c>
      <c r="C462" s="71">
        <v>2025</v>
      </c>
      <c r="D462" s="71">
        <v>12</v>
      </c>
      <c r="E462" s="71" t="s">
        <v>44</v>
      </c>
      <c r="F462" s="71" t="s">
        <v>42</v>
      </c>
      <c r="G462" s="72">
        <v>233.6</v>
      </c>
      <c r="H462" s="73">
        <v>1373</v>
      </c>
      <c r="I462" s="73">
        <v>-214</v>
      </c>
      <c r="J462" s="73">
        <v>-16</v>
      </c>
      <c r="K462" s="73">
        <v>-429</v>
      </c>
      <c r="L462" s="73">
        <v>-109</v>
      </c>
      <c r="M462" s="73">
        <v>-57</v>
      </c>
      <c r="N462" s="73">
        <v>-28</v>
      </c>
      <c r="O462" s="73">
        <v>-15</v>
      </c>
      <c r="P462" s="73">
        <v>-55</v>
      </c>
      <c r="Q462" s="73">
        <v>-41</v>
      </c>
      <c r="R462" s="73">
        <v>0</v>
      </c>
      <c r="S462" s="73">
        <v>0</v>
      </c>
      <c r="T462" s="73">
        <v>0</v>
      </c>
      <c r="U462" s="73">
        <v>0</v>
      </c>
      <c r="V462" s="73">
        <v>0</v>
      </c>
      <c r="W462" s="73">
        <v>0</v>
      </c>
      <c r="X462" s="73">
        <v>0</v>
      </c>
      <c r="Y462" s="73">
        <v>0</v>
      </c>
      <c r="Z462" s="73">
        <v>1929</v>
      </c>
      <c r="AA462" s="73">
        <v>2209</v>
      </c>
      <c r="AB462" s="73">
        <v>0</v>
      </c>
      <c r="AC462" s="73">
        <v>0</v>
      </c>
      <c r="AD462" s="73">
        <v>0</v>
      </c>
      <c r="AE462" s="73">
        <v>0</v>
      </c>
      <c r="AF462" s="74">
        <f>tblData[[#This Row],[Gross Sales]]+tblData[[#This Row],[Trade Discounts]]+tblData[[#This Row],[Returns]]</f>
        <v>1143</v>
      </c>
      <c r="AG462" s="74">
        <f>tblData[[#This Row],[Material Cost]]+tblData[[#This Row],[Conversion Cost]]+tblData[[#This Row],[Inbound Freight]]</f>
        <v>-595</v>
      </c>
      <c r="AH462" s="74">
        <f>tblData[[#This Row],[Net Revenue]]+tblData[[#This Row],[COGS]]</f>
        <v>548</v>
      </c>
      <c r="AI462" s="74">
        <f>tblData[[#This Row],[Advertising]]+tblData[[#This Row],[Promotions]]</f>
        <v>-43</v>
      </c>
      <c r="AJ462" s="74">
        <f>tblData[[#This Row],[Outbound Logistics]]+tblData[[#This Row],[Direct Selling]]</f>
        <v>-96</v>
      </c>
      <c r="AK462" s="74">
        <f>tblData[[#This Row],[Gross Profit]]+tblData[[#This Row],[AP Spend]]+tblData[[#This Row],[Cost to Serve]]</f>
        <v>409</v>
      </c>
    </row>
    <row r="463" spans="2:37" x14ac:dyDescent="0.25">
      <c r="B463" s="71" t="s">
        <v>36</v>
      </c>
      <c r="C463" s="71">
        <v>2025</v>
      </c>
      <c r="D463" s="71">
        <v>12</v>
      </c>
      <c r="E463" s="71" t="s">
        <v>44</v>
      </c>
      <c r="F463" s="71" t="s">
        <v>43</v>
      </c>
      <c r="G463" s="72">
        <v>46.1</v>
      </c>
      <c r="H463" s="73">
        <v>813</v>
      </c>
      <c r="I463" s="73">
        <v>-127</v>
      </c>
      <c r="J463" s="73">
        <v>-10</v>
      </c>
      <c r="K463" s="73">
        <v>-219</v>
      </c>
      <c r="L463" s="73">
        <v>-56</v>
      </c>
      <c r="M463" s="73">
        <v>-29</v>
      </c>
      <c r="N463" s="73">
        <v>-79</v>
      </c>
      <c r="O463" s="73">
        <v>-43</v>
      </c>
      <c r="P463" s="73">
        <v>-33</v>
      </c>
      <c r="Q463" s="73">
        <v>-24</v>
      </c>
      <c r="R463" s="73">
        <v>0</v>
      </c>
      <c r="S463" s="73">
        <v>0</v>
      </c>
      <c r="T463" s="73">
        <v>0</v>
      </c>
      <c r="U463" s="73">
        <v>0</v>
      </c>
      <c r="V463" s="73">
        <v>0</v>
      </c>
      <c r="W463" s="73">
        <v>0</v>
      </c>
      <c r="X463" s="73">
        <v>0</v>
      </c>
      <c r="Y463" s="73">
        <v>0</v>
      </c>
      <c r="Z463" s="73">
        <v>1138</v>
      </c>
      <c r="AA463" s="73">
        <v>1228</v>
      </c>
      <c r="AB463" s="73">
        <v>0</v>
      </c>
      <c r="AC463" s="73">
        <v>0</v>
      </c>
      <c r="AD463" s="73">
        <v>0</v>
      </c>
      <c r="AE463" s="73">
        <v>0</v>
      </c>
      <c r="AF463" s="74">
        <f>tblData[[#This Row],[Gross Sales]]+tblData[[#This Row],[Trade Discounts]]+tblData[[#This Row],[Returns]]</f>
        <v>676</v>
      </c>
      <c r="AG463" s="74">
        <f>tblData[[#This Row],[Material Cost]]+tblData[[#This Row],[Conversion Cost]]+tblData[[#This Row],[Inbound Freight]]</f>
        <v>-304</v>
      </c>
      <c r="AH463" s="74">
        <f>tblData[[#This Row],[Net Revenue]]+tblData[[#This Row],[COGS]]</f>
        <v>372</v>
      </c>
      <c r="AI463" s="74">
        <f>tblData[[#This Row],[Advertising]]+tblData[[#This Row],[Promotions]]</f>
        <v>-122</v>
      </c>
      <c r="AJ463" s="74">
        <f>tblData[[#This Row],[Outbound Logistics]]+tblData[[#This Row],[Direct Selling]]</f>
        <v>-57</v>
      </c>
      <c r="AK463" s="74">
        <f>tblData[[#This Row],[Gross Profit]]+tblData[[#This Row],[AP Spend]]+tblData[[#This Row],[Cost to Serve]]</f>
        <v>193</v>
      </c>
    </row>
    <row r="464" spans="2:37" x14ac:dyDescent="0.25">
      <c r="B464" s="71" t="s">
        <v>36</v>
      </c>
      <c r="C464" s="71">
        <v>2025</v>
      </c>
      <c r="D464" s="71">
        <v>12</v>
      </c>
      <c r="E464" s="71" t="s">
        <v>45</v>
      </c>
      <c r="F464" s="71" t="s">
        <v>38</v>
      </c>
      <c r="G464" s="72">
        <v>157.19999999999999</v>
      </c>
      <c r="H464" s="73">
        <v>2156</v>
      </c>
      <c r="I464" s="73">
        <v>-466</v>
      </c>
      <c r="J464" s="73">
        <v>-22</v>
      </c>
      <c r="K464" s="73">
        <v>-459</v>
      </c>
      <c r="L464" s="73">
        <v>-116</v>
      </c>
      <c r="M464" s="73">
        <v>-61</v>
      </c>
      <c r="N464" s="73">
        <v>-139</v>
      </c>
      <c r="O464" s="73">
        <v>-75</v>
      </c>
      <c r="P464" s="73">
        <v>-75</v>
      </c>
      <c r="Q464" s="73">
        <v>-43</v>
      </c>
      <c r="R464" s="73">
        <v>0</v>
      </c>
      <c r="S464" s="73">
        <v>0</v>
      </c>
      <c r="T464" s="73">
        <v>0</v>
      </c>
      <c r="U464" s="73">
        <v>0</v>
      </c>
      <c r="V464" s="73">
        <v>0</v>
      </c>
      <c r="W464" s="73">
        <v>0</v>
      </c>
      <c r="X464" s="73">
        <v>0</v>
      </c>
      <c r="Y464" s="73">
        <v>0</v>
      </c>
      <c r="Z464" s="73">
        <v>2564</v>
      </c>
      <c r="AA464" s="73">
        <v>2065</v>
      </c>
      <c r="AB464" s="73">
        <v>0</v>
      </c>
      <c r="AC464" s="73">
        <v>0</v>
      </c>
      <c r="AD464" s="73">
        <v>0</v>
      </c>
      <c r="AE464" s="73">
        <v>0</v>
      </c>
      <c r="AF464" s="74">
        <f>tblData[[#This Row],[Gross Sales]]+tblData[[#This Row],[Trade Discounts]]+tblData[[#This Row],[Returns]]</f>
        <v>1668</v>
      </c>
      <c r="AG464" s="74">
        <f>tblData[[#This Row],[Material Cost]]+tblData[[#This Row],[Conversion Cost]]+tblData[[#This Row],[Inbound Freight]]</f>
        <v>-636</v>
      </c>
      <c r="AH464" s="74">
        <f>tblData[[#This Row],[Net Revenue]]+tblData[[#This Row],[COGS]]</f>
        <v>1032</v>
      </c>
      <c r="AI464" s="74">
        <f>tblData[[#This Row],[Advertising]]+tblData[[#This Row],[Promotions]]</f>
        <v>-214</v>
      </c>
      <c r="AJ464" s="74">
        <f>tblData[[#This Row],[Outbound Logistics]]+tblData[[#This Row],[Direct Selling]]</f>
        <v>-118</v>
      </c>
      <c r="AK464" s="74">
        <f>tblData[[#This Row],[Gross Profit]]+tblData[[#This Row],[AP Spend]]+tblData[[#This Row],[Cost to Serve]]</f>
        <v>700</v>
      </c>
    </row>
    <row r="465" spans="2:37" x14ac:dyDescent="0.25">
      <c r="B465" s="71" t="s">
        <v>36</v>
      </c>
      <c r="C465" s="71">
        <v>2025</v>
      </c>
      <c r="D465" s="71">
        <v>12</v>
      </c>
      <c r="E465" s="71" t="s">
        <v>45</v>
      </c>
      <c r="F465" s="71" t="s">
        <v>39</v>
      </c>
      <c r="G465" s="72">
        <v>218.5</v>
      </c>
      <c r="H465" s="73">
        <v>1927</v>
      </c>
      <c r="I465" s="73">
        <v>-416</v>
      </c>
      <c r="J465" s="73">
        <v>-19</v>
      </c>
      <c r="K465" s="73">
        <v>-492</v>
      </c>
      <c r="L465" s="73">
        <v>-125</v>
      </c>
      <c r="M465" s="73">
        <v>-66</v>
      </c>
      <c r="N465" s="73">
        <v>-79</v>
      </c>
      <c r="O465" s="73">
        <v>-43</v>
      </c>
      <c r="P465" s="73">
        <v>-67</v>
      </c>
      <c r="Q465" s="73">
        <v>-39</v>
      </c>
      <c r="R465" s="73">
        <v>0</v>
      </c>
      <c r="S465" s="73">
        <v>0</v>
      </c>
      <c r="T465" s="73">
        <v>0</v>
      </c>
      <c r="U465" s="73">
        <v>0</v>
      </c>
      <c r="V465" s="73">
        <v>0</v>
      </c>
      <c r="W465" s="73">
        <v>0</v>
      </c>
      <c r="X465" s="73">
        <v>0</v>
      </c>
      <c r="Y465" s="73">
        <v>0</v>
      </c>
      <c r="Z465" s="73">
        <v>2286</v>
      </c>
      <c r="AA465" s="73">
        <v>1861</v>
      </c>
      <c r="AB465" s="73">
        <v>0</v>
      </c>
      <c r="AC465" s="73">
        <v>0</v>
      </c>
      <c r="AD465" s="73">
        <v>0</v>
      </c>
      <c r="AE465" s="73">
        <v>0</v>
      </c>
      <c r="AF465" s="74">
        <f>tblData[[#This Row],[Gross Sales]]+tblData[[#This Row],[Trade Discounts]]+tblData[[#This Row],[Returns]]</f>
        <v>1492</v>
      </c>
      <c r="AG465" s="74">
        <f>tblData[[#This Row],[Material Cost]]+tblData[[#This Row],[Conversion Cost]]+tblData[[#This Row],[Inbound Freight]]</f>
        <v>-683</v>
      </c>
      <c r="AH465" s="74">
        <f>tblData[[#This Row],[Net Revenue]]+tblData[[#This Row],[COGS]]</f>
        <v>809</v>
      </c>
      <c r="AI465" s="74">
        <f>tblData[[#This Row],[Advertising]]+tblData[[#This Row],[Promotions]]</f>
        <v>-122</v>
      </c>
      <c r="AJ465" s="74">
        <f>tblData[[#This Row],[Outbound Logistics]]+tblData[[#This Row],[Direct Selling]]</f>
        <v>-106</v>
      </c>
      <c r="AK465" s="74">
        <f>tblData[[#This Row],[Gross Profit]]+tblData[[#This Row],[AP Spend]]+tblData[[#This Row],[Cost to Serve]]</f>
        <v>581</v>
      </c>
    </row>
    <row r="466" spans="2:37" x14ac:dyDescent="0.25">
      <c r="B466" s="71" t="s">
        <v>36</v>
      </c>
      <c r="C466" s="71">
        <v>2025</v>
      </c>
      <c r="D466" s="71">
        <v>12</v>
      </c>
      <c r="E466" s="71" t="s">
        <v>45</v>
      </c>
      <c r="F466" s="71" t="s">
        <v>40</v>
      </c>
      <c r="G466" s="72">
        <v>202.9</v>
      </c>
      <c r="H466" s="73">
        <v>1392</v>
      </c>
      <c r="I466" s="73">
        <v>-301</v>
      </c>
      <c r="J466" s="73">
        <v>-14</v>
      </c>
      <c r="K466" s="73">
        <v>-395</v>
      </c>
      <c r="L466" s="73">
        <v>-100</v>
      </c>
      <c r="M466" s="73">
        <v>-53</v>
      </c>
      <c r="N466" s="73">
        <v>-40</v>
      </c>
      <c r="O466" s="73">
        <v>-21</v>
      </c>
      <c r="P466" s="73">
        <v>-49</v>
      </c>
      <c r="Q466" s="73">
        <v>-28</v>
      </c>
      <c r="R466" s="73">
        <v>0</v>
      </c>
      <c r="S466" s="73">
        <v>0</v>
      </c>
      <c r="T466" s="73">
        <v>0</v>
      </c>
      <c r="U466" s="73">
        <v>0</v>
      </c>
      <c r="V466" s="73">
        <v>0</v>
      </c>
      <c r="W466" s="73">
        <v>0</v>
      </c>
      <c r="X466" s="73">
        <v>0</v>
      </c>
      <c r="Y466" s="73">
        <v>0</v>
      </c>
      <c r="Z466" s="73">
        <v>1650</v>
      </c>
      <c r="AA466" s="73">
        <v>1399</v>
      </c>
      <c r="AB466" s="73">
        <v>0</v>
      </c>
      <c r="AC466" s="73">
        <v>0</v>
      </c>
      <c r="AD466" s="73">
        <v>0</v>
      </c>
      <c r="AE466" s="73">
        <v>0</v>
      </c>
      <c r="AF466" s="74">
        <f>tblData[[#This Row],[Gross Sales]]+tblData[[#This Row],[Trade Discounts]]+tblData[[#This Row],[Returns]]</f>
        <v>1077</v>
      </c>
      <c r="AG466" s="74">
        <f>tblData[[#This Row],[Material Cost]]+tblData[[#This Row],[Conversion Cost]]+tblData[[#This Row],[Inbound Freight]]</f>
        <v>-548</v>
      </c>
      <c r="AH466" s="74">
        <f>tblData[[#This Row],[Net Revenue]]+tblData[[#This Row],[COGS]]</f>
        <v>529</v>
      </c>
      <c r="AI466" s="74">
        <f>tblData[[#This Row],[Advertising]]+tblData[[#This Row],[Promotions]]</f>
        <v>-61</v>
      </c>
      <c r="AJ466" s="74">
        <f>tblData[[#This Row],[Outbound Logistics]]+tblData[[#This Row],[Direct Selling]]</f>
        <v>-77</v>
      </c>
      <c r="AK466" s="74">
        <f>tblData[[#This Row],[Gross Profit]]+tblData[[#This Row],[AP Spend]]+tblData[[#This Row],[Cost to Serve]]</f>
        <v>391</v>
      </c>
    </row>
    <row r="467" spans="2:37" x14ac:dyDescent="0.25">
      <c r="B467" s="71" t="s">
        <v>36</v>
      </c>
      <c r="C467" s="71">
        <v>2025</v>
      </c>
      <c r="D467" s="71">
        <v>12</v>
      </c>
      <c r="E467" s="71" t="s">
        <v>45</v>
      </c>
      <c r="F467" s="71" t="s">
        <v>41</v>
      </c>
      <c r="G467" s="72">
        <v>99.1</v>
      </c>
      <c r="H467" s="73">
        <v>1069</v>
      </c>
      <c r="I467" s="73">
        <v>-231</v>
      </c>
      <c r="J467" s="73">
        <v>-11</v>
      </c>
      <c r="K467" s="73">
        <v>-250</v>
      </c>
      <c r="L467" s="73">
        <v>-63</v>
      </c>
      <c r="M467" s="73">
        <v>-34</v>
      </c>
      <c r="N467" s="73">
        <v>-85</v>
      </c>
      <c r="O467" s="73">
        <v>-46</v>
      </c>
      <c r="P467" s="73">
        <v>-37</v>
      </c>
      <c r="Q467" s="73">
        <v>-21</v>
      </c>
      <c r="R467" s="73">
        <v>0</v>
      </c>
      <c r="S467" s="73">
        <v>0</v>
      </c>
      <c r="T467" s="73">
        <v>0</v>
      </c>
      <c r="U467" s="73">
        <v>0</v>
      </c>
      <c r="V467" s="73">
        <v>0</v>
      </c>
      <c r="W467" s="73">
        <v>0</v>
      </c>
      <c r="X467" s="73">
        <v>0</v>
      </c>
      <c r="Y467" s="73">
        <v>0</v>
      </c>
      <c r="Z467" s="73">
        <v>1297</v>
      </c>
      <c r="AA467" s="73">
        <v>1089</v>
      </c>
      <c r="AB467" s="73">
        <v>0</v>
      </c>
      <c r="AC467" s="73">
        <v>0</v>
      </c>
      <c r="AD467" s="73">
        <v>0</v>
      </c>
      <c r="AE467" s="73">
        <v>0</v>
      </c>
      <c r="AF467" s="74">
        <f>tblData[[#This Row],[Gross Sales]]+tblData[[#This Row],[Trade Discounts]]+tblData[[#This Row],[Returns]]</f>
        <v>827</v>
      </c>
      <c r="AG467" s="74">
        <f>tblData[[#This Row],[Material Cost]]+tblData[[#This Row],[Conversion Cost]]+tblData[[#This Row],[Inbound Freight]]</f>
        <v>-347</v>
      </c>
      <c r="AH467" s="74">
        <f>tblData[[#This Row],[Net Revenue]]+tblData[[#This Row],[COGS]]</f>
        <v>480</v>
      </c>
      <c r="AI467" s="74">
        <f>tblData[[#This Row],[Advertising]]+tblData[[#This Row],[Promotions]]</f>
        <v>-131</v>
      </c>
      <c r="AJ467" s="74">
        <f>tblData[[#This Row],[Outbound Logistics]]+tblData[[#This Row],[Direct Selling]]</f>
        <v>-58</v>
      </c>
      <c r="AK467" s="74">
        <f>tblData[[#This Row],[Gross Profit]]+tblData[[#This Row],[AP Spend]]+tblData[[#This Row],[Cost to Serve]]</f>
        <v>291</v>
      </c>
    </row>
    <row r="468" spans="2:37" x14ac:dyDescent="0.25">
      <c r="B468" s="71" t="s">
        <v>36</v>
      </c>
      <c r="C468" s="71">
        <v>2025</v>
      </c>
      <c r="D468" s="71">
        <v>12</v>
      </c>
      <c r="E468" s="71" t="s">
        <v>45</v>
      </c>
      <c r="F468" s="71" t="s">
        <v>42</v>
      </c>
      <c r="G468" s="72">
        <v>134.4</v>
      </c>
      <c r="H468" s="73">
        <v>790</v>
      </c>
      <c r="I468" s="73">
        <v>-171</v>
      </c>
      <c r="J468" s="73">
        <v>-8</v>
      </c>
      <c r="K468" s="73">
        <v>-247</v>
      </c>
      <c r="L468" s="73">
        <v>-63</v>
      </c>
      <c r="M468" s="73">
        <v>-33</v>
      </c>
      <c r="N468" s="73">
        <v>-17</v>
      </c>
      <c r="O468" s="73">
        <v>-9</v>
      </c>
      <c r="P468" s="73">
        <v>-28</v>
      </c>
      <c r="Q468" s="73">
        <v>-16</v>
      </c>
      <c r="R468" s="73">
        <v>0</v>
      </c>
      <c r="S468" s="73">
        <v>0</v>
      </c>
      <c r="T468" s="73">
        <v>0</v>
      </c>
      <c r="U468" s="73">
        <v>0</v>
      </c>
      <c r="V468" s="73">
        <v>0</v>
      </c>
      <c r="W468" s="73">
        <v>0</v>
      </c>
      <c r="X468" s="73">
        <v>0</v>
      </c>
      <c r="Y468" s="73">
        <v>0</v>
      </c>
      <c r="Z468" s="73">
        <v>945</v>
      </c>
      <c r="AA468" s="73">
        <v>1292</v>
      </c>
      <c r="AB468" s="73">
        <v>0</v>
      </c>
      <c r="AC468" s="73">
        <v>0</v>
      </c>
      <c r="AD468" s="73">
        <v>0</v>
      </c>
      <c r="AE468" s="73">
        <v>0</v>
      </c>
      <c r="AF468" s="74">
        <f>tblData[[#This Row],[Gross Sales]]+tblData[[#This Row],[Trade Discounts]]+tblData[[#This Row],[Returns]]</f>
        <v>611</v>
      </c>
      <c r="AG468" s="74">
        <f>tblData[[#This Row],[Material Cost]]+tblData[[#This Row],[Conversion Cost]]+tblData[[#This Row],[Inbound Freight]]</f>
        <v>-343</v>
      </c>
      <c r="AH468" s="74">
        <f>tblData[[#This Row],[Net Revenue]]+tblData[[#This Row],[COGS]]</f>
        <v>268</v>
      </c>
      <c r="AI468" s="74">
        <f>tblData[[#This Row],[Advertising]]+tblData[[#This Row],[Promotions]]</f>
        <v>-26</v>
      </c>
      <c r="AJ468" s="74">
        <f>tblData[[#This Row],[Outbound Logistics]]+tblData[[#This Row],[Direct Selling]]</f>
        <v>-44</v>
      </c>
      <c r="AK468" s="74">
        <f>tblData[[#This Row],[Gross Profit]]+tblData[[#This Row],[AP Spend]]+tblData[[#This Row],[Cost to Serve]]</f>
        <v>198</v>
      </c>
    </row>
    <row r="469" spans="2:37" x14ac:dyDescent="0.25">
      <c r="B469" s="71" t="s">
        <v>36</v>
      </c>
      <c r="C469" s="71">
        <v>2025</v>
      </c>
      <c r="D469" s="71">
        <v>12</v>
      </c>
      <c r="E469" s="71" t="s">
        <v>45</v>
      </c>
      <c r="F469" s="71" t="s">
        <v>43</v>
      </c>
      <c r="G469" s="72">
        <v>27.2</v>
      </c>
      <c r="H469" s="73">
        <v>479</v>
      </c>
      <c r="I469" s="73">
        <v>-104</v>
      </c>
      <c r="J469" s="73">
        <v>-5</v>
      </c>
      <c r="K469" s="73">
        <v>-129</v>
      </c>
      <c r="L469" s="73">
        <v>-33</v>
      </c>
      <c r="M469" s="73">
        <v>-17</v>
      </c>
      <c r="N469" s="73">
        <v>-46</v>
      </c>
      <c r="O469" s="73">
        <v>-25</v>
      </c>
      <c r="P469" s="73">
        <v>-17</v>
      </c>
      <c r="Q469" s="73">
        <v>-10</v>
      </c>
      <c r="R469" s="73">
        <v>0</v>
      </c>
      <c r="S469" s="73">
        <v>0</v>
      </c>
      <c r="T469" s="73">
        <v>0</v>
      </c>
      <c r="U469" s="73">
        <v>0</v>
      </c>
      <c r="V469" s="73">
        <v>0</v>
      </c>
      <c r="W469" s="73">
        <v>0</v>
      </c>
      <c r="X469" s="73">
        <v>0</v>
      </c>
      <c r="Y469" s="73">
        <v>0</v>
      </c>
      <c r="Z469" s="73">
        <v>564</v>
      </c>
      <c r="AA469" s="73">
        <v>726</v>
      </c>
      <c r="AB469" s="73">
        <v>0</v>
      </c>
      <c r="AC469" s="73">
        <v>0</v>
      </c>
      <c r="AD469" s="73">
        <v>0</v>
      </c>
      <c r="AE469" s="73">
        <v>0</v>
      </c>
      <c r="AF469" s="74">
        <f>tblData[[#This Row],[Gross Sales]]+tblData[[#This Row],[Trade Discounts]]+tblData[[#This Row],[Returns]]</f>
        <v>370</v>
      </c>
      <c r="AG469" s="74">
        <f>tblData[[#This Row],[Material Cost]]+tblData[[#This Row],[Conversion Cost]]+tblData[[#This Row],[Inbound Freight]]</f>
        <v>-179</v>
      </c>
      <c r="AH469" s="74">
        <f>tblData[[#This Row],[Net Revenue]]+tblData[[#This Row],[COGS]]</f>
        <v>191</v>
      </c>
      <c r="AI469" s="74">
        <f>tblData[[#This Row],[Advertising]]+tblData[[#This Row],[Promotions]]</f>
        <v>-71</v>
      </c>
      <c r="AJ469" s="74">
        <f>tblData[[#This Row],[Outbound Logistics]]+tblData[[#This Row],[Direct Selling]]</f>
        <v>-27</v>
      </c>
      <c r="AK469" s="74">
        <f>tblData[[#This Row],[Gross Profit]]+tblData[[#This Row],[AP Spend]]+tblData[[#This Row],[Cost to Serve]]</f>
        <v>93</v>
      </c>
    </row>
    <row r="470" spans="2:37" x14ac:dyDescent="0.25">
      <c r="B470" s="71" t="s">
        <v>36</v>
      </c>
      <c r="C470" s="71">
        <v>2025</v>
      </c>
      <c r="D470" s="71">
        <v>12</v>
      </c>
      <c r="E470" s="71" t="s">
        <v>46</v>
      </c>
      <c r="F470" s="71" t="s">
        <v>38</v>
      </c>
      <c r="G470" s="72">
        <v>171</v>
      </c>
      <c r="H470" s="73">
        <v>2346</v>
      </c>
      <c r="I470" s="73">
        <v>-249</v>
      </c>
      <c r="J470" s="73">
        <v>-94</v>
      </c>
      <c r="K470" s="73">
        <v>-499</v>
      </c>
      <c r="L470" s="73">
        <v>-127</v>
      </c>
      <c r="M470" s="73">
        <v>-67</v>
      </c>
      <c r="N470" s="73">
        <v>-159</v>
      </c>
      <c r="O470" s="73">
        <v>-85</v>
      </c>
      <c r="P470" s="73">
        <v>-176</v>
      </c>
      <c r="Q470" s="73">
        <v>-47</v>
      </c>
      <c r="R470" s="73">
        <v>0</v>
      </c>
      <c r="S470" s="73">
        <v>0</v>
      </c>
      <c r="T470" s="73">
        <v>0</v>
      </c>
      <c r="U470" s="73">
        <v>0</v>
      </c>
      <c r="V470" s="73">
        <v>0</v>
      </c>
      <c r="W470" s="73">
        <v>0</v>
      </c>
      <c r="X470" s="73">
        <v>0</v>
      </c>
      <c r="Y470" s="73">
        <v>0</v>
      </c>
      <c r="Z470" s="73">
        <v>1688</v>
      </c>
      <c r="AA470" s="73">
        <v>2218</v>
      </c>
      <c r="AB470" s="73">
        <v>0</v>
      </c>
      <c r="AC470" s="73">
        <v>0</v>
      </c>
      <c r="AD470" s="73">
        <v>0</v>
      </c>
      <c r="AE470" s="73">
        <v>0</v>
      </c>
      <c r="AF470" s="74">
        <f>tblData[[#This Row],[Gross Sales]]+tblData[[#This Row],[Trade Discounts]]+tblData[[#This Row],[Returns]]</f>
        <v>2003</v>
      </c>
      <c r="AG470" s="74">
        <f>tblData[[#This Row],[Material Cost]]+tblData[[#This Row],[Conversion Cost]]+tblData[[#This Row],[Inbound Freight]]</f>
        <v>-693</v>
      </c>
      <c r="AH470" s="74">
        <f>tblData[[#This Row],[Net Revenue]]+tblData[[#This Row],[COGS]]</f>
        <v>1310</v>
      </c>
      <c r="AI470" s="74">
        <f>tblData[[#This Row],[Advertising]]+tblData[[#This Row],[Promotions]]</f>
        <v>-244</v>
      </c>
      <c r="AJ470" s="74">
        <f>tblData[[#This Row],[Outbound Logistics]]+tblData[[#This Row],[Direct Selling]]</f>
        <v>-223</v>
      </c>
      <c r="AK470" s="74">
        <f>tblData[[#This Row],[Gross Profit]]+tblData[[#This Row],[AP Spend]]+tblData[[#This Row],[Cost to Serve]]</f>
        <v>843</v>
      </c>
    </row>
    <row r="471" spans="2:37" x14ac:dyDescent="0.25">
      <c r="B471" s="71" t="s">
        <v>36</v>
      </c>
      <c r="C471" s="71">
        <v>2025</v>
      </c>
      <c r="D471" s="71">
        <v>12</v>
      </c>
      <c r="E471" s="71" t="s">
        <v>46</v>
      </c>
      <c r="F471" s="71" t="s">
        <v>39</v>
      </c>
      <c r="G471" s="72">
        <v>222.6</v>
      </c>
      <c r="H471" s="73">
        <v>1964</v>
      </c>
      <c r="I471" s="73">
        <v>-208</v>
      </c>
      <c r="J471" s="73">
        <v>-79</v>
      </c>
      <c r="K471" s="73">
        <v>-501</v>
      </c>
      <c r="L471" s="73">
        <v>-127</v>
      </c>
      <c r="M471" s="73">
        <v>-67</v>
      </c>
      <c r="N471" s="73">
        <v>-91</v>
      </c>
      <c r="O471" s="73">
        <v>-49</v>
      </c>
      <c r="P471" s="73">
        <v>-147</v>
      </c>
      <c r="Q471" s="73">
        <v>-39</v>
      </c>
      <c r="R471" s="73">
        <v>0</v>
      </c>
      <c r="S471" s="73">
        <v>0</v>
      </c>
      <c r="T471" s="73">
        <v>0</v>
      </c>
      <c r="U471" s="73">
        <v>0</v>
      </c>
      <c r="V471" s="73">
        <v>0</v>
      </c>
      <c r="W471" s="73">
        <v>0</v>
      </c>
      <c r="X471" s="73">
        <v>0</v>
      </c>
      <c r="Y471" s="73">
        <v>0</v>
      </c>
      <c r="Z471" s="73">
        <v>1430</v>
      </c>
      <c r="AA471" s="73">
        <v>1898</v>
      </c>
      <c r="AB471" s="73">
        <v>0</v>
      </c>
      <c r="AC471" s="73">
        <v>0</v>
      </c>
      <c r="AD471" s="73">
        <v>0</v>
      </c>
      <c r="AE471" s="73">
        <v>0</v>
      </c>
      <c r="AF471" s="74">
        <f>tblData[[#This Row],[Gross Sales]]+tblData[[#This Row],[Trade Discounts]]+tblData[[#This Row],[Returns]]</f>
        <v>1677</v>
      </c>
      <c r="AG471" s="74">
        <f>tblData[[#This Row],[Material Cost]]+tblData[[#This Row],[Conversion Cost]]+tblData[[#This Row],[Inbound Freight]]</f>
        <v>-695</v>
      </c>
      <c r="AH471" s="74">
        <f>tblData[[#This Row],[Net Revenue]]+tblData[[#This Row],[COGS]]</f>
        <v>982</v>
      </c>
      <c r="AI471" s="74">
        <f>tblData[[#This Row],[Advertising]]+tblData[[#This Row],[Promotions]]</f>
        <v>-140</v>
      </c>
      <c r="AJ471" s="74">
        <f>tblData[[#This Row],[Outbound Logistics]]+tblData[[#This Row],[Direct Selling]]</f>
        <v>-186</v>
      </c>
      <c r="AK471" s="74">
        <f>tblData[[#This Row],[Gross Profit]]+tblData[[#This Row],[AP Spend]]+tblData[[#This Row],[Cost to Serve]]</f>
        <v>656</v>
      </c>
    </row>
    <row r="472" spans="2:37" x14ac:dyDescent="0.25">
      <c r="B472" s="71" t="s">
        <v>36</v>
      </c>
      <c r="C472" s="71">
        <v>2025</v>
      </c>
      <c r="D472" s="71">
        <v>12</v>
      </c>
      <c r="E472" s="71" t="s">
        <v>46</v>
      </c>
      <c r="F472" s="71" t="s">
        <v>40</v>
      </c>
      <c r="G472" s="72">
        <v>213.4</v>
      </c>
      <c r="H472" s="73">
        <v>1464</v>
      </c>
      <c r="I472" s="73">
        <v>-155</v>
      </c>
      <c r="J472" s="73">
        <v>-59</v>
      </c>
      <c r="K472" s="73">
        <v>-415</v>
      </c>
      <c r="L472" s="73">
        <v>-105</v>
      </c>
      <c r="M472" s="73">
        <v>-56</v>
      </c>
      <c r="N472" s="73">
        <v>-45</v>
      </c>
      <c r="O472" s="73">
        <v>-24</v>
      </c>
      <c r="P472" s="73">
        <v>-110</v>
      </c>
      <c r="Q472" s="73">
        <v>-29</v>
      </c>
      <c r="R472" s="73">
        <v>0</v>
      </c>
      <c r="S472" s="73">
        <v>0</v>
      </c>
      <c r="T472" s="73">
        <v>0</v>
      </c>
      <c r="U472" s="73">
        <v>0</v>
      </c>
      <c r="V472" s="73">
        <v>0</v>
      </c>
      <c r="W472" s="73">
        <v>0</v>
      </c>
      <c r="X472" s="73">
        <v>0</v>
      </c>
      <c r="Y472" s="73">
        <v>0</v>
      </c>
      <c r="Z472" s="73">
        <v>1070</v>
      </c>
      <c r="AA472" s="73">
        <v>1480</v>
      </c>
      <c r="AB472" s="73">
        <v>0</v>
      </c>
      <c r="AC472" s="73">
        <v>0</v>
      </c>
      <c r="AD472" s="73">
        <v>0</v>
      </c>
      <c r="AE472" s="73">
        <v>0</v>
      </c>
      <c r="AF472" s="74">
        <f>tblData[[#This Row],[Gross Sales]]+tblData[[#This Row],[Trade Discounts]]+tblData[[#This Row],[Returns]]</f>
        <v>1250</v>
      </c>
      <c r="AG472" s="74">
        <f>tblData[[#This Row],[Material Cost]]+tblData[[#This Row],[Conversion Cost]]+tblData[[#This Row],[Inbound Freight]]</f>
        <v>-576</v>
      </c>
      <c r="AH472" s="74">
        <f>tblData[[#This Row],[Net Revenue]]+tblData[[#This Row],[COGS]]</f>
        <v>674</v>
      </c>
      <c r="AI472" s="74">
        <f>tblData[[#This Row],[Advertising]]+tblData[[#This Row],[Promotions]]</f>
        <v>-69</v>
      </c>
      <c r="AJ472" s="74">
        <f>tblData[[#This Row],[Outbound Logistics]]+tblData[[#This Row],[Direct Selling]]</f>
        <v>-139</v>
      </c>
      <c r="AK472" s="74">
        <f>tblData[[#This Row],[Gross Profit]]+tblData[[#This Row],[AP Spend]]+tblData[[#This Row],[Cost to Serve]]</f>
        <v>466</v>
      </c>
    </row>
    <row r="473" spans="2:37" x14ac:dyDescent="0.25">
      <c r="B473" s="71" t="s">
        <v>36</v>
      </c>
      <c r="C473" s="71">
        <v>2025</v>
      </c>
      <c r="D473" s="71">
        <v>12</v>
      </c>
      <c r="E473" s="71" t="s">
        <v>46</v>
      </c>
      <c r="F473" s="71" t="s">
        <v>41</v>
      </c>
      <c r="G473" s="72">
        <v>103.6</v>
      </c>
      <c r="H473" s="73">
        <v>1116</v>
      </c>
      <c r="I473" s="73">
        <v>-118</v>
      </c>
      <c r="J473" s="73">
        <v>-45</v>
      </c>
      <c r="K473" s="73">
        <v>-261</v>
      </c>
      <c r="L473" s="73">
        <v>-66</v>
      </c>
      <c r="M473" s="73">
        <v>-35</v>
      </c>
      <c r="N473" s="73">
        <v>-97</v>
      </c>
      <c r="O473" s="73">
        <v>-52</v>
      </c>
      <c r="P473" s="73">
        <v>-84</v>
      </c>
      <c r="Q473" s="73">
        <v>-22</v>
      </c>
      <c r="R473" s="73">
        <v>0</v>
      </c>
      <c r="S473" s="73">
        <v>0</v>
      </c>
      <c r="T473" s="73">
        <v>0</v>
      </c>
      <c r="U473" s="73">
        <v>0</v>
      </c>
      <c r="V473" s="73">
        <v>0</v>
      </c>
      <c r="W473" s="73">
        <v>0</v>
      </c>
      <c r="X473" s="73">
        <v>0</v>
      </c>
      <c r="Y473" s="73">
        <v>0</v>
      </c>
      <c r="Z473" s="73">
        <v>826</v>
      </c>
      <c r="AA473" s="73">
        <v>1131</v>
      </c>
      <c r="AB473" s="73">
        <v>0</v>
      </c>
      <c r="AC473" s="73">
        <v>0</v>
      </c>
      <c r="AD473" s="73">
        <v>0</v>
      </c>
      <c r="AE473" s="73">
        <v>0</v>
      </c>
      <c r="AF473" s="74">
        <f>tblData[[#This Row],[Gross Sales]]+tblData[[#This Row],[Trade Discounts]]+tblData[[#This Row],[Returns]]</f>
        <v>953</v>
      </c>
      <c r="AG473" s="74">
        <f>tblData[[#This Row],[Material Cost]]+tblData[[#This Row],[Conversion Cost]]+tblData[[#This Row],[Inbound Freight]]</f>
        <v>-362</v>
      </c>
      <c r="AH473" s="74">
        <f>tblData[[#This Row],[Net Revenue]]+tblData[[#This Row],[COGS]]</f>
        <v>591</v>
      </c>
      <c r="AI473" s="74">
        <f>tblData[[#This Row],[Advertising]]+tblData[[#This Row],[Promotions]]</f>
        <v>-149</v>
      </c>
      <c r="AJ473" s="74">
        <f>tblData[[#This Row],[Outbound Logistics]]+tblData[[#This Row],[Direct Selling]]</f>
        <v>-106</v>
      </c>
      <c r="AK473" s="74">
        <f>tblData[[#This Row],[Gross Profit]]+tblData[[#This Row],[AP Spend]]+tblData[[#This Row],[Cost to Serve]]</f>
        <v>336</v>
      </c>
    </row>
    <row r="474" spans="2:37" x14ac:dyDescent="0.25">
      <c r="B474" s="71" t="s">
        <v>36</v>
      </c>
      <c r="C474" s="71">
        <v>2025</v>
      </c>
      <c r="D474" s="71">
        <v>12</v>
      </c>
      <c r="E474" s="71" t="s">
        <v>46</v>
      </c>
      <c r="F474" s="71" t="s">
        <v>42</v>
      </c>
      <c r="G474" s="72">
        <v>138.30000000000001</v>
      </c>
      <c r="H474" s="73">
        <v>813</v>
      </c>
      <c r="I474" s="73">
        <v>-86</v>
      </c>
      <c r="J474" s="73">
        <v>-33</v>
      </c>
      <c r="K474" s="73">
        <v>-254</v>
      </c>
      <c r="L474" s="73">
        <v>-64</v>
      </c>
      <c r="M474" s="73">
        <v>-34</v>
      </c>
      <c r="N474" s="73">
        <v>-19</v>
      </c>
      <c r="O474" s="73">
        <v>-10</v>
      </c>
      <c r="P474" s="73">
        <v>-61</v>
      </c>
      <c r="Q474" s="73">
        <v>-16</v>
      </c>
      <c r="R474" s="73">
        <v>0</v>
      </c>
      <c r="S474" s="73">
        <v>0</v>
      </c>
      <c r="T474" s="73">
        <v>0</v>
      </c>
      <c r="U474" s="73">
        <v>0</v>
      </c>
      <c r="V474" s="73">
        <v>0</v>
      </c>
      <c r="W474" s="73">
        <v>0</v>
      </c>
      <c r="X474" s="73">
        <v>0</v>
      </c>
      <c r="Y474" s="73">
        <v>0</v>
      </c>
      <c r="Z474" s="73">
        <v>590</v>
      </c>
      <c r="AA474" s="73">
        <v>1316</v>
      </c>
      <c r="AB474" s="73">
        <v>0</v>
      </c>
      <c r="AC474" s="73">
        <v>0</v>
      </c>
      <c r="AD474" s="73">
        <v>0</v>
      </c>
      <c r="AE474" s="73">
        <v>0</v>
      </c>
      <c r="AF474" s="74">
        <f>tblData[[#This Row],[Gross Sales]]+tblData[[#This Row],[Trade Discounts]]+tblData[[#This Row],[Returns]]</f>
        <v>694</v>
      </c>
      <c r="AG474" s="74">
        <f>tblData[[#This Row],[Material Cost]]+tblData[[#This Row],[Conversion Cost]]+tblData[[#This Row],[Inbound Freight]]</f>
        <v>-352</v>
      </c>
      <c r="AH474" s="74">
        <f>tblData[[#This Row],[Net Revenue]]+tblData[[#This Row],[COGS]]</f>
        <v>342</v>
      </c>
      <c r="AI474" s="74">
        <f>tblData[[#This Row],[Advertising]]+tblData[[#This Row],[Promotions]]</f>
        <v>-29</v>
      </c>
      <c r="AJ474" s="74">
        <f>tblData[[#This Row],[Outbound Logistics]]+tblData[[#This Row],[Direct Selling]]</f>
        <v>-77</v>
      </c>
      <c r="AK474" s="74">
        <f>tblData[[#This Row],[Gross Profit]]+tblData[[#This Row],[AP Spend]]+tblData[[#This Row],[Cost to Serve]]</f>
        <v>236</v>
      </c>
    </row>
    <row r="475" spans="2:37" x14ac:dyDescent="0.25">
      <c r="B475" s="71" t="s">
        <v>36</v>
      </c>
      <c r="C475" s="71">
        <v>2025</v>
      </c>
      <c r="D475" s="71">
        <v>12</v>
      </c>
      <c r="E475" s="71" t="s">
        <v>46</v>
      </c>
      <c r="F475" s="71" t="s">
        <v>43</v>
      </c>
      <c r="G475" s="72">
        <v>27</v>
      </c>
      <c r="H475" s="73">
        <v>475</v>
      </c>
      <c r="I475" s="73">
        <v>-50</v>
      </c>
      <c r="J475" s="73">
        <v>-19</v>
      </c>
      <c r="K475" s="73">
        <v>-128</v>
      </c>
      <c r="L475" s="73">
        <v>-33</v>
      </c>
      <c r="M475" s="73">
        <v>-17</v>
      </c>
      <c r="N475" s="73">
        <v>-53</v>
      </c>
      <c r="O475" s="73">
        <v>-28</v>
      </c>
      <c r="P475" s="73">
        <v>-36</v>
      </c>
      <c r="Q475" s="73">
        <v>-10</v>
      </c>
      <c r="R475" s="73">
        <v>0</v>
      </c>
      <c r="S475" s="73">
        <v>0</v>
      </c>
      <c r="T475" s="73">
        <v>0</v>
      </c>
      <c r="U475" s="73">
        <v>0</v>
      </c>
      <c r="V475" s="73">
        <v>0</v>
      </c>
      <c r="W475" s="73">
        <v>0</v>
      </c>
      <c r="X475" s="73">
        <v>0</v>
      </c>
      <c r="Y475" s="73">
        <v>0</v>
      </c>
      <c r="Z475" s="73">
        <v>349</v>
      </c>
      <c r="AA475" s="73">
        <v>734</v>
      </c>
      <c r="AB475" s="73">
        <v>0</v>
      </c>
      <c r="AC475" s="73">
        <v>0</v>
      </c>
      <c r="AD475" s="73">
        <v>0</v>
      </c>
      <c r="AE475" s="73">
        <v>0</v>
      </c>
      <c r="AF475" s="74">
        <f>tblData[[#This Row],[Gross Sales]]+tblData[[#This Row],[Trade Discounts]]+tblData[[#This Row],[Returns]]</f>
        <v>406</v>
      </c>
      <c r="AG475" s="74">
        <f>tblData[[#This Row],[Material Cost]]+tblData[[#This Row],[Conversion Cost]]+tblData[[#This Row],[Inbound Freight]]</f>
        <v>-178</v>
      </c>
      <c r="AH475" s="74">
        <f>tblData[[#This Row],[Net Revenue]]+tblData[[#This Row],[COGS]]</f>
        <v>228</v>
      </c>
      <c r="AI475" s="74">
        <f>tblData[[#This Row],[Advertising]]+tblData[[#This Row],[Promotions]]</f>
        <v>-81</v>
      </c>
      <c r="AJ475" s="74">
        <f>tblData[[#This Row],[Outbound Logistics]]+tblData[[#This Row],[Direct Selling]]</f>
        <v>-46</v>
      </c>
      <c r="AK475" s="74">
        <f>tblData[[#This Row],[Gross Profit]]+tblData[[#This Row],[AP Spend]]+tblData[[#This Row],[Cost to Serve]]</f>
        <v>101</v>
      </c>
    </row>
    <row r="476" spans="2:37" x14ac:dyDescent="0.25">
      <c r="B476" s="71" t="s">
        <v>36</v>
      </c>
      <c r="C476" s="71">
        <v>2025</v>
      </c>
      <c r="D476" s="71">
        <v>12</v>
      </c>
      <c r="E476" s="71" t="s">
        <v>47</v>
      </c>
      <c r="F476" s="71" t="s">
        <v>38</v>
      </c>
      <c r="G476" s="72">
        <v>70.2</v>
      </c>
      <c r="H476" s="73">
        <v>963</v>
      </c>
      <c r="I476" s="73">
        <v>-25</v>
      </c>
      <c r="J476" s="73">
        <v>-48</v>
      </c>
      <c r="K476" s="73">
        <v>-205</v>
      </c>
      <c r="L476" s="73">
        <v>-52</v>
      </c>
      <c r="M476" s="73">
        <v>-27</v>
      </c>
      <c r="N476" s="73">
        <v>-59</v>
      </c>
      <c r="O476" s="73">
        <v>-32</v>
      </c>
      <c r="P476" s="73">
        <v>-116</v>
      </c>
      <c r="Q476" s="73">
        <v>-39</v>
      </c>
      <c r="R476" s="73">
        <v>0</v>
      </c>
      <c r="S476" s="73">
        <v>0</v>
      </c>
      <c r="T476" s="73">
        <v>0</v>
      </c>
      <c r="U476" s="73">
        <v>0</v>
      </c>
      <c r="V476" s="73">
        <v>0</v>
      </c>
      <c r="W476" s="73">
        <v>0</v>
      </c>
      <c r="X476" s="73">
        <v>0</v>
      </c>
      <c r="Y476" s="73">
        <v>0</v>
      </c>
      <c r="Z476" s="73">
        <v>90</v>
      </c>
      <c r="AA476" s="73">
        <v>916</v>
      </c>
      <c r="AB476" s="73">
        <v>0</v>
      </c>
      <c r="AC476" s="73">
        <v>0</v>
      </c>
      <c r="AD476" s="73">
        <v>0</v>
      </c>
      <c r="AE476" s="73">
        <v>0</v>
      </c>
      <c r="AF476" s="74">
        <f>tblData[[#This Row],[Gross Sales]]+tblData[[#This Row],[Trade Discounts]]+tblData[[#This Row],[Returns]]</f>
        <v>890</v>
      </c>
      <c r="AG476" s="74">
        <f>tblData[[#This Row],[Material Cost]]+tblData[[#This Row],[Conversion Cost]]+tblData[[#This Row],[Inbound Freight]]</f>
        <v>-284</v>
      </c>
      <c r="AH476" s="74">
        <f>tblData[[#This Row],[Net Revenue]]+tblData[[#This Row],[COGS]]</f>
        <v>606</v>
      </c>
      <c r="AI476" s="74">
        <f>tblData[[#This Row],[Advertising]]+tblData[[#This Row],[Promotions]]</f>
        <v>-91</v>
      </c>
      <c r="AJ476" s="74">
        <f>tblData[[#This Row],[Outbound Logistics]]+tblData[[#This Row],[Direct Selling]]</f>
        <v>-155</v>
      </c>
      <c r="AK476" s="74">
        <f>tblData[[#This Row],[Gross Profit]]+tblData[[#This Row],[AP Spend]]+tblData[[#This Row],[Cost to Serve]]</f>
        <v>360</v>
      </c>
    </row>
    <row r="477" spans="2:37" x14ac:dyDescent="0.25">
      <c r="B477" s="71" t="s">
        <v>36</v>
      </c>
      <c r="C477" s="71">
        <v>2025</v>
      </c>
      <c r="D477" s="71">
        <v>12</v>
      </c>
      <c r="E477" s="71" t="s">
        <v>47</v>
      </c>
      <c r="F477" s="71" t="s">
        <v>39</v>
      </c>
      <c r="G477" s="72">
        <v>92.2</v>
      </c>
      <c r="H477" s="73">
        <v>813</v>
      </c>
      <c r="I477" s="73">
        <v>-21</v>
      </c>
      <c r="J477" s="73">
        <v>-41</v>
      </c>
      <c r="K477" s="73">
        <v>-208</v>
      </c>
      <c r="L477" s="73">
        <v>-53</v>
      </c>
      <c r="M477" s="73">
        <v>-28</v>
      </c>
      <c r="N477" s="73">
        <v>-34</v>
      </c>
      <c r="O477" s="73">
        <v>-18</v>
      </c>
      <c r="P477" s="73">
        <v>-98</v>
      </c>
      <c r="Q477" s="73">
        <v>-33</v>
      </c>
      <c r="R477" s="73">
        <v>0</v>
      </c>
      <c r="S477" s="73">
        <v>0</v>
      </c>
      <c r="T477" s="73">
        <v>0</v>
      </c>
      <c r="U477" s="73">
        <v>0</v>
      </c>
      <c r="V477" s="73">
        <v>0</v>
      </c>
      <c r="W477" s="73">
        <v>0</v>
      </c>
      <c r="X477" s="73">
        <v>0</v>
      </c>
      <c r="Y477" s="73">
        <v>0</v>
      </c>
      <c r="Z477" s="73">
        <v>76</v>
      </c>
      <c r="AA477" s="73">
        <v>782</v>
      </c>
      <c r="AB477" s="73">
        <v>0</v>
      </c>
      <c r="AC477" s="73">
        <v>0</v>
      </c>
      <c r="AD477" s="73">
        <v>0</v>
      </c>
      <c r="AE477" s="73">
        <v>0</v>
      </c>
      <c r="AF477" s="74">
        <f>tblData[[#This Row],[Gross Sales]]+tblData[[#This Row],[Trade Discounts]]+tblData[[#This Row],[Returns]]</f>
        <v>751</v>
      </c>
      <c r="AG477" s="74">
        <f>tblData[[#This Row],[Material Cost]]+tblData[[#This Row],[Conversion Cost]]+tblData[[#This Row],[Inbound Freight]]</f>
        <v>-289</v>
      </c>
      <c r="AH477" s="74">
        <f>tblData[[#This Row],[Net Revenue]]+tblData[[#This Row],[COGS]]</f>
        <v>462</v>
      </c>
      <c r="AI477" s="74">
        <f>tblData[[#This Row],[Advertising]]+tblData[[#This Row],[Promotions]]</f>
        <v>-52</v>
      </c>
      <c r="AJ477" s="74">
        <f>tblData[[#This Row],[Outbound Logistics]]+tblData[[#This Row],[Direct Selling]]</f>
        <v>-131</v>
      </c>
      <c r="AK477" s="74">
        <f>tblData[[#This Row],[Gross Profit]]+tblData[[#This Row],[AP Spend]]+tblData[[#This Row],[Cost to Serve]]</f>
        <v>279</v>
      </c>
    </row>
    <row r="478" spans="2:37" x14ac:dyDescent="0.25">
      <c r="B478" s="71" t="s">
        <v>36</v>
      </c>
      <c r="C478" s="71">
        <v>2025</v>
      </c>
      <c r="D478" s="71">
        <v>12</v>
      </c>
      <c r="E478" s="71" t="s">
        <v>47</v>
      </c>
      <c r="F478" s="71" t="s">
        <v>40</v>
      </c>
      <c r="G478" s="72">
        <v>90.8</v>
      </c>
      <c r="H478" s="73">
        <v>623</v>
      </c>
      <c r="I478" s="73">
        <v>-16</v>
      </c>
      <c r="J478" s="73">
        <v>-31</v>
      </c>
      <c r="K478" s="73">
        <v>-177</v>
      </c>
      <c r="L478" s="73">
        <v>-45</v>
      </c>
      <c r="M478" s="73">
        <v>-24</v>
      </c>
      <c r="N478" s="73">
        <v>-17</v>
      </c>
      <c r="O478" s="73">
        <v>-9</v>
      </c>
      <c r="P478" s="73">
        <v>-75</v>
      </c>
      <c r="Q478" s="73">
        <v>-25</v>
      </c>
      <c r="R478" s="73">
        <v>0</v>
      </c>
      <c r="S478" s="73">
        <v>0</v>
      </c>
      <c r="T478" s="73">
        <v>0</v>
      </c>
      <c r="U478" s="73">
        <v>0</v>
      </c>
      <c r="V478" s="73">
        <v>0</v>
      </c>
      <c r="W478" s="73">
        <v>0</v>
      </c>
      <c r="X478" s="73">
        <v>0</v>
      </c>
      <c r="Y478" s="73">
        <v>0</v>
      </c>
      <c r="Z478" s="73">
        <v>58</v>
      </c>
      <c r="AA478" s="73">
        <v>619</v>
      </c>
      <c r="AB478" s="73">
        <v>0</v>
      </c>
      <c r="AC478" s="73">
        <v>0</v>
      </c>
      <c r="AD478" s="73">
        <v>0</v>
      </c>
      <c r="AE478" s="73">
        <v>0</v>
      </c>
      <c r="AF478" s="74">
        <f>tblData[[#This Row],[Gross Sales]]+tblData[[#This Row],[Trade Discounts]]+tblData[[#This Row],[Returns]]</f>
        <v>576</v>
      </c>
      <c r="AG478" s="74">
        <f>tblData[[#This Row],[Material Cost]]+tblData[[#This Row],[Conversion Cost]]+tblData[[#This Row],[Inbound Freight]]</f>
        <v>-246</v>
      </c>
      <c r="AH478" s="74">
        <f>tblData[[#This Row],[Net Revenue]]+tblData[[#This Row],[COGS]]</f>
        <v>330</v>
      </c>
      <c r="AI478" s="74">
        <f>tblData[[#This Row],[Advertising]]+tblData[[#This Row],[Promotions]]</f>
        <v>-26</v>
      </c>
      <c r="AJ478" s="74">
        <f>tblData[[#This Row],[Outbound Logistics]]+tblData[[#This Row],[Direct Selling]]</f>
        <v>-100</v>
      </c>
      <c r="AK478" s="74">
        <f>tblData[[#This Row],[Gross Profit]]+tblData[[#This Row],[AP Spend]]+tblData[[#This Row],[Cost to Serve]]</f>
        <v>204</v>
      </c>
    </row>
    <row r="479" spans="2:37" x14ac:dyDescent="0.25">
      <c r="B479" s="71" t="s">
        <v>36</v>
      </c>
      <c r="C479" s="71">
        <v>2025</v>
      </c>
      <c r="D479" s="71">
        <v>12</v>
      </c>
      <c r="E479" s="71" t="s">
        <v>47</v>
      </c>
      <c r="F479" s="71" t="s">
        <v>41</v>
      </c>
      <c r="G479" s="72">
        <v>44.9</v>
      </c>
      <c r="H479" s="73">
        <v>484</v>
      </c>
      <c r="I479" s="73">
        <v>-13</v>
      </c>
      <c r="J479" s="73">
        <v>-24</v>
      </c>
      <c r="K479" s="73">
        <v>-113</v>
      </c>
      <c r="L479" s="73">
        <v>-29</v>
      </c>
      <c r="M479" s="73">
        <v>-15</v>
      </c>
      <c r="N479" s="73">
        <v>-36</v>
      </c>
      <c r="O479" s="73">
        <v>-20</v>
      </c>
      <c r="P479" s="73">
        <v>-58</v>
      </c>
      <c r="Q479" s="73">
        <v>-19</v>
      </c>
      <c r="R479" s="73">
        <v>0</v>
      </c>
      <c r="S479" s="73">
        <v>0</v>
      </c>
      <c r="T479" s="73">
        <v>0</v>
      </c>
      <c r="U479" s="73">
        <v>0</v>
      </c>
      <c r="V479" s="73">
        <v>0</v>
      </c>
      <c r="W479" s="73">
        <v>0</v>
      </c>
      <c r="X479" s="73">
        <v>0</v>
      </c>
      <c r="Y479" s="73">
        <v>0</v>
      </c>
      <c r="Z479" s="73">
        <v>45</v>
      </c>
      <c r="AA479" s="73">
        <v>472</v>
      </c>
      <c r="AB479" s="73">
        <v>0</v>
      </c>
      <c r="AC479" s="73">
        <v>0</v>
      </c>
      <c r="AD479" s="73">
        <v>0</v>
      </c>
      <c r="AE479" s="73">
        <v>0</v>
      </c>
      <c r="AF479" s="74">
        <f>tblData[[#This Row],[Gross Sales]]+tblData[[#This Row],[Trade Discounts]]+tblData[[#This Row],[Returns]]</f>
        <v>447</v>
      </c>
      <c r="AG479" s="74">
        <f>tblData[[#This Row],[Material Cost]]+tblData[[#This Row],[Conversion Cost]]+tblData[[#This Row],[Inbound Freight]]</f>
        <v>-157</v>
      </c>
      <c r="AH479" s="74">
        <f>tblData[[#This Row],[Net Revenue]]+tblData[[#This Row],[COGS]]</f>
        <v>290</v>
      </c>
      <c r="AI479" s="74">
        <f>tblData[[#This Row],[Advertising]]+tblData[[#This Row],[Promotions]]</f>
        <v>-56</v>
      </c>
      <c r="AJ479" s="74">
        <f>tblData[[#This Row],[Outbound Logistics]]+tblData[[#This Row],[Direct Selling]]</f>
        <v>-77</v>
      </c>
      <c r="AK479" s="74">
        <f>tblData[[#This Row],[Gross Profit]]+tblData[[#This Row],[AP Spend]]+tblData[[#This Row],[Cost to Serve]]</f>
        <v>157</v>
      </c>
    </row>
    <row r="480" spans="2:37" x14ac:dyDescent="0.25">
      <c r="B480" s="71" t="s">
        <v>36</v>
      </c>
      <c r="C480" s="71">
        <v>2025</v>
      </c>
      <c r="D480" s="71">
        <v>12</v>
      </c>
      <c r="E480" s="71" t="s">
        <v>47</v>
      </c>
      <c r="F480" s="71" t="s">
        <v>42</v>
      </c>
      <c r="G480" s="72">
        <v>56</v>
      </c>
      <c r="H480" s="73">
        <v>329</v>
      </c>
      <c r="I480" s="73">
        <v>-9</v>
      </c>
      <c r="J480" s="73">
        <v>-16</v>
      </c>
      <c r="K480" s="73">
        <v>-103</v>
      </c>
      <c r="L480" s="73">
        <v>-26</v>
      </c>
      <c r="M480" s="73">
        <v>-14</v>
      </c>
      <c r="N480" s="73">
        <v>-7</v>
      </c>
      <c r="O480" s="73">
        <v>-4</v>
      </c>
      <c r="P480" s="73">
        <v>-39</v>
      </c>
      <c r="Q480" s="73">
        <v>-13</v>
      </c>
      <c r="R480" s="73">
        <v>0</v>
      </c>
      <c r="S480" s="73">
        <v>0</v>
      </c>
      <c r="T480" s="73">
        <v>0</v>
      </c>
      <c r="U480" s="73">
        <v>0</v>
      </c>
      <c r="V480" s="73">
        <v>0</v>
      </c>
      <c r="W480" s="73">
        <v>0</v>
      </c>
      <c r="X480" s="73">
        <v>0</v>
      </c>
      <c r="Y480" s="73">
        <v>0</v>
      </c>
      <c r="Z480" s="73">
        <v>32</v>
      </c>
      <c r="AA480" s="73">
        <v>543</v>
      </c>
      <c r="AB480" s="73">
        <v>0</v>
      </c>
      <c r="AC480" s="73">
        <v>0</v>
      </c>
      <c r="AD480" s="73">
        <v>0</v>
      </c>
      <c r="AE480" s="73">
        <v>0</v>
      </c>
      <c r="AF480" s="74">
        <f>tblData[[#This Row],[Gross Sales]]+tblData[[#This Row],[Trade Discounts]]+tblData[[#This Row],[Returns]]</f>
        <v>304</v>
      </c>
      <c r="AG480" s="74">
        <f>tblData[[#This Row],[Material Cost]]+tblData[[#This Row],[Conversion Cost]]+tblData[[#This Row],[Inbound Freight]]</f>
        <v>-143</v>
      </c>
      <c r="AH480" s="74">
        <f>tblData[[#This Row],[Net Revenue]]+tblData[[#This Row],[COGS]]</f>
        <v>161</v>
      </c>
      <c r="AI480" s="74">
        <f>tblData[[#This Row],[Advertising]]+tblData[[#This Row],[Promotions]]</f>
        <v>-11</v>
      </c>
      <c r="AJ480" s="74">
        <f>tblData[[#This Row],[Outbound Logistics]]+tblData[[#This Row],[Direct Selling]]</f>
        <v>-52</v>
      </c>
      <c r="AK480" s="74">
        <f>tblData[[#This Row],[Gross Profit]]+tblData[[#This Row],[AP Spend]]+tblData[[#This Row],[Cost to Serve]]</f>
        <v>98</v>
      </c>
    </row>
    <row r="481" spans="2:37" x14ac:dyDescent="0.25">
      <c r="B481" s="71" t="s">
        <v>36</v>
      </c>
      <c r="C481" s="71">
        <v>2025</v>
      </c>
      <c r="D481" s="71">
        <v>12</v>
      </c>
      <c r="E481" s="71" t="s">
        <v>47</v>
      </c>
      <c r="F481" s="71" t="s">
        <v>43</v>
      </c>
      <c r="G481" s="72">
        <v>11</v>
      </c>
      <c r="H481" s="73">
        <v>194</v>
      </c>
      <c r="I481" s="73">
        <v>-5</v>
      </c>
      <c r="J481" s="73">
        <v>-10</v>
      </c>
      <c r="K481" s="73">
        <v>-52</v>
      </c>
      <c r="L481" s="73">
        <v>-13</v>
      </c>
      <c r="M481" s="73">
        <v>-7</v>
      </c>
      <c r="N481" s="73">
        <v>-20</v>
      </c>
      <c r="O481" s="73">
        <v>-11</v>
      </c>
      <c r="P481" s="73">
        <v>-23</v>
      </c>
      <c r="Q481" s="73">
        <v>-8</v>
      </c>
      <c r="R481" s="73">
        <v>0</v>
      </c>
      <c r="S481" s="73">
        <v>0</v>
      </c>
      <c r="T481" s="73">
        <v>0</v>
      </c>
      <c r="U481" s="73">
        <v>0</v>
      </c>
      <c r="V481" s="73">
        <v>0</v>
      </c>
      <c r="W481" s="73">
        <v>0</v>
      </c>
      <c r="X481" s="73">
        <v>0</v>
      </c>
      <c r="Y481" s="73">
        <v>0</v>
      </c>
      <c r="Z481" s="73">
        <v>19</v>
      </c>
      <c r="AA481" s="73">
        <v>307</v>
      </c>
      <c r="AB481" s="73">
        <v>0</v>
      </c>
      <c r="AC481" s="73">
        <v>0</v>
      </c>
      <c r="AD481" s="73">
        <v>0</v>
      </c>
      <c r="AE481" s="73">
        <v>0</v>
      </c>
      <c r="AF481" s="74">
        <f>tblData[[#This Row],[Gross Sales]]+tblData[[#This Row],[Trade Discounts]]+tblData[[#This Row],[Returns]]</f>
        <v>179</v>
      </c>
      <c r="AG481" s="74">
        <f>tblData[[#This Row],[Material Cost]]+tblData[[#This Row],[Conversion Cost]]+tblData[[#This Row],[Inbound Freight]]</f>
        <v>-72</v>
      </c>
      <c r="AH481" s="74">
        <f>tblData[[#This Row],[Net Revenue]]+tblData[[#This Row],[COGS]]</f>
        <v>107</v>
      </c>
      <c r="AI481" s="74">
        <f>tblData[[#This Row],[Advertising]]+tblData[[#This Row],[Promotions]]</f>
        <v>-31</v>
      </c>
      <c r="AJ481" s="74">
        <f>tblData[[#This Row],[Outbound Logistics]]+tblData[[#This Row],[Direct Selling]]</f>
        <v>-31</v>
      </c>
      <c r="AK481" s="74">
        <f>tblData[[#This Row],[Gross Profit]]+tblData[[#This Row],[AP Spend]]+tblData[[#This Row],[Cost to Serve]]</f>
        <v>45</v>
      </c>
    </row>
    <row r="482" spans="2:37" x14ac:dyDescent="0.25">
      <c r="B482" s="71" t="s">
        <v>36</v>
      </c>
      <c r="C482" s="71">
        <v>2025</v>
      </c>
      <c r="D482" s="71">
        <v>12</v>
      </c>
      <c r="E482" s="71" t="s">
        <v>48</v>
      </c>
      <c r="F482" s="71" t="s">
        <v>38</v>
      </c>
      <c r="G482" s="72">
        <v>113.9</v>
      </c>
      <c r="H482" s="73">
        <v>1563</v>
      </c>
      <c r="I482" s="73">
        <v>-134</v>
      </c>
      <c r="J482" s="73">
        <v>-16</v>
      </c>
      <c r="K482" s="73">
        <v>-333</v>
      </c>
      <c r="L482" s="73">
        <v>-84</v>
      </c>
      <c r="M482" s="73">
        <v>-45</v>
      </c>
      <c r="N482" s="73">
        <v>-99</v>
      </c>
      <c r="O482" s="73">
        <v>-53</v>
      </c>
      <c r="P482" s="73">
        <v>-47</v>
      </c>
      <c r="Q482" s="73">
        <v>-23</v>
      </c>
      <c r="R482" s="73">
        <v>0</v>
      </c>
      <c r="S482" s="73">
        <v>0</v>
      </c>
      <c r="T482" s="73">
        <v>0</v>
      </c>
      <c r="U482" s="73">
        <v>0</v>
      </c>
      <c r="V482" s="73">
        <v>0</v>
      </c>
      <c r="W482" s="73">
        <v>0</v>
      </c>
      <c r="X482" s="73">
        <v>0</v>
      </c>
      <c r="Y482" s="73">
        <v>0</v>
      </c>
      <c r="Z482" s="73">
        <v>3384</v>
      </c>
      <c r="AA482" s="73">
        <v>1500</v>
      </c>
      <c r="AB482" s="73">
        <v>0</v>
      </c>
      <c r="AC482" s="73">
        <v>0</v>
      </c>
      <c r="AD482" s="73">
        <v>0</v>
      </c>
      <c r="AE482" s="73">
        <v>0</v>
      </c>
      <c r="AF482" s="74">
        <f>tblData[[#This Row],[Gross Sales]]+tblData[[#This Row],[Trade Discounts]]+tblData[[#This Row],[Returns]]</f>
        <v>1413</v>
      </c>
      <c r="AG482" s="74">
        <f>tblData[[#This Row],[Material Cost]]+tblData[[#This Row],[Conversion Cost]]+tblData[[#This Row],[Inbound Freight]]</f>
        <v>-462</v>
      </c>
      <c r="AH482" s="74">
        <f>tblData[[#This Row],[Net Revenue]]+tblData[[#This Row],[COGS]]</f>
        <v>951</v>
      </c>
      <c r="AI482" s="74">
        <f>tblData[[#This Row],[Advertising]]+tblData[[#This Row],[Promotions]]</f>
        <v>-152</v>
      </c>
      <c r="AJ482" s="74">
        <f>tblData[[#This Row],[Outbound Logistics]]+tblData[[#This Row],[Direct Selling]]</f>
        <v>-70</v>
      </c>
      <c r="AK482" s="74">
        <f>tblData[[#This Row],[Gross Profit]]+tblData[[#This Row],[AP Spend]]+tblData[[#This Row],[Cost to Serve]]</f>
        <v>729</v>
      </c>
    </row>
    <row r="483" spans="2:37" x14ac:dyDescent="0.25">
      <c r="B483" s="71" t="s">
        <v>36</v>
      </c>
      <c r="C483" s="71">
        <v>2025</v>
      </c>
      <c r="D483" s="71">
        <v>12</v>
      </c>
      <c r="E483" s="71" t="s">
        <v>48</v>
      </c>
      <c r="F483" s="71" t="s">
        <v>39</v>
      </c>
      <c r="G483" s="72">
        <v>148.69999999999999</v>
      </c>
      <c r="H483" s="73">
        <v>1312</v>
      </c>
      <c r="I483" s="73">
        <v>-113</v>
      </c>
      <c r="J483" s="73">
        <v>-13</v>
      </c>
      <c r="K483" s="73">
        <v>-335</v>
      </c>
      <c r="L483" s="73">
        <v>-85</v>
      </c>
      <c r="M483" s="73">
        <v>-45</v>
      </c>
      <c r="N483" s="73">
        <v>-57</v>
      </c>
      <c r="O483" s="73">
        <v>-30</v>
      </c>
      <c r="P483" s="73">
        <v>-39</v>
      </c>
      <c r="Q483" s="73">
        <v>-20</v>
      </c>
      <c r="R483" s="73">
        <v>0</v>
      </c>
      <c r="S483" s="73">
        <v>0</v>
      </c>
      <c r="T483" s="73">
        <v>0</v>
      </c>
      <c r="U483" s="73">
        <v>0</v>
      </c>
      <c r="V483" s="73">
        <v>0</v>
      </c>
      <c r="W483" s="73">
        <v>0</v>
      </c>
      <c r="X483" s="73">
        <v>0</v>
      </c>
      <c r="Y483" s="73">
        <v>0</v>
      </c>
      <c r="Z483" s="73">
        <v>2887</v>
      </c>
      <c r="AA483" s="73">
        <v>1293</v>
      </c>
      <c r="AB483" s="73">
        <v>0</v>
      </c>
      <c r="AC483" s="73">
        <v>0</v>
      </c>
      <c r="AD483" s="73">
        <v>0</v>
      </c>
      <c r="AE483" s="73">
        <v>0</v>
      </c>
      <c r="AF483" s="74">
        <f>tblData[[#This Row],[Gross Sales]]+tblData[[#This Row],[Trade Discounts]]+tblData[[#This Row],[Returns]]</f>
        <v>1186</v>
      </c>
      <c r="AG483" s="74">
        <f>tblData[[#This Row],[Material Cost]]+tblData[[#This Row],[Conversion Cost]]+tblData[[#This Row],[Inbound Freight]]</f>
        <v>-465</v>
      </c>
      <c r="AH483" s="74">
        <f>tblData[[#This Row],[Net Revenue]]+tblData[[#This Row],[COGS]]</f>
        <v>721</v>
      </c>
      <c r="AI483" s="74">
        <f>tblData[[#This Row],[Advertising]]+tblData[[#This Row],[Promotions]]</f>
        <v>-87</v>
      </c>
      <c r="AJ483" s="74">
        <f>tblData[[#This Row],[Outbound Logistics]]+tblData[[#This Row],[Direct Selling]]</f>
        <v>-59</v>
      </c>
      <c r="AK483" s="74">
        <f>tblData[[#This Row],[Gross Profit]]+tblData[[#This Row],[AP Spend]]+tblData[[#This Row],[Cost to Serve]]</f>
        <v>575</v>
      </c>
    </row>
    <row r="484" spans="2:37" x14ac:dyDescent="0.25">
      <c r="B484" s="71" t="s">
        <v>36</v>
      </c>
      <c r="C484" s="71">
        <v>2025</v>
      </c>
      <c r="D484" s="71">
        <v>12</v>
      </c>
      <c r="E484" s="71" t="s">
        <v>48</v>
      </c>
      <c r="F484" s="71" t="s">
        <v>40</v>
      </c>
      <c r="G484" s="72">
        <v>147.1</v>
      </c>
      <c r="H484" s="73">
        <v>1009</v>
      </c>
      <c r="I484" s="73">
        <v>-87</v>
      </c>
      <c r="J484" s="73">
        <v>-10</v>
      </c>
      <c r="K484" s="73">
        <v>-286</v>
      </c>
      <c r="L484" s="73">
        <v>-73</v>
      </c>
      <c r="M484" s="73">
        <v>-38</v>
      </c>
      <c r="N484" s="73">
        <v>-28</v>
      </c>
      <c r="O484" s="73">
        <v>-15</v>
      </c>
      <c r="P484" s="73">
        <v>-30</v>
      </c>
      <c r="Q484" s="73">
        <v>-15</v>
      </c>
      <c r="R484" s="73">
        <v>0</v>
      </c>
      <c r="S484" s="73">
        <v>0</v>
      </c>
      <c r="T484" s="73">
        <v>0</v>
      </c>
      <c r="U484" s="73">
        <v>0</v>
      </c>
      <c r="V484" s="73">
        <v>0</v>
      </c>
      <c r="W484" s="73">
        <v>0</v>
      </c>
      <c r="X484" s="73">
        <v>0</v>
      </c>
      <c r="Y484" s="73">
        <v>0</v>
      </c>
      <c r="Z484" s="73">
        <v>2178</v>
      </c>
      <c r="AA484" s="73">
        <v>1016</v>
      </c>
      <c r="AB484" s="73">
        <v>0</v>
      </c>
      <c r="AC484" s="73">
        <v>0</v>
      </c>
      <c r="AD484" s="73">
        <v>0</v>
      </c>
      <c r="AE484" s="73">
        <v>0</v>
      </c>
      <c r="AF484" s="74">
        <f>tblData[[#This Row],[Gross Sales]]+tblData[[#This Row],[Trade Discounts]]+tblData[[#This Row],[Returns]]</f>
        <v>912</v>
      </c>
      <c r="AG484" s="74">
        <f>tblData[[#This Row],[Material Cost]]+tblData[[#This Row],[Conversion Cost]]+tblData[[#This Row],[Inbound Freight]]</f>
        <v>-397</v>
      </c>
      <c r="AH484" s="74">
        <f>tblData[[#This Row],[Net Revenue]]+tblData[[#This Row],[COGS]]</f>
        <v>515</v>
      </c>
      <c r="AI484" s="74">
        <f>tblData[[#This Row],[Advertising]]+tblData[[#This Row],[Promotions]]</f>
        <v>-43</v>
      </c>
      <c r="AJ484" s="74">
        <f>tblData[[#This Row],[Outbound Logistics]]+tblData[[#This Row],[Direct Selling]]</f>
        <v>-45</v>
      </c>
      <c r="AK484" s="74">
        <f>tblData[[#This Row],[Gross Profit]]+tblData[[#This Row],[AP Spend]]+tblData[[#This Row],[Cost to Serve]]</f>
        <v>427</v>
      </c>
    </row>
    <row r="485" spans="2:37" x14ac:dyDescent="0.25">
      <c r="B485" s="71" t="s">
        <v>36</v>
      </c>
      <c r="C485" s="71">
        <v>2025</v>
      </c>
      <c r="D485" s="71">
        <v>12</v>
      </c>
      <c r="E485" s="71" t="s">
        <v>48</v>
      </c>
      <c r="F485" s="71" t="s">
        <v>41</v>
      </c>
      <c r="G485" s="72">
        <v>73</v>
      </c>
      <c r="H485" s="73">
        <v>787</v>
      </c>
      <c r="I485" s="73">
        <v>-68</v>
      </c>
      <c r="J485" s="73">
        <v>-8</v>
      </c>
      <c r="K485" s="73">
        <v>-184</v>
      </c>
      <c r="L485" s="73">
        <v>-47</v>
      </c>
      <c r="M485" s="73">
        <v>-25</v>
      </c>
      <c r="N485" s="73">
        <v>-61</v>
      </c>
      <c r="O485" s="73">
        <v>-33</v>
      </c>
      <c r="P485" s="73">
        <v>-24</v>
      </c>
      <c r="Q485" s="73">
        <v>-12</v>
      </c>
      <c r="R485" s="73">
        <v>0</v>
      </c>
      <c r="S485" s="73">
        <v>0</v>
      </c>
      <c r="T485" s="73">
        <v>0</v>
      </c>
      <c r="U485" s="73">
        <v>0</v>
      </c>
      <c r="V485" s="73">
        <v>0</v>
      </c>
      <c r="W485" s="73">
        <v>0</v>
      </c>
      <c r="X485" s="73">
        <v>0</v>
      </c>
      <c r="Y485" s="73">
        <v>0</v>
      </c>
      <c r="Z485" s="73">
        <v>1689</v>
      </c>
      <c r="AA485" s="73">
        <v>780</v>
      </c>
      <c r="AB485" s="73">
        <v>0</v>
      </c>
      <c r="AC485" s="73">
        <v>0</v>
      </c>
      <c r="AD485" s="73">
        <v>0</v>
      </c>
      <c r="AE485" s="73">
        <v>0</v>
      </c>
      <c r="AF485" s="74">
        <f>tblData[[#This Row],[Gross Sales]]+tblData[[#This Row],[Trade Discounts]]+tblData[[#This Row],[Returns]]</f>
        <v>711</v>
      </c>
      <c r="AG485" s="74">
        <f>tblData[[#This Row],[Material Cost]]+tblData[[#This Row],[Conversion Cost]]+tblData[[#This Row],[Inbound Freight]]</f>
        <v>-256</v>
      </c>
      <c r="AH485" s="74">
        <f>tblData[[#This Row],[Net Revenue]]+tblData[[#This Row],[COGS]]</f>
        <v>455</v>
      </c>
      <c r="AI485" s="74">
        <f>tblData[[#This Row],[Advertising]]+tblData[[#This Row],[Promotions]]</f>
        <v>-94</v>
      </c>
      <c r="AJ485" s="74">
        <f>tblData[[#This Row],[Outbound Logistics]]+tblData[[#This Row],[Direct Selling]]</f>
        <v>-36</v>
      </c>
      <c r="AK485" s="74">
        <f>tblData[[#This Row],[Gross Profit]]+tblData[[#This Row],[AP Spend]]+tblData[[#This Row],[Cost to Serve]]</f>
        <v>325</v>
      </c>
    </row>
    <row r="486" spans="2:37" x14ac:dyDescent="0.25">
      <c r="B486" s="71" t="s">
        <v>36</v>
      </c>
      <c r="C486" s="71">
        <v>2025</v>
      </c>
      <c r="D486" s="71">
        <v>12</v>
      </c>
      <c r="E486" s="71" t="s">
        <v>48</v>
      </c>
      <c r="F486" s="71" t="s">
        <v>42</v>
      </c>
      <c r="G486" s="72">
        <v>94.6</v>
      </c>
      <c r="H486" s="73">
        <v>556</v>
      </c>
      <c r="I486" s="73">
        <v>-48</v>
      </c>
      <c r="J486" s="73">
        <v>-6</v>
      </c>
      <c r="K486" s="73">
        <v>-174</v>
      </c>
      <c r="L486" s="73">
        <v>-44</v>
      </c>
      <c r="M486" s="73">
        <v>-23</v>
      </c>
      <c r="N486" s="73">
        <v>-12</v>
      </c>
      <c r="O486" s="73">
        <v>-6</v>
      </c>
      <c r="P486" s="73">
        <v>-17</v>
      </c>
      <c r="Q486" s="73">
        <v>-8</v>
      </c>
      <c r="R486" s="73">
        <v>0</v>
      </c>
      <c r="S486" s="73">
        <v>0</v>
      </c>
      <c r="T486" s="73">
        <v>0</v>
      </c>
      <c r="U486" s="73">
        <v>0</v>
      </c>
      <c r="V486" s="73">
        <v>0</v>
      </c>
      <c r="W486" s="73">
        <v>0</v>
      </c>
      <c r="X486" s="73">
        <v>0</v>
      </c>
      <c r="Y486" s="73">
        <v>0</v>
      </c>
      <c r="Z486" s="73">
        <v>1220</v>
      </c>
      <c r="AA486" s="73">
        <v>918</v>
      </c>
      <c r="AB486" s="73">
        <v>0</v>
      </c>
      <c r="AC486" s="73">
        <v>0</v>
      </c>
      <c r="AD486" s="73">
        <v>0</v>
      </c>
      <c r="AE486" s="73">
        <v>0</v>
      </c>
      <c r="AF486" s="74">
        <f>tblData[[#This Row],[Gross Sales]]+tblData[[#This Row],[Trade Discounts]]+tblData[[#This Row],[Returns]]</f>
        <v>502</v>
      </c>
      <c r="AG486" s="74">
        <f>tblData[[#This Row],[Material Cost]]+tblData[[#This Row],[Conversion Cost]]+tblData[[#This Row],[Inbound Freight]]</f>
        <v>-241</v>
      </c>
      <c r="AH486" s="74">
        <f>tblData[[#This Row],[Net Revenue]]+tblData[[#This Row],[COGS]]</f>
        <v>261</v>
      </c>
      <c r="AI486" s="74">
        <f>tblData[[#This Row],[Advertising]]+tblData[[#This Row],[Promotions]]</f>
        <v>-18</v>
      </c>
      <c r="AJ486" s="74">
        <f>tblData[[#This Row],[Outbound Logistics]]+tblData[[#This Row],[Direct Selling]]</f>
        <v>-25</v>
      </c>
      <c r="AK486" s="74">
        <f>tblData[[#This Row],[Gross Profit]]+tblData[[#This Row],[AP Spend]]+tblData[[#This Row],[Cost to Serve]]</f>
        <v>218</v>
      </c>
    </row>
    <row r="487" spans="2:37" x14ac:dyDescent="0.25">
      <c r="B487" s="71" t="s">
        <v>36</v>
      </c>
      <c r="C487" s="71">
        <v>2025</v>
      </c>
      <c r="D487" s="71">
        <v>12</v>
      </c>
      <c r="E487" s="71" t="s">
        <v>48</v>
      </c>
      <c r="F487" s="71" t="s">
        <v>43</v>
      </c>
      <c r="G487" s="72">
        <v>18.7</v>
      </c>
      <c r="H487" s="73">
        <v>329</v>
      </c>
      <c r="I487" s="73">
        <v>-28</v>
      </c>
      <c r="J487" s="73">
        <v>-3</v>
      </c>
      <c r="K487" s="73">
        <v>-89</v>
      </c>
      <c r="L487" s="73">
        <v>-23</v>
      </c>
      <c r="M487" s="73">
        <v>-12</v>
      </c>
      <c r="N487" s="73">
        <v>-33</v>
      </c>
      <c r="O487" s="73">
        <v>-18</v>
      </c>
      <c r="P487" s="73">
        <v>-10</v>
      </c>
      <c r="Q487" s="73">
        <v>-5</v>
      </c>
      <c r="R487" s="73">
        <v>0</v>
      </c>
      <c r="S487" s="73">
        <v>0</v>
      </c>
      <c r="T487" s="73">
        <v>0</v>
      </c>
      <c r="U487" s="73">
        <v>0</v>
      </c>
      <c r="V487" s="73">
        <v>0</v>
      </c>
      <c r="W487" s="73">
        <v>0</v>
      </c>
      <c r="X487" s="73">
        <v>0</v>
      </c>
      <c r="Y487" s="73">
        <v>0</v>
      </c>
      <c r="Z487" s="73">
        <v>719</v>
      </c>
      <c r="AA487" s="73">
        <v>510</v>
      </c>
      <c r="AB487" s="73">
        <v>0</v>
      </c>
      <c r="AC487" s="73">
        <v>0</v>
      </c>
      <c r="AD487" s="73">
        <v>0</v>
      </c>
      <c r="AE487" s="73">
        <v>0</v>
      </c>
      <c r="AF487" s="74">
        <f>tblData[[#This Row],[Gross Sales]]+tblData[[#This Row],[Trade Discounts]]+tblData[[#This Row],[Returns]]</f>
        <v>298</v>
      </c>
      <c r="AG487" s="74">
        <f>tblData[[#This Row],[Material Cost]]+tblData[[#This Row],[Conversion Cost]]+tblData[[#This Row],[Inbound Freight]]</f>
        <v>-124</v>
      </c>
      <c r="AH487" s="74">
        <f>tblData[[#This Row],[Net Revenue]]+tblData[[#This Row],[COGS]]</f>
        <v>174</v>
      </c>
      <c r="AI487" s="74">
        <f>tblData[[#This Row],[Advertising]]+tblData[[#This Row],[Promotions]]</f>
        <v>-51</v>
      </c>
      <c r="AJ487" s="74">
        <f>tblData[[#This Row],[Outbound Logistics]]+tblData[[#This Row],[Direct Selling]]</f>
        <v>-15</v>
      </c>
      <c r="AK487" s="74">
        <f>tblData[[#This Row],[Gross Profit]]+tblData[[#This Row],[AP Spend]]+tblData[[#This Row],[Cost to Serve]]</f>
        <v>108</v>
      </c>
    </row>
    <row r="488" spans="2:37" x14ac:dyDescent="0.25">
      <c r="B488" s="71" t="s">
        <v>36</v>
      </c>
      <c r="C488" s="71">
        <v>2025</v>
      </c>
      <c r="D488" s="71">
        <v>12</v>
      </c>
      <c r="E488" s="71" t="s">
        <v>49</v>
      </c>
      <c r="F488" s="71" t="s">
        <v>49</v>
      </c>
      <c r="G488" s="72">
        <v>0</v>
      </c>
      <c r="H488" s="73">
        <v>0</v>
      </c>
      <c r="I488" s="73">
        <v>0</v>
      </c>
      <c r="J488" s="73">
        <v>0</v>
      </c>
      <c r="K488" s="73">
        <v>0</v>
      </c>
      <c r="L488" s="73">
        <v>0</v>
      </c>
      <c r="M488" s="73">
        <v>0</v>
      </c>
      <c r="N488" s="73">
        <v>0</v>
      </c>
      <c r="O488" s="73">
        <v>0</v>
      </c>
      <c r="P488" s="73">
        <v>0</v>
      </c>
      <c r="Q488" s="73">
        <v>0</v>
      </c>
      <c r="R488" s="73">
        <v>-4138</v>
      </c>
      <c r="S488" s="73">
        <v>-974</v>
      </c>
      <c r="T488" s="73">
        <v>-1261</v>
      </c>
      <c r="U488" s="73">
        <v>-1079</v>
      </c>
      <c r="V488" s="73">
        <v>-1413</v>
      </c>
      <c r="W488" s="73">
        <v>-722</v>
      </c>
      <c r="X488" s="73">
        <v>-2104</v>
      </c>
      <c r="Y488" s="73">
        <v>-1423</v>
      </c>
      <c r="Z488" s="73">
        <v>0</v>
      </c>
      <c r="AA488" s="73">
        <v>0</v>
      </c>
      <c r="AB488" s="73">
        <v>36884</v>
      </c>
      <c r="AC488" s="73">
        <v>39147</v>
      </c>
      <c r="AD488" s="73">
        <v>190000</v>
      </c>
      <c r="AE488" s="73">
        <v>1164</v>
      </c>
      <c r="AF488" s="74">
        <f>tblData[[#This Row],[Gross Sales]]+tblData[[#This Row],[Trade Discounts]]+tblData[[#This Row],[Returns]]</f>
        <v>0</v>
      </c>
      <c r="AG488" s="74">
        <f>tblData[[#This Row],[Material Cost]]+tblData[[#This Row],[Conversion Cost]]+tblData[[#This Row],[Inbound Freight]]</f>
        <v>0</v>
      </c>
      <c r="AH488" s="74">
        <f>tblData[[#This Row],[Net Revenue]]+tblData[[#This Row],[COGS]]</f>
        <v>0</v>
      </c>
      <c r="AI488" s="74">
        <f>tblData[[#This Row],[Advertising]]+tblData[[#This Row],[Promotions]]</f>
        <v>0</v>
      </c>
      <c r="AJ488" s="74">
        <f>tblData[[#This Row],[Outbound Logistics]]+tblData[[#This Row],[Direct Selling]]</f>
        <v>0</v>
      </c>
      <c r="AK488" s="74">
        <f>tblData[[#This Row],[Gross Profit]]+tblData[[#This Row],[AP Spend]]+tblData[[#This Row],[Cost to Serve]]</f>
        <v>0</v>
      </c>
    </row>
    <row r="489" spans="2:37" x14ac:dyDescent="0.25">
      <c r="B489" s="71" t="s">
        <v>50</v>
      </c>
      <c r="C489" s="71">
        <v>2026</v>
      </c>
      <c r="D489" s="71">
        <v>1</v>
      </c>
      <c r="E489" s="71" t="s">
        <v>37</v>
      </c>
      <c r="F489" s="71" t="s">
        <v>38</v>
      </c>
      <c r="G489" s="72">
        <v>249.5</v>
      </c>
      <c r="H489" s="73">
        <v>3493</v>
      </c>
      <c r="I489" s="73">
        <v>-664</v>
      </c>
      <c r="J489" s="73">
        <v>-52</v>
      </c>
      <c r="K489" s="73">
        <v>-754</v>
      </c>
      <c r="L489" s="73">
        <v>-189</v>
      </c>
      <c r="M489" s="73">
        <v>-105</v>
      </c>
      <c r="N489" s="73">
        <v>-204</v>
      </c>
      <c r="O489" s="73">
        <v>-110</v>
      </c>
      <c r="P489" s="73">
        <v>-140</v>
      </c>
      <c r="Q489" s="73">
        <v>-105</v>
      </c>
      <c r="R489" s="73">
        <v>0</v>
      </c>
      <c r="S489" s="73">
        <v>0</v>
      </c>
      <c r="T489" s="73">
        <v>0</v>
      </c>
      <c r="U489" s="73">
        <v>0</v>
      </c>
      <c r="V489" s="73">
        <v>0</v>
      </c>
      <c r="W489" s="73">
        <v>0</v>
      </c>
      <c r="X489" s="73">
        <v>0</v>
      </c>
      <c r="Y489" s="73">
        <v>0</v>
      </c>
      <c r="Z489" s="73">
        <v>5024</v>
      </c>
      <c r="AA489" s="73">
        <v>3274</v>
      </c>
      <c r="AB489" s="73">
        <v>0</v>
      </c>
      <c r="AC489" s="73">
        <v>0</v>
      </c>
      <c r="AD489" s="73">
        <v>0</v>
      </c>
      <c r="AE489" s="73">
        <v>0</v>
      </c>
      <c r="AF489" s="74">
        <f>tblData[[#This Row],[Gross Sales]]+tblData[[#This Row],[Trade Discounts]]+tblData[[#This Row],[Returns]]</f>
        <v>2777</v>
      </c>
      <c r="AG489" s="74">
        <f>tblData[[#This Row],[Material Cost]]+tblData[[#This Row],[Conversion Cost]]+tblData[[#This Row],[Inbound Freight]]</f>
        <v>-1048</v>
      </c>
      <c r="AH489" s="74">
        <f>tblData[[#This Row],[Net Revenue]]+tblData[[#This Row],[COGS]]</f>
        <v>1729</v>
      </c>
      <c r="AI489" s="74">
        <f>tblData[[#This Row],[Advertising]]+tblData[[#This Row],[Promotions]]</f>
        <v>-314</v>
      </c>
      <c r="AJ489" s="74">
        <f>tblData[[#This Row],[Outbound Logistics]]+tblData[[#This Row],[Direct Selling]]</f>
        <v>-245</v>
      </c>
      <c r="AK489" s="74">
        <f>tblData[[#This Row],[Gross Profit]]+tblData[[#This Row],[AP Spend]]+tblData[[#This Row],[Cost to Serve]]</f>
        <v>1170</v>
      </c>
    </row>
    <row r="490" spans="2:37" x14ac:dyDescent="0.25">
      <c r="B490" s="71" t="s">
        <v>50</v>
      </c>
      <c r="C490" s="71">
        <v>2026</v>
      </c>
      <c r="D490" s="71">
        <v>1</v>
      </c>
      <c r="E490" s="71" t="s">
        <v>37</v>
      </c>
      <c r="F490" s="71" t="s">
        <v>39</v>
      </c>
      <c r="G490" s="72">
        <v>332.6</v>
      </c>
      <c r="H490" s="73">
        <v>2994</v>
      </c>
      <c r="I490" s="73">
        <v>-569</v>
      </c>
      <c r="J490" s="73">
        <v>-45</v>
      </c>
      <c r="K490" s="73">
        <v>-776</v>
      </c>
      <c r="L490" s="73">
        <v>-194</v>
      </c>
      <c r="M490" s="73">
        <v>-108</v>
      </c>
      <c r="N490" s="73">
        <v>-117</v>
      </c>
      <c r="O490" s="73">
        <v>-63</v>
      </c>
      <c r="P490" s="73">
        <v>-120</v>
      </c>
      <c r="Q490" s="73">
        <v>-90</v>
      </c>
      <c r="R490" s="73">
        <v>0</v>
      </c>
      <c r="S490" s="73">
        <v>0</v>
      </c>
      <c r="T490" s="73">
        <v>0</v>
      </c>
      <c r="U490" s="73">
        <v>0</v>
      </c>
      <c r="V490" s="73">
        <v>0</v>
      </c>
      <c r="W490" s="73">
        <v>0</v>
      </c>
      <c r="X490" s="73">
        <v>0</v>
      </c>
      <c r="Y490" s="73">
        <v>0</v>
      </c>
      <c r="Z490" s="73">
        <v>4306</v>
      </c>
      <c r="AA490" s="73">
        <v>2836</v>
      </c>
      <c r="AB490" s="73">
        <v>0</v>
      </c>
      <c r="AC490" s="73">
        <v>0</v>
      </c>
      <c r="AD490" s="73">
        <v>0</v>
      </c>
      <c r="AE490" s="73">
        <v>0</v>
      </c>
      <c r="AF490" s="74">
        <f>tblData[[#This Row],[Gross Sales]]+tblData[[#This Row],[Trade Discounts]]+tblData[[#This Row],[Returns]]</f>
        <v>2380</v>
      </c>
      <c r="AG490" s="74">
        <f>tblData[[#This Row],[Material Cost]]+tblData[[#This Row],[Conversion Cost]]+tblData[[#This Row],[Inbound Freight]]</f>
        <v>-1078</v>
      </c>
      <c r="AH490" s="74">
        <f>tblData[[#This Row],[Net Revenue]]+tblData[[#This Row],[COGS]]</f>
        <v>1302</v>
      </c>
      <c r="AI490" s="74">
        <f>tblData[[#This Row],[Advertising]]+tblData[[#This Row],[Promotions]]</f>
        <v>-180</v>
      </c>
      <c r="AJ490" s="74">
        <f>tblData[[#This Row],[Outbound Logistics]]+tblData[[#This Row],[Direct Selling]]</f>
        <v>-210</v>
      </c>
      <c r="AK490" s="74">
        <f>tblData[[#This Row],[Gross Profit]]+tblData[[#This Row],[AP Spend]]+tblData[[#This Row],[Cost to Serve]]</f>
        <v>912</v>
      </c>
    </row>
    <row r="491" spans="2:37" x14ac:dyDescent="0.25">
      <c r="B491" s="71" t="s">
        <v>50</v>
      </c>
      <c r="C491" s="71">
        <v>2026</v>
      </c>
      <c r="D491" s="71">
        <v>1</v>
      </c>
      <c r="E491" s="71" t="s">
        <v>37</v>
      </c>
      <c r="F491" s="71" t="s">
        <v>40</v>
      </c>
      <c r="G491" s="72">
        <v>320.8</v>
      </c>
      <c r="H491" s="73">
        <v>2245</v>
      </c>
      <c r="I491" s="73">
        <v>-427</v>
      </c>
      <c r="J491" s="73">
        <v>-34</v>
      </c>
      <c r="K491" s="73">
        <v>-647</v>
      </c>
      <c r="L491" s="73">
        <v>-162</v>
      </c>
      <c r="M491" s="73">
        <v>-90</v>
      </c>
      <c r="N491" s="73">
        <v>-58</v>
      </c>
      <c r="O491" s="73">
        <v>-31</v>
      </c>
      <c r="P491" s="73">
        <v>-90</v>
      </c>
      <c r="Q491" s="73">
        <v>-67</v>
      </c>
      <c r="R491" s="73">
        <v>0</v>
      </c>
      <c r="S491" s="73">
        <v>0</v>
      </c>
      <c r="T491" s="73">
        <v>0</v>
      </c>
      <c r="U491" s="73">
        <v>0</v>
      </c>
      <c r="V491" s="73">
        <v>0</v>
      </c>
      <c r="W491" s="73">
        <v>0</v>
      </c>
      <c r="X491" s="73">
        <v>0</v>
      </c>
      <c r="Y491" s="73">
        <v>0</v>
      </c>
      <c r="Z491" s="73">
        <v>3229</v>
      </c>
      <c r="AA491" s="73">
        <v>2216</v>
      </c>
      <c r="AB491" s="73">
        <v>0</v>
      </c>
      <c r="AC491" s="73">
        <v>0</v>
      </c>
      <c r="AD491" s="73">
        <v>0</v>
      </c>
      <c r="AE491" s="73">
        <v>0</v>
      </c>
      <c r="AF491" s="74">
        <f>tblData[[#This Row],[Gross Sales]]+tblData[[#This Row],[Trade Discounts]]+tblData[[#This Row],[Returns]]</f>
        <v>1784</v>
      </c>
      <c r="AG491" s="74">
        <f>tblData[[#This Row],[Material Cost]]+tblData[[#This Row],[Conversion Cost]]+tblData[[#This Row],[Inbound Freight]]</f>
        <v>-899</v>
      </c>
      <c r="AH491" s="74">
        <f>tblData[[#This Row],[Net Revenue]]+tblData[[#This Row],[COGS]]</f>
        <v>885</v>
      </c>
      <c r="AI491" s="74">
        <f>tblData[[#This Row],[Advertising]]+tblData[[#This Row],[Promotions]]</f>
        <v>-89</v>
      </c>
      <c r="AJ491" s="74">
        <f>tblData[[#This Row],[Outbound Logistics]]+tblData[[#This Row],[Direct Selling]]</f>
        <v>-157</v>
      </c>
      <c r="AK491" s="74">
        <f>tblData[[#This Row],[Gross Profit]]+tblData[[#This Row],[AP Spend]]+tblData[[#This Row],[Cost to Serve]]</f>
        <v>639</v>
      </c>
    </row>
    <row r="492" spans="2:37" x14ac:dyDescent="0.25">
      <c r="B492" s="71" t="s">
        <v>50</v>
      </c>
      <c r="C492" s="71">
        <v>2026</v>
      </c>
      <c r="D492" s="71">
        <v>1</v>
      </c>
      <c r="E492" s="71" t="s">
        <v>37</v>
      </c>
      <c r="F492" s="71" t="s">
        <v>41</v>
      </c>
      <c r="G492" s="72">
        <v>158.80000000000001</v>
      </c>
      <c r="H492" s="73">
        <v>1746</v>
      </c>
      <c r="I492" s="73">
        <v>-332</v>
      </c>
      <c r="J492" s="73">
        <v>-26</v>
      </c>
      <c r="K492" s="73">
        <v>-415</v>
      </c>
      <c r="L492" s="73">
        <v>-104</v>
      </c>
      <c r="M492" s="73">
        <v>-58</v>
      </c>
      <c r="N492" s="73">
        <v>-125</v>
      </c>
      <c r="O492" s="73">
        <v>-67</v>
      </c>
      <c r="P492" s="73">
        <v>-70</v>
      </c>
      <c r="Q492" s="73">
        <v>-52</v>
      </c>
      <c r="R492" s="73">
        <v>0</v>
      </c>
      <c r="S492" s="73">
        <v>0</v>
      </c>
      <c r="T492" s="73">
        <v>0</v>
      </c>
      <c r="U492" s="73">
        <v>0</v>
      </c>
      <c r="V492" s="73">
        <v>0</v>
      </c>
      <c r="W492" s="73">
        <v>0</v>
      </c>
      <c r="X492" s="73">
        <v>0</v>
      </c>
      <c r="Y492" s="73">
        <v>0</v>
      </c>
      <c r="Z492" s="73">
        <v>2512</v>
      </c>
      <c r="AA492" s="73">
        <v>1706</v>
      </c>
      <c r="AB492" s="73">
        <v>0</v>
      </c>
      <c r="AC492" s="73">
        <v>0</v>
      </c>
      <c r="AD492" s="73">
        <v>0</v>
      </c>
      <c r="AE492" s="73">
        <v>0</v>
      </c>
      <c r="AF492" s="74">
        <f>tblData[[#This Row],[Gross Sales]]+tblData[[#This Row],[Trade Discounts]]+tblData[[#This Row],[Returns]]</f>
        <v>1388</v>
      </c>
      <c r="AG492" s="74">
        <f>tblData[[#This Row],[Material Cost]]+tblData[[#This Row],[Conversion Cost]]+tblData[[#This Row],[Inbound Freight]]</f>
        <v>-577</v>
      </c>
      <c r="AH492" s="74">
        <f>tblData[[#This Row],[Net Revenue]]+tblData[[#This Row],[COGS]]</f>
        <v>811</v>
      </c>
      <c r="AI492" s="74">
        <f>tblData[[#This Row],[Advertising]]+tblData[[#This Row],[Promotions]]</f>
        <v>-192</v>
      </c>
      <c r="AJ492" s="74">
        <f>tblData[[#This Row],[Outbound Logistics]]+tblData[[#This Row],[Direct Selling]]</f>
        <v>-122</v>
      </c>
      <c r="AK492" s="74">
        <f>tblData[[#This Row],[Gross Profit]]+tblData[[#This Row],[AP Spend]]+tblData[[#This Row],[Cost to Serve]]</f>
        <v>497</v>
      </c>
    </row>
    <row r="493" spans="2:37" x14ac:dyDescent="0.25">
      <c r="B493" s="71" t="s">
        <v>50</v>
      </c>
      <c r="C493" s="71">
        <v>2026</v>
      </c>
      <c r="D493" s="71">
        <v>1</v>
      </c>
      <c r="E493" s="71" t="s">
        <v>37</v>
      </c>
      <c r="F493" s="71" t="s">
        <v>42</v>
      </c>
      <c r="G493" s="72">
        <v>207.9</v>
      </c>
      <c r="H493" s="73">
        <v>1247</v>
      </c>
      <c r="I493" s="73">
        <v>-237</v>
      </c>
      <c r="J493" s="73">
        <v>-19</v>
      </c>
      <c r="K493" s="73">
        <v>-395</v>
      </c>
      <c r="L493" s="73">
        <v>-99</v>
      </c>
      <c r="M493" s="73">
        <v>-55</v>
      </c>
      <c r="N493" s="73">
        <v>-24</v>
      </c>
      <c r="O493" s="73">
        <v>-13</v>
      </c>
      <c r="P493" s="73">
        <v>-50</v>
      </c>
      <c r="Q493" s="73">
        <v>-37</v>
      </c>
      <c r="R493" s="73">
        <v>0</v>
      </c>
      <c r="S493" s="73">
        <v>0</v>
      </c>
      <c r="T493" s="73">
        <v>0</v>
      </c>
      <c r="U493" s="73">
        <v>0</v>
      </c>
      <c r="V493" s="73">
        <v>0</v>
      </c>
      <c r="W493" s="73">
        <v>0</v>
      </c>
      <c r="X493" s="73">
        <v>0</v>
      </c>
      <c r="Y493" s="73">
        <v>0</v>
      </c>
      <c r="Z493" s="73">
        <v>1794</v>
      </c>
      <c r="AA493" s="73">
        <v>1986</v>
      </c>
      <c r="AB493" s="73">
        <v>0</v>
      </c>
      <c r="AC493" s="73">
        <v>0</v>
      </c>
      <c r="AD493" s="73">
        <v>0</v>
      </c>
      <c r="AE493" s="73">
        <v>0</v>
      </c>
      <c r="AF493" s="74">
        <f>tblData[[#This Row],[Gross Sales]]+tblData[[#This Row],[Trade Discounts]]+tblData[[#This Row],[Returns]]</f>
        <v>991</v>
      </c>
      <c r="AG493" s="74">
        <f>tblData[[#This Row],[Material Cost]]+tblData[[#This Row],[Conversion Cost]]+tblData[[#This Row],[Inbound Freight]]</f>
        <v>-549</v>
      </c>
      <c r="AH493" s="74">
        <f>tblData[[#This Row],[Net Revenue]]+tblData[[#This Row],[COGS]]</f>
        <v>442</v>
      </c>
      <c r="AI493" s="74">
        <f>tblData[[#This Row],[Advertising]]+tblData[[#This Row],[Promotions]]</f>
        <v>-37</v>
      </c>
      <c r="AJ493" s="74">
        <f>tblData[[#This Row],[Outbound Logistics]]+tblData[[#This Row],[Direct Selling]]</f>
        <v>-87</v>
      </c>
      <c r="AK493" s="74">
        <f>tblData[[#This Row],[Gross Profit]]+tblData[[#This Row],[AP Spend]]+tblData[[#This Row],[Cost to Serve]]</f>
        <v>318</v>
      </c>
    </row>
    <row r="494" spans="2:37" x14ac:dyDescent="0.25">
      <c r="B494" s="71" t="s">
        <v>50</v>
      </c>
      <c r="C494" s="71">
        <v>2026</v>
      </c>
      <c r="D494" s="71">
        <v>1</v>
      </c>
      <c r="E494" s="71" t="s">
        <v>37</v>
      </c>
      <c r="F494" s="71" t="s">
        <v>43</v>
      </c>
      <c r="G494" s="72">
        <v>41.6</v>
      </c>
      <c r="H494" s="73">
        <v>748</v>
      </c>
      <c r="I494" s="73">
        <v>-142</v>
      </c>
      <c r="J494" s="73">
        <v>-11</v>
      </c>
      <c r="K494" s="73">
        <v>-205</v>
      </c>
      <c r="L494" s="73">
        <v>-51</v>
      </c>
      <c r="M494" s="73">
        <v>-28</v>
      </c>
      <c r="N494" s="73">
        <v>-68</v>
      </c>
      <c r="O494" s="73">
        <v>-37</v>
      </c>
      <c r="P494" s="73">
        <v>-30</v>
      </c>
      <c r="Q494" s="73">
        <v>-22</v>
      </c>
      <c r="R494" s="73">
        <v>0</v>
      </c>
      <c r="S494" s="73">
        <v>0</v>
      </c>
      <c r="T494" s="73">
        <v>0</v>
      </c>
      <c r="U494" s="73">
        <v>0</v>
      </c>
      <c r="V494" s="73">
        <v>0</v>
      </c>
      <c r="W494" s="73">
        <v>0</v>
      </c>
      <c r="X494" s="73">
        <v>0</v>
      </c>
      <c r="Y494" s="73">
        <v>0</v>
      </c>
      <c r="Z494" s="73">
        <v>1076</v>
      </c>
      <c r="AA494" s="73">
        <v>1123</v>
      </c>
      <c r="AB494" s="73">
        <v>0</v>
      </c>
      <c r="AC494" s="73">
        <v>0</v>
      </c>
      <c r="AD494" s="73">
        <v>0</v>
      </c>
      <c r="AE494" s="73">
        <v>0</v>
      </c>
      <c r="AF494" s="74">
        <f>tblData[[#This Row],[Gross Sales]]+tblData[[#This Row],[Trade Discounts]]+tblData[[#This Row],[Returns]]</f>
        <v>595</v>
      </c>
      <c r="AG494" s="74">
        <f>tblData[[#This Row],[Material Cost]]+tblData[[#This Row],[Conversion Cost]]+tblData[[#This Row],[Inbound Freight]]</f>
        <v>-284</v>
      </c>
      <c r="AH494" s="74">
        <f>tblData[[#This Row],[Net Revenue]]+tblData[[#This Row],[COGS]]</f>
        <v>311</v>
      </c>
      <c r="AI494" s="74">
        <f>tblData[[#This Row],[Advertising]]+tblData[[#This Row],[Promotions]]</f>
        <v>-105</v>
      </c>
      <c r="AJ494" s="74">
        <f>tblData[[#This Row],[Outbound Logistics]]+tblData[[#This Row],[Direct Selling]]</f>
        <v>-52</v>
      </c>
      <c r="AK494" s="74">
        <f>tblData[[#This Row],[Gross Profit]]+tblData[[#This Row],[AP Spend]]+tblData[[#This Row],[Cost to Serve]]</f>
        <v>154</v>
      </c>
    </row>
    <row r="495" spans="2:37" x14ac:dyDescent="0.25">
      <c r="B495" s="71" t="s">
        <v>50</v>
      </c>
      <c r="C495" s="71">
        <v>2026</v>
      </c>
      <c r="D495" s="71">
        <v>1</v>
      </c>
      <c r="E495" s="71" t="s">
        <v>44</v>
      </c>
      <c r="F495" s="71" t="s">
        <v>38</v>
      </c>
      <c r="G495" s="72">
        <v>199.6</v>
      </c>
      <c r="H495" s="73">
        <v>2794</v>
      </c>
      <c r="I495" s="73">
        <v>-447</v>
      </c>
      <c r="J495" s="73">
        <v>-34</v>
      </c>
      <c r="K495" s="73">
        <v>-604</v>
      </c>
      <c r="L495" s="73">
        <v>-151</v>
      </c>
      <c r="M495" s="73">
        <v>-84</v>
      </c>
      <c r="N495" s="73">
        <v>-163</v>
      </c>
      <c r="O495" s="73">
        <v>-88</v>
      </c>
      <c r="P495" s="73">
        <v>-112</v>
      </c>
      <c r="Q495" s="73">
        <v>-84</v>
      </c>
      <c r="R495" s="73">
        <v>0</v>
      </c>
      <c r="S495" s="73">
        <v>0</v>
      </c>
      <c r="T495" s="73">
        <v>0</v>
      </c>
      <c r="U495" s="73">
        <v>0</v>
      </c>
      <c r="V495" s="73">
        <v>0</v>
      </c>
      <c r="W495" s="73">
        <v>0</v>
      </c>
      <c r="X495" s="73">
        <v>0</v>
      </c>
      <c r="Y495" s="73">
        <v>0</v>
      </c>
      <c r="Z495" s="73">
        <v>3805</v>
      </c>
      <c r="AA495" s="73">
        <v>2620</v>
      </c>
      <c r="AB495" s="73">
        <v>0</v>
      </c>
      <c r="AC495" s="73">
        <v>0</v>
      </c>
      <c r="AD495" s="73">
        <v>0</v>
      </c>
      <c r="AE495" s="73">
        <v>0</v>
      </c>
      <c r="AF495" s="74">
        <f>tblData[[#This Row],[Gross Sales]]+tblData[[#This Row],[Trade Discounts]]+tblData[[#This Row],[Returns]]</f>
        <v>2313</v>
      </c>
      <c r="AG495" s="74">
        <f>tblData[[#This Row],[Material Cost]]+tblData[[#This Row],[Conversion Cost]]+tblData[[#This Row],[Inbound Freight]]</f>
        <v>-839</v>
      </c>
      <c r="AH495" s="74">
        <f>tblData[[#This Row],[Net Revenue]]+tblData[[#This Row],[COGS]]</f>
        <v>1474</v>
      </c>
      <c r="AI495" s="74">
        <f>tblData[[#This Row],[Advertising]]+tblData[[#This Row],[Promotions]]</f>
        <v>-251</v>
      </c>
      <c r="AJ495" s="74">
        <f>tblData[[#This Row],[Outbound Logistics]]+tblData[[#This Row],[Direct Selling]]</f>
        <v>-196</v>
      </c>
      <c r="AK495" s="74">
        <f>tblData[[#This Row],[Gross Profit]]+tblData[[#This Row],[AP Spend]]+tblData[[#This Row],[Cost to Serve]]</f>
        <v>1027</v>
      </c>
    </row>
    <row r="496" spans="2:37" x14ac:dyDescent="0.25">
      <c r="B496" s="71" t="s">
        <v>50</v>
      </c>
      <c r="C496" s="71">
        <v>2026</v>
      </c>
      <c r="D496" s="71">
        <v>1</v>
      </c>
      <c r="E496" s="71" t="s">
        <v>44</v>
      </c>
      <c r="F496" s="71" t="s">
        <v>39</v>
      </c>
      <c r="G496" s="72">
        <v>266.10000000000002</v>
      </c>
      <c r="H496" s="73">
        <v>2395</v>
      </c>
      <c r="I496" s="73">
        <v>-383</v>
      </c>
      <c r="J496" s="73">
        <v>-29</v>
      </c>
      <c r="K496" s="73">
        <v>-621</v>
      </c>
      <c r="L496" s="73">
        <v>-155</v>
      </c>
      <c r="M496" s="73">
        <v>-86</v>
      </c>
      <c r="N496" s="73">
        <v>-93</v>
      </c>
      <c r="O496" s="73">
        <v>-50</v>
      </c>
      <c r="P496" s="73">
        <v>-96</v>
      </c>
      <c r="Q496" s="73">
        <v>-72</v>
      </c>
      <c r="R496" s="73">
        <v>0</v>
      </c>
      <c r="S496" s="73">
        <v>0</v>
      </c>
      <c r="T496" s="73">
        <v>0</v>
      </c>
      <c r="U496" s="73">
        <v>0</v>
      </c>
      <c r="V496" s="73">
        <v>0</v>
      </c>
      <c r="W496" s="73">
        <v>0</v>
      </c>
      <c r="X496" s="73">
        <v>0</v>
      </c>
      <c r="Y496" s="73">
        <v>0</v>
      </c>
      <c r="Z496" s="73">
        <v>3262</v>
      </c>
      <c r="AA496" s="73">
        <v>2269</v>
      </c>
      <c r="AB496" s="73">
        <v>0</v>
      </c>
      <c r="AC496" s="73">
        <v>0</v>
      </c>
      <c r="AD496" s="73">
        <v>0</v>
      </c>
      <c r="AE496" s="73">
        <v>0</v>
      </c>
      <c r="AF496" s="74">
        <f>tblData[[#This Row],[Gross Sales]]+tblData[[#This Row],[Trade Discounts]]+tblData[[#This Row],[Returns]]</f>
        <v>1983</v>
      </c>
      <c r="AG496" s="74">
        <f>tblData[[#This Row],[Material Cost]]+tblData[[#This Row],[Conversion Cost]]+tblData[[#This Row],[Inbound Freight]]</f>
        <v>-862</v>
      </c>
      <c r="AH496" s="74">
        <f>tblData[[#This Row],[Net Revenue]]+tblData[[#This Row],[COGS]]</f>
        <v>1121</v>
      </c>
      <c r="AI496" s="74">
        <f>tblData[[#This Row],[Advertising]]+tblData[[#This Row],[Promotions]]</f>
        <v>-143</v>
      </c>
      <c r="AJ496" s="74">
        <f>tblData[[#This Row],[Outbound Logistics]]+tblData[[#This Row],[Direct Selling]]</f>
        <v>-168</v>
      </c>
      <c r="AK496" s="74">
        <f>tblData[[#This Row],[Gross Profit]]+tblData[[#This Row],[AP Spend]]+tblData[[#This Row],[Cost to Serve]]</f>
        <v>810</v>
      </c>
    </row>
    <row r="497" spans="2:37" x14ac:dyDescent="0.25">
      <c r="B497" s="71" t="s">
        <v>50</v>
      </c>
      <c r="C497" s="71">
        <v>2026</v>
      </c>
      <c r="D497" s="71">
        <v>1</v>
      </c>
      <c r="E497" s="71" t="s">
        <v>44</v>
      </c>
      <c r="F497" s="71" t="s">
        <v>40</v>
      </c>
      <c r="G497" s="72">
        <v>256.60000000000002</v>
      </c>
      <c r="H497" s="73">
        <v>1796</v>
      </c>
      <c r="I497" s="73">
        <v>-287</v>
      </c>
      <c r="J497" s="73">
        <v>-22</v>
      </c>
      <c r="K497" s="73">
        <v>-517</v>
      </c>
      <c r="L497" s="73">
        <v>-129</v>
      </c>
      <c r="M497" s="73">
        <v>-72</v>
      </c>
      <c r="N497" s="73">
        <v>-47</v>
      </c>
      <c r="O497" s="73">
        <v>-25</v>
      </c>
      <c r="P497" s="73">
        <v>-72</v>
      </c>
      <c r="Q497" s="73">
        <v>-54</v>
      </c>
      <c r="R497" s="73">
        <v>0</v>
      </c>
      <c r="S497" s="73">
        <v>0</v>
      </c>
      <c r="T497" s="73">
        <v>0</v>
      </c>
      <c r="U497" s="73">
        <v>0</v>
      </c>
      <c r="V497" s="73">
        <v>0</v>
      </c>
      <c r="W497" s="73">
        <v>0</v>
      </c>
      <c r="X497" s="73">
        <v>0</v>
      </c>
      <c r="Y497" s="73">
        <v>0</v>
      </c>
      <c r="Z497" s="73">
        <v>2446</v>
      </c>
      <c r="AA497" s="73">
        <v>1773</v>
      </c>
      <c r="AB497" s="73">
        <v>0</v>
      </c>
      <c r="AC497" s="73">
        <v>0</v>
      </c>
      <c r="AD497" s="73">
        <v>0</v>
      </c>
      <c r="AE497" s="73">
        <v>0</v>
      </c>
      <c r="AF497" s="74">
        <f>tblData[[#This Row],[Gross Sales]]+tblData[[#This Row],[Trade Discounts]]+tblData[[#This Row],[Returns]]</f>
        <v>1487</v>
      </c>
      <c r="AG497" s="74">
        <f>tblData[[#This Row],[Material Cost]]+tblData[[#This Row],[Conversion Cost]]+tblData[[#This Row],[Inbound Freight]]</f>
        <v>-718</v>
      </c>
      <c r="AH497" s="74">
        <f>tblData[[#This Row],[Net Revenue]]+tblData[[#This Row],[COGS]]</f>
        <v>769</v>
      </c>
      <c r="AI497" s="74">
        <f>tblData[[#This Row],[Advertising]]+tblData[[#This Row],[Promotions]]</f>
        <v>-72</v>
      </c>
      <c r="AJ497" s="74">
        <f>tblData[[#This Row],[Outbound Logistics]]+tblData[[#This Row],[Direct Selling]]</f>
        <v>-126</v>
      </c>
      <c r="AK497" s="74">
        <f>tblData[[#This Row],[Gross Profit]]+tblData[[#This Row],[AP Spend]]+tblData[[#This Row],[Cost to Serve]]</f>
        <v>571</v>
      </c>
    </row>
    <row r="498" spans="2:37" x14ac:dyDescent="0.25">
      <c r="B498" s="71" t="s">
        <v>50</v>
      </c>
      <c r="C498" s="71">
        <v>2026</v>
      </c>
      <c r="D498" s="71">
        <v>1</v>
      </c>
      <c r="E498" s="71" t="s">
        <v>44</v>
      </c>
      <c r="F498" s="71" t="s">
        <v>41</v>
      </c>
      <c r="G498" s="72">
        <v>127</v>
      </c>
      <c r="H498" s="73">
        <v>1397</v>
      </c>
      <c r="I498" s="73">
        <v>-224</v>
      </c>
      <c r="J498" s="73">
        <v>-17</v>
      </c>
      <c r="K498" s="73">
        <v>-332</v>
      </c>
      <c r="L498" s="73">
        <v>-83</v>
      </c>
      <c r="M498" s="73">
        <v>-46</v>
      </c>
      <c r="N498" s="73">
        <v>-100</v>
      </c>
      <c r="O498" s="73">
        <v>-54</v>
      </c>
      <c r="P498" s="73">
        <v>-56</v>
      </c>
      <c r="Q498" s="73">
        <v>-42</v>
      </c>
      <c r="R498" s="73">
        <v>0</v>
      </c>
      <c r="S498" s="73">
        <v>0</v>
      </c>
      <c r="T498" s="73">
        <v>0</v>
      </c>
      <c r="U498" s="73">
        <v>0</v>
      </c>
      <c r="V498" s="73">
        <v>0</v>
      </c>
      <c r="W498" s="73">
        <v>0</v>
      </c>
      <c r="X498" s="73">
        <v>0</v>
      </c>
      <c r="Y498" s="73">
        <v>0</v>
      </c>
      <c r="Z498" s="73">
        <v>1903</v>
      </c>
      <c r="AA498" s="73">
        <v>1365</v>
      </c>
      <c r="AB498" s="73">
        <v>0</v>
      </c>
      <c r="AC498" s="73">
        <v>0</v>
      </c>
      <c r="AD498" s="73">
        <v>0</v>
      </c>
      <c r="AE498" s="73">
        <v>0</v>
      </c>
      <c r="AF498" s="74">
        <f>tblData[[#This Row],[Gross Sales]]+tblData[[#This Row],[Trade Discounts]]+tblData[[#This Row],[Returns]]</f>
        <v>1156</v>
      </c>
      <c r="AG498" s="74">
        <f>tblData[[#This Row],[Material Cost]]+tblData[[#This Row],[Conversion Cost]]+tblData[[#This Row],[Inbound Freight]]</f>
        <v>-461</v>
      </c>
      <c r="AH498" s="74">
        <f>tblData[[#This Row],[Net Revenue]]+tblData[[#This Row],[COGS]]</f>
        <v>695</v>
      </c>
      <c r="AI498" s="74">
        <f>tblData[[#This Row],[Advertising]]+tblData[[#This Row],[Promotions]]</f>
        <v>-154</v>
      </c>
      <c r="AJ498" s="74">
        <f>tblData[[#This Row],[Outbound Logistics]]+tblData[[#This Row],[Direct Selling]]</f>
        <v>-98</v>
      </c>
      <c r="AK498" s="74">
        <f>tblData[[#This Row],[Gross Profit]]+tblData[[#This Row],[AP Spend]]+tblData[[#This Row],[Cost to Serve]]</f>
        <v>443</v>
      </c>
    </row>
    <row r="499" spans="2:37" x14ac:dyDescent="0.25">
      <c r="B499" s="71" t="s">
        <v>50</v>
      </c>
      <c r="C499" s="71">
        <v>2026</v>
      </c>
      <c r="D499" s="71">
        <v>1</v>
      </c>
      <c r="E499" s="71" t="s">
        <v>44</v>
      </c>
      <c r="F499" s="71" t="s">
        <v>42</v>
      </c>
      <c r="G499" s="72">
        <v>166.3</v>
      </c>
      <c r="H499" s="73">
        <v>998</v>
      </c>
      <c r="I499" s="73">
        <v>-160</v>
      </c>
      <c r="J499" s="73">
        <v>-12</v>
      </c>
      <c r="K499" s="73">
        <v>-316</v>
      </c>
      <c r="L499" s="73">
        <v>-79</v>
      </c>
      <c r="M499" s="73">
        <v>-44</v>
      </c>
      <c r="N499" s="73">
        <v>-19</v>
      </c>
      <c r="O499" s="73">
        <v>-10</v>
      </c>
      <c r="P499" s="73">
        <v>-40</v>
      </c>
      <c r="Q499" s="73">
        <v>-30</v>
      </c>
      <c r="R499" s="73">
        <v>0</v>
      </c>
      <c r="S499" s="73">
        <v>0</v>
      </c>
      <c r="T499" s="73">
        <v>0</v>
      </c>
      <c r="U499" s="73">
        <v>0</v>
      </c>
      <c r="V499" s="73">
        <v>0</v>
      </c>
      <c r="W499" s="73">
        <v>0</v>
      </c>
      <c r="X499" s="73">
        <v>0</v>
      </c>
      <c r="Y499" s="73">
        <v>0</v>
      </c>
      <c r="Z499" s="73">
        <v>1359</v>
      </c>
      <c r="AA499" s="73">
        <v>1589</v>
      </c>
      <c r="AB499" s="73">
        <v>0</v>
      </c>
      <c r="AC499" s="73">
        <v>0</v>
      </c>
      <c r="AD499" s="73">
        <v>0</v>
      </c>
      <c r="AE499" s="73">
        <v>0</v>
      </c>
      <c r="AF499" s="74">
        <f>tblData[[#This Row],[Gross Sales]]+tblData[[#This Row],[Trade Discounts]]+tblData[[#This Row],[Returns]]</f>
        <v>826</v>
      </c>
      <c r="AG499" s="74">
        <f>tblData[[#This Row],[Material Cost]]+tblData[[#This Row],[Conversion Cost]]+tblData[[#This Row],[Inbound Freight]]</f>
        <v>-439</v>
      </c>
      <c r="AH499" s="74">
        <f>tblData[[#This Row],[Net Revenue]]+tblData[[#This Row],[COGS]]</f>
        <v>387</v>
      </c>
      <c r="AI499" s="74">
        <f>tblData[[#This Row],[Advertising]]+tblData[[#This Row],[Promotions]]</f>
        <v>-29</v>
      </c>
      <c r="AJ499" s="74">
        <f>tblData[[#This Row],[Outbound Logistics]]+tblData[[#This Row],[Direct Selling]]</f>
        <v>-70</v>
      </c>
      <c r="AK499" s="74">
        <f>tblData[[#This Row],[Gross Profit]]+tblData[[#This Row],[AP Spend]]+tblData[[#This Row],[Cost to Serve]]</f>
        <v>288</v>
      </c>
    </row>
    <row r="500" spans="2:37" x14ac:dyDescent="0.25">
      <c r="B500" s="71" t="s">
        <v>50</v>
      </c>
      <c r="C500" s="71">
        <v>2026</v>
      </c>
      <c r="D500" s="71">
        <v>1</v>
      </c>
      <c r="E500" s="71" t="s">
        <v>44</v>
      </c>
      <c r="F500" s="71" t="s">
        <v>43</v>
      </c>
      <c r="G500" s="72">
        <v>33.299999999999997</v>
      </c>
      <c r="H500" s="73">
        <v>599</v>
      </c>
      <c r="I500" s="73">
        <v>-96</v>
      </c>
      <c r="J500" s="73">
        <v>-7</v>
      </c>
      <c r="K500" s="73">
        <v>-164</v>
      </c>
      <c r="L500" s="73">
        <v>-41</v>
      </c>
      <c r="M500" s="73">
        <v>-23</v>
      </c>
      <c r="N500" s="73">
        <v>-54</v>
      </c>
      <c r="O500" s="73">
        <v>-29</v>
      </c>
      <c r="P500" s="73">
        <v>-24</v>
      </c>
      <c r="Q500" s="73">
        <v>-18</v>
      </c>
      <c r="R500" s="73">
        <v>0</v>
      </c>
      <c r="S500" s="73">
        <v>0</v>
      </c>
      <c r="T500" s="73">
        <v>0</v>
      </c>
      <c r="U500" s="73">
        <v>0</v>
      </c>
      <c r="V500" s="73">
        <v>0</v>
      </c>
      <c r="W500" s="73">
        <v>0</v>
      </c>
      <c r="X500" s="73">
        <v>0</v>
      </c>
      <c r="Y500" s="73">
        <v>0</v>
      </c>
      <c r="Z500" s="73">
        <v>815</v>
      </c>
      <c r="AA500" s="73">
        <v>898</v>
      </c>
      <c r="AB500" s="73">
        <v>0</v>
      </c>
      <c r="AC500" s="73">
        <v>0</v>
      </c>
      <c r="AD500" s="73">
        <v>0</v>
      </c>
      <c r="AE500" s="73">
        <v>0</v>
      </c>
      <c r="AF500" s="74">
        <f>tblData[[#This Row],[Gross Sales]]+tblData[[#This Row],[Trade Discounts]]+tblData[[#This Row],[Returns]]</f>
        <v>496</v>
      </c>
      <c r="AG500" s="74">
        <f>tblData[[#This Row],[Material Cost]]+tblData[[#This Row],[Conversion Cost]]+tblData[[#This Row],[Inbound Freight]]</f>
        <v>-228</v>
      </c>
      <c r="AH500" s="74">
        <f>tblData[[#This Row],[Net Revenue]]+tblData[[#This Row],[COGS]]</f>
        <v>268</v>
      </c>
      <c r="AI500" s="74">
        <f>tblData[[#This Row],[Advertising]]+tblData[[#This Row],[Promotions]]</f>
        <v>-83</v>
      </c>
      <c r="AJ500" s="74">
        <f>tblData[[#This Row],[Outbound Logistics]]+tblData[[#This Row],[Direct Selling]]</f>
        <v>-42</v>
      </c>
      <c r="AK500" s="74">
        <f>tblData[[#This Row],[Gross Profit]]+tblData[[#This Row],[AP Spend]]+tblData[[#This Row],[Cost to Serve]]</f>
        <v>143</v>
      </c>
    </row>
    <row r="501" spans="2:37" x14ac:dyDescent="0.25">
      <c r="B501" s="71" t="s">
        <v>50</v>
      </c>
      <c r="C501" s="71">
        <v>2026</v>
      </c>
      <c r="D501" s="71">
        <v>1</v>
      </c>
      <c r="E501" s="71" t="s">
        <v>45</v>
      </c>
      <c r="F501" s="71" t="s">
        <v>38</v>
      </c>
      <c r="G501" s="72">
        <v>116.4</v>
      </c>
      <c r="H501" s="73">
        <v>1630</v>
      </c>
      <c r="I501" s="73">
        <v>-359</v>
      </c>
      <c r="J501" s="73">
        <v>-16</v>
      </c>
      <c r="K501" s="73">
        <v>-352</v>
      </c>
      <c r="L501" s="73">
        <v>-88</v>
      </c>
      <c r="M501" s="73">
        <v>-49</v>
      </c>
      <c r="N501" s="73">
        <v>-95</v>
      </c>
      <c r="O501" s="73">
        <v>-51</v>
      </c>
      <c r="P501" s="73">
        <v>-57</v>
      </c>
      <c r="Q501" s="73">
        <v>-33</v>
      </c>
      <c r="R501" s="73">
        <v>0</v>
      </c>
      <c r="S501" s="73">
        <v>0</v>
      </c>
      <c r="T501" s="73">
        <v>0</v>
      </c>
      <c r="U501" s="73">
        <v>0</v>
      </c>
      <c r="V501" s="73">
        <v>0</v>
      </c>
      <c r="W501" s="73">
        <v>0</v>
      </c>
      <c r="X501" s="73">
        <v>0</v>
      </c>
      <c r="Y501" s="73">
        <v>0</v>
      </c>
      <c r="Z501" s="73">
        <v>1858</v>
      </c>
      <c r="AA501" s="73">
        <v>1528</v>
      </c>
      <c r="AB501" s="73">
        <v>0</v>
      </c>
      <c r="AC501" s="73">
        <v>0</v>
      </c>
      <c r="AD501" s="73">
        <v>0</v>
      </c>
      <c r="AE501" s="73">
        <v>0</v>
      </c>
      <c r="AF501" s="74">
        <f>tblData[[#This Row],[Gross Sales]]+tblData[[#This Row],[Trade Discounts]]+tblData[[#This Row],[Returns]]</f>
        <v>1255</v>
      </c>
      <c r="AG501" s="74">
        <f>tblData[[#This Row],[Material Cost]]+tblData[[#This Row],[Conversion Cost]]+tblData[[#This Row],[Inbound Freight]]</f>
        <v>-489</v>
      </c>
      <c r="AH501" s="74">
        <f>tblData[[#This Row],[Net Revenue]]+tblData[[#This Row],[COGS]]</f>
        <v>766</v>
      </c>
      <c r="AI501" s="74">
        <f>tblData[[#This Row],[Advertising]]+tblData[[#This Row],[Promotions]]</f>
        <v>-146</v>
      </c>
      <c r="AJ501" s="74">
        <f>tblData[[#This Row],[Outbound Logistics]]+tblData[[#This Row],[Direct Selling]]</f>
        <v>-90</v>
      </c>
      <c r="AK501" s="74">
        <f>tblData[[#This Row],[Gross Profit]]+tblData[[#This Row],[AP Spend]]+tblData[[#This Row],[Cost to Serve]]</f>
        <v>530</v>
      </c>
    </row>
    <row r="502" spans="2:37" x14ac:dyDescent="0.25">
      <c r="B502" s="71" t="s">
        <v>50</v>
      </c>
      <c r="C502" s="71">
        <v>2026</v>
      </c>
      <c r="D502" s="71">
        <v>1</v>
      </c>
      <c r="E502" s="71" t="s">
        <v>45</v>
      </c>
      <c r="F502" s="71" t="s">
        <v>39</v>
      </c>
      <c r="G502" s="72">
        <v>155.19999999999999</v>
      </c>
      <c r="H502" s="73">
        <v>1397</v>
      </c>
      <c r="I502" s="73">
        <v>-307</v>
      </c>
      <c r="J502" s="73">
        <v>-14</v>
      </c>
      <c r="K502" s="73">
        <v>-362</v>
      </c>
      <c r="L502" s="73">
        <v>-91</v>
      </c>
      <c r="M502" s="73">
        <v>-50</v>
      </c>
      <c r="N502" s="73">
        <v>-54</v>
      </c>
      <c r="O502" s="73">
        <v>-29</v>
      </c>
      <c r="P502" s="73">
        <v>-49</v>
      </c>
      <c r="Q502" s="73">
        <v>-28</v>
      </c>
      <c r="R502" s="73">
        <v>0</v>
      </c>
      <c r="S502" s="73">
        <v>0</v>
      </c>
      <c r="T502" s="73">
        <v>0</v>
      </c>
      <c r="U502" s="73">
        <v>0</v>
      </c>
      <c r="V502" s="73">
        <v>0</v>
      </c>
      <c r="W502" s="73">
        <v>0</v>
      </c>
      <c r="X502" s="73">
        <v>0</v>
      </c>
      <c r="Y502" s="73">
        <v>0</v>
      </c>
      <c r="Z502" s="73">
        <v>1592</v>
      </c>
      <c r="AA502" s="73">
        <v>1324</v>
      </c>
      <c r="AB502" s="73">
        <v>0</v>
      </c>
      <c r="AC502" s="73">
        <v>0</v>
      </c>
      <c r="AD502" s="73">
        <v>0</v>
      </c>
      <c r="AE502" s="73">
        <v>0</v>
      </c>
      <c r="AF502" s="74">
        <f>tblData[[#This Row],[Gross Sales]]+tblData[[#This Row],[Trade Discounts]]+tblData[[#This Row],[Returns]]</f>
        <v>1076</v>
      </c>
      <c r="AG502" s="74">
        <f>tblData[[#This Row],[Material Cost]]+tblData[[#This Row],[Conversion Cost]]+tblData[[#This Row],[Inbound Freight]]</f>
        <v>-503</v>
      </c>
      <c r="AH502" s="74">
        <f>tblData[[#This Row],[Net Revenue]]+tblData[[#This Row],[COGS]]</f>
        <v>573</v>
      </c>
      <c r="AI502" s="74">
        <f>tblData[[#This Row],[Advertising]]+tblData[[#This Row],[Promotions]]</f>
        <v>-83</v>
      </c>
      <c r="AJ502" s="74">
        <f>tblData[[#This Row],[Outbound Logistics]]+tblData[[#This Row],[Direct Selling]]</f>
        <v>-77</v>
      </c>
      <c r="AK502" s="74">
        <f>tblData[[#This Row],[Gross Profit]]+tblData[[#This Row],[AP Spend]]+tblData[[#This Row],[Cost to Serve]]</f>
        <v>413</v>
      </c>
    </row>
    <row r="503" spans="2:37" x14ac:dyDescent="0.25">
      <c r="B503" s="71" t="s">
        <v>50</v>
      </c>
      <c r="C503" s="71">
        <v>2026</v>
      </c>
      <c r="D503" s="71">
        <v>1</v>
      </c>
      <c r="E503" s="71" t="s">
        <v>45</v>
      </c>
      <c r="F503" s="71" t="s">
        <v>40</v>
      </c>
      <c r="G503" s="72">
        <v>149.69999999999999</v>
      </c>
      <c r="H503" s="73">
        <v>1048</v>
      </c>
      <c r="I503" s="73">
        <v>-231</v>
      </c>
      <c r="J503" s="73">
        <v>-10</v>
      </c>
      <c r="K503" s="73">
        <v>-302</v>
      </c>
      <c r="L503" s="73">
        <v>-75</v>
      </c>
      <c r="M503" s="73">
        <v>-42</v>
      </c>
      <c r="N503" s="73">
        <v>-27</v>
      </c>
      <c r="O503" s="73">
        <v>-15</v>
      </c>
      <c r="P503" s="73">
        <v>-37</v>
      </c>
      <c r="Q503" s="73">
        <v>-21</v>
      </c>
      <c r="R503" s="73">
        <v>0</v>
      </c>
      <c r="S503" s="73">
        <v>0</v>
      </c>
      <c r="T503" s="73">
        <v>0</v>
      </c>
      <c r="U503" s="73">
        <v>0</v>
      </c>
      <c r="V503" s="73">
        <v>0</v>
      </c>
      <c r="W503" s="73">
        <v>0</v>
      </c>
      <c r="X503" s="73">
        <v>0</v>
      </c>
      <c r="Y503" s="73">
        <v>0</v>
      </c>
      <c r="Z503" s="73">
        <v>1194</v>
      </c>
      <c r="AA503" s="73">
        <v>1034</v>
      </c>
      <c r="AB503" s="73">
        <v>0</v>
      </c>
      <c r="AC503" s="73">
        <v>0</v>
      </c>
      <c r="AD503" s="73">
        <v>0</v>
      </c>
      <c r="AE503" s="73">
        <v>0</v>
      </c>
      <c r="AF503" s="74">
        <f>tblData[[#This Row],[Gross Sales]]+tblData[[#This Row],[Trade Discounts]]+tblData[[#This Row],[Returns]]</f>
        <v>807</v>
      </c>
      <c r="AG503" s="74">
        <f>tblData[[#This Row],[Material Cost]]+tblData[[#This Row],[Conversion Cost]]+tblData[[#This Row],[Inbound Freight]]</f>
        <v>-419</v>
      </c>
      <c r="AH503" s="74">
        <f>tblData[[#This Row],[Net Revenue]]+tblData[[#This Row],[COGS]]</f>
        <v>388</v>
      </c>
      <c r="AI503" s="74">
        <f>tblData[[#This Row],[Advertising]]+tblData[[#This Row],[Promotions]]</f>
        <v>-42</v>
      </c>
      <c r="AJ503" s="74">
        <f>tblData[[#This Row],[Outbound Logistics]]+tblData[[#This Row],[Direct Selling]]</f>
        <v>-58</v>
      </c>
      <c r="AK503" s="74">
        <f>tblData[[#This Row],[Gross Profit]]+tblData[[#This Row],[AP Spend]]+tblData[[#This Row],[Cost to Serve]]</f>
        <v>288</v>
      </c>
    </row>
    <row r="504" spans="2:37" x14ac:dyDescent="0.25">
      <c r="B504" s="71" t="s">
        <v>50</v>
      </c>
      <c r="C504" s="71">
        <v>2026</v>
      </c>
      <c r="D504" s="71">
        <v>1</v>
      </c>
      <c r="E504" s="71" t="s">
        <v>45</v>
      </c>
      <c r="F504" s="71" t="s">
        <v>41</v>
      </c>
      <c r="G504" s="72">
        <v>74.099999999999994</v>
      </c>
      <c r="H504" s="73">
        <v>815</v>
      </c>
      <c r="I504" s="73">
        <v>-179</v>
      </c>
      <c r="J504" s="73">
        <v>-8</v>
      </c>
      <c r="K504" s="73">
        <v>-194</v>
      </c>
      <c r="L504" s="73">
        <v>-48</v>
      </c>
      <c r="M504" s="73">
        <v>-27</v>
      </c>
      <c r="N504" s="73">
        <v>-58</v>
      </c>
      <c r="O504" s="73">
        <v>-31</v>
      </c>
      <c r="P504" s="73">
        <v>-29</v>
      </c>
      <c r="Q504" s="73">
        <v>-16</v>
      </c>
      <c r="R504" s="73">
        <v>0</v>
      </c>
      <c r="S504" s="73">
        <v>0</v>
      </c>
      <c r="T504" s="73">
        <v>0</v>
      </c>
      <c r="U504" s="73">
        <v>0</v>
      </c>
      <c r="V504" s="73">
        <v>0</v>
      </c>
      <c r="W504" s="73">
        <v>0</v>
      </c>
      <c r="X504" s="73">
        <v>0</v>
      </c>
      <c r="Y504" s="73">
        <v>0</v>
      </c>
      <c r="Z504" s="73">
        <v>929</v>
      </c>
      <c r="AA504" s="73">
        <v>796</v>
      </c>
      <c r="AB504" s="73">
        <v>0</v>
      </c>
      <c r="AC504" s="73">
        <v>0</v>
      </c>
      <c r="AD504" s="73">
        <v>0</v>
      </c>
      <c r="AE504" s="73">
        <v>0</v>
      </c>
      <c r="AF504" s="74">
        <f>tblData[[#This Row],[Gross Sales]]+tblData[[#This Row],[Trade Discounts]]+tblData[[#This Row],[Returns]]</f>
        <v>628</v>
      </c>
      <c r="AG504" s="74">
        <f>tblData[[#This Row],[Material Cost]]+tblData[[#This Row],[Conversion Cost]]+tblData[[#This Row],[Inbound Freight]]</f>
        <v>-269</v>
      </c>
      <c r="AH504" s="74">
        <f>tblData[[#This Row],[Net Revenue]]+tblData[[#This Row],[COGS]]</f>
        <v>359</v>
      </c>
      <c r="AI504" s="74">
        <f>tblData[[#This Row],[Advertising]]+tblData[[#This Row],[Promotions]]</f>
        <v>-89</v>
      </c>
      <c r="AJ504" s="74">
        <f>tblData[[#This Row],[Outbound Logistics]]+tblData[[#This Row],[Direct Selling]]</f>
        <v>-45</v>
      </c>
      <c r="AK504" s="74">
        <f>tblData[[#This Row],[Gross Profit]]+tblData[[#This Row],[AP Spend]]+tblData[[#This Row],[Cost to Serve]]</f>
        <v>225</v>
      </c>
    </row>
    <row r="505" spans="2:37" x14ac:dyDescent="0.25">
      <c r="B505" s="71" t="s">
        <v>50</v>
      </c>
      <c r="C505" s="71">
        <v>2026</v>
      </c>
      <c r="D505" s="71">
        <v>1</v>
      </c>
      <c r="E505" s="71" t="s">
        <v>45</v>
      </c>
      <c r="F505" s="71" t="s">
        <v>42</v>
      </c>
      <c r="G505" s="72">
        <v>97</v>
      </c>
      <c r="H505" s="73">
        <v>582</v>
      </c>
      <c r="I505" s="73">
        <v>-128</v>
      </c>
      <c r="J505" s="73">
        <v>-6</v>
      </c>
      <c r="K505" s="73">
        <v>-184</v>
      </c>
      <c r="L505" s="73">
        <v>-46</v>
      </c>
      <c r="M505" s="73">
        <v>-26</v>
      </c>
      <c r="N505" s="73">
        <v>-11</v>
      </c>
      <c r="O505" s="73">
        <v>-6</v>
      </c>
      <c r="P505" s="73">
        <v>-20</v>
      </c>
      <c r="Q505" s="73">
        <v>-12</v>
      </c>
      <c r="R505" s="73">
        <v>0</v>
      </c>
      <c r="S505" s="73">
        <v>0</v>
      </c>
      <c r="T505" s="73">
        <v>0</v>
      </c>
      <c r="U505" s="73">
        <v>0</v>
      </c>
      <c r="V505" s="73">
        <v>0</v>
      </c>
      <c r="W505" s="73">
        <v>0</v>
      </c>
      <c r="X505" s="73">
        <v>0</v>
      </c>
      <c r="Y505" s="73">
        <v>0</v>
      </c>
      <c r="Z505" s="73">
        <v>664</v>
      </c>
      <c r="AA505" s="73">
        <v>927</v>
      </c>
      <c r="AB505" s="73">
        <v>0</v>
      </c>
      <c r="AC505" s="73">
        <v>0</v>
      </c>
      <c r="AD505" s="73">
        <v>0</v>
      </c>
      <c r="AE505" s="73">
        <v>0</v>
      </c>
      <c r="AF505" s="74">
        <f>tblData[[#This Row],[Gross Sales]]+tblData[[#This Row],[Trade Discounts]]+tblData[[#This Row],[Returns]]</f>
        <v>448</v>
      </c>
      <c r="AG505" s="74">
        <f>tblData[[#This Row],[Material Cost]]+tblData[[#This Row],[Conversion Cost]]+tblData[[#This Row],[Inbound Freight]]</f>
        <v>-256</v>
      </c>
      <c r="AH505" s="74">
        <f>tblData[[#This Row],[Net Revenue]]+tblData[[#This Row],[COGS]]</f>
        <v>192</v>
      </c>
      <c r="AI505" s="74">
        <f>tblData[[#This Row],[Advertising]]+tblData[[#This Row],[Promotions]]</f>
        <v>-17</v>
      </c>
      <c r="AJ505" s="74">
        <f>tblData[[#This Row],[Outbound Logistics]]+tblData[[#This Row],[Direct Selling]]</f>
        <v>-32</v>
      </c>
      <c r="AK505" s="74">
        <f>tblData[[#This Row],[Gross Profit]]+tblData[[#This Row],[AP Spend]]+tblData[[#This Row],[Cost to Serve]]</f>
        <v>143</v>
      </c>
    </row>
    <row r="506" spans="2:37" x14ac:dyDescent="0.25">
      <c r="B506" s="71" t="s">
        <v>50</v>
      </c>
      <c r="C506" s="71">
        <v>2026</v>
      </c>
      <c r="D506" s="71">
        <v>1</v>
      </c>
      <c r="E506" s="71" t="s">
        <v>45</v>
      </c>
      <c r="F506" s="71" t="s">
        <v>43</v>
      </c>
      <c r="G506" s="72">
        <v>19.399999999999999</v>
      </c>
      <c r="H506" s="73">
        <v>349</v>
      </c>
      <c r="I506" s="73">
        <v>-77</v>
      </c>
      <c r="J506" s="73">
        <v>-3</v>
      </c>
      <c r="K506" s="73">
        <v>-96</v>
      </c>
      <c r="L506" s="73">
        <v>-24</v>
      </c>
      <c r="M506" s="73">
        <v>-13</v>
      </c>
      <c r="N506" s="73">
        <v>-32</v>
      </c>
      <c r="O506" s="73">
        <v>-17</v>
      </c>
      <c r="P506" s="73">
        <v>-12</v>
      </c>
      <c r="Q506" s="73">
        <v>-7</v>
      </c>
      <c r="R506" s="73">
        <v>0</v>
      </c>
      <c r="S506" s="73">
        <v>0</v>
      </c>
      <c r="T506" s="73">
        <v>0</v>
      </c>
      <c r="U506" s="73">
        <v>0</v>
      </c>
      <c r="V506" s="73">
        <v>0</v>
      </c>
      <c r="W506" s="73">
        <v>0</v>
      </c>
      <c r="X506" s="73">
        <v>0</v>
      </c>
      <c r="Y506" s="73">
        <v>0</v>
      </c>
      <c r="Z506" s="73">
        <v>398</v>
      </c>
      <c r="AA506" s="73">
        <v>524</v>
      </c>
      <c r="AB506" s="73">
        <v>0</v>
      </c>
      <c r="AC506" s="73">
        <v>0</v>
      </c>
      <c r="AD506" s="73">
        <v>0</v>
      </c>
      <c r="AE506" s="73">
        <v>0</v>
      </c>
      <c r="AF506" s="74">
        <f>tblData[[#This Row],[Gross Sales]]+tblData[[#This Row],[Trade Discounts]]+tblData[[#This Row],[Returns]]</f>
        <v>269</v>
      </c>
      <c r="AG506" s="74">
        <f>tblData[[#This Row],[Material Cost]]+tblData[[#This Row],[Conversion Cost]]+tblData[[#This Row],[Inbound Freight]]</f>
        <v>-133</v>
      </c>
      <c r="AH506" s="74">
        <f>tblData[[#This Row],[Net Revenue]]+tblData[[#This Row],[COGS]]</f>
        <v>136</v>
      </c>
      <c r="AI506" s="74">
        <f>tblData[[#This Row],[Advertising]]+tblData[[#This Row],[Promotions]]</f>
        <v>-49</v>
      </c>
      <c r="AJ506" s="74">
        <f>tblData[[#This Row],[Outbound Logistics]]+tblData[[#This Row],[Direct Selling]]</f>
        <v>-19</v>
      </c>
      <c r="AK506" s="74">
        <f>tblData[[#This Row],[Gross Profit]]+tblData[[#This Row],[AP Spend]]+tblData[[#This Row],[Cost to Serve]]</f>
        <v>68</v>
      </c>
    </row>
    <row r="507" spans="2:37" x14ac:dyDescent="0.25">
      <c r="B507" s="71" t="s">
        <v>50</v>
      </c>
      <c r="C507" s="71">
        <v>2026</v>
      </c>
      <c r="D507" s="71">
        <v>1</v>
      </c>
      <c r="E507" s="71" t="s">
        <v>46</v>
      </c>
      <c r="F507" s="71" t="s">
        <v>38</v>
      </c>
      <c r="G507" s="72">
        <v>133.1</v>
      </c>
      <c r="H507" s="73">
        <v>1863</v>
      </c>
      <c r="I507" s="73">
        <v>-205</v>
      </c>
      <c r="J507" s="73">
        <v>-75</v>
      </c>
      <c r="K507" s="73">
        <v>-402</v>
      </c>
      <c r="L507" s="73">
        <v>-101</v>
      </c>
      <c r="M507" s="73">
        <v>-56</v>
      </c>
      <c r="N507" s="73">
        <v>-109</v>
      </c>
      <c r="O507" s="73">
        <v>-59</v>
      </c>
      <c r="P507" s="73">
        <v>-140</v>
      </c>
      <c r="Q507" s="73">
        <v>-37</v>
      </c>
      <c r="R507" s="73">
        <v>0</v>
      </c>
      <c r="S507" s="73">
        <v>0</v>
      </c>
      <c r="T507" s="73">
        <v>0</v>
      </c>
      <c r="U507" s="73">
        <v>0</v>
      </c>
      <c r="V507" s="73">
        <v>0</v>
      </c>
      <c r="W507" s="73">
        <v>0</v>
      </c>
      <c r="X507" s="73">
        <v>0</v>
      </c>
      <c r="Y507" s="73">
        <v>0</v>
      </c>
      <c r="Z507" s="73">
        <v>1302</v>
      </c>
      <c r="AA507" s="73">
        <v>1746</v>
      </c>
      <c r="AB507" s="73">
        <v>0</v>
      </c>
      <c r="AC507" s="73">
        <v>0</v>
      </c>
      <c r="AD507" s="73">
        <v>0</v>
      </c>
      <c r="AE507" s="73">
        <v>0</v>
      </c>
      <c r="AF507" s="74">
        <f>tblData[[#This Row],[Gross Sales]]+tblData[[#This Row],[Trade Discounts]]+tblData[[#This Row],[Returns]]</f>
        <v>1583</v>
      </c>
      <c r="AG507" s="74">
        <f>tblData[[#This Row],[Material Cost]]+tblData[[#This Row],[Conversion Cost]]+tblData[[#This Row],[Inbound Freight]]</f>
        <v>-559</v>
      </c>
      <c r="AH507" s="74">
        <f>tblData[[#This Row],[Net Revenue]]+tblData[[#This Row],[COGS]]</f>
        <v>1024</v>
      </c>
      <c r="AI507" s="74">
        <f>tblData[[#This Row],[Advertising]]+tblData[[#This Row],[Promotions]]</f>
        <v>-168</v>
      </c>
      <c r="AJ507" s="74">
        <f>tblData[[#This Row],[Outbound Logistics]]+tblData[[#This Row],[Direct Selling]]</f>
        <v>-177</v>
      </c>
      <c r="AK507" s="74">
        <f>tblData[[#This Row],[Gross Profit]]+tblData[[#This Row],[AP Spend]]+tblData[[#This Row],[Cost to Serve]]</f>
        <v>679</v>
      </c>
    </row>
    <row r="508" spans="2:37" x14ac:dyDescent="0.25">
      <c r="B508" s="71" t="s">
        <v>50</v>
      </c>
      <c r="C508" s="71">
        <v>2026</v>
      </c>
      <c r="D508" s="71">
        <v>1</v>
      </c>
      <c r="E508" s="71" t="s">
        <v>46</v>
      </c>
      <c r="F508" s="71" t="s">
        <v>39</v>
      </c>
      <c r="G508" s="72">
        <v>177.4</v>
      </c>
      <c r="H508" s="73">
        <v>1597</v>
      </c>
      <c r="I508" s="73">
        <v>-176</v>
      </c>
      <c r="J508" s="73">
        <v>-64</v>
      </c>
      <c r="K508" s="73">
        <v>-414</v>
      </c>
      <c r="L508" s="73">
        <v>-103</v>
      </c>
      <c r="M508" s="73">
        <v>-57</v>
      </c>
      <c r="N508" s="73">
        <v>-62</v>
      </c>
      <c r="O508" s="73">
        <v>-34</v>
      </c>
      <c r="P508" s="73">
        <v>-120</v>
      </c>
      <c r="Q508" s="73">
        <v>-32</v>
      </c>
      <c r="R508" s="73">
        <v>0</v>
      </c>
      <c r="S508" s="73">
        <v>0</v>
      </c>
      <c r="T508" s="73">
        <v>0</v>
      </c>
      <c r="U508" s="73">
        <v>0</v>
      </c>
      <c r="V508" s="73">
        <v>0</v>
      </c>
      <c r="W508" s="73">
        <v>0</v>
      </c>
      <c r="X508" s="73">
        <v>0</v>
      </c>
      <c r="Y508" s="73">
        <v>0</v>
      </c>
      <c r="Z508" s="73">
        <v>1116</v>
      </c>
      <c r="AA508" s="73">
        <v>1513</v>
      </c>
      <c r="AB508" s="73">
        <v>0</v>
      </c>
      <c r="AC508" s="73">
        <v>0</v>
      </c>
      <c r="AD508" s="73">
        <v>0</v>
      </c>
      <c r="AE508" s="73">
        <v>0</v>
      </c>
      <c r="AF508" s="74">
        <f>tblData[[#This Row],[Gross Sales]]+tblData[[#This Row],[Trade Discounts]]+tblData[[#This Row],[Returns]]</f>
        <v>1357</v>
      </c>
      <c r="AG508" s="74">
        <f>tblData[[#This Row],[Material Cost]]+tblData[[#This Row],[Conversion Cost]]+tblData[[#This Row],[Inbound Freight]]</f>
        <v>-574</v>
      </c>
      <c r="AH508" s="74">
        <f>tblData[[#This Row],[Net Revenue]]+tblData[[#This Row],[COGS]]</f>
        <v>783</v>
      </c>
      <c r="AI508" s="74">
        <f>tblData[[#This Row],[Advertising]]+tblData[[#This Row],[Promotions]]</f>
        <v>-96</v>
      </c>
      <c r="AJ508" s="74">
        <f>tblData[[#This Row],[Outbound Logistics]]+tblData[[#This Row],[Direct Selling]]</f>
        <v>-152</v>
      </c>
      <c r="AK508" s="74">
        <f>tblData[[#This Row],[Gross Profit]]+tblData[[#This Row],[AP Spend]]+tblData[[#This Row],[Cost to Serve]]</f>
        <v>535</v>
      </c>
    </row>
    <row r="509" spans="2:37" x14ac:dyDescent="0.25">
      <c r="B509" s="71" t="s">
        <v>50</v>
      </c>
      <c r="C509" s="71">
        <v>2026</v>
      </c>
      <c r="D509" s="71">
        <v>1</v>
      </c>
      <c r="E509" s="71" t="s">
        <v>46</v>
      </c>
      <c r="F509" s="71" t="s">
        <v>40</v>
      </c>
      <c r="G509" s="72">
        <v>171.1</v>
      </c>
      <c r="H509" s="73">
        <v>1198</v>
      </c>
      <c r="I509" s="73">
        <v>-132</v>
      </c>
      <c r="J509" s="73">
        <v>-48</v>
      </c>
      <c r="K509" s="73">
        <v>-345</v>
      </c>
      <c r="L509" s="73">
        <v>-86</v>
      </c>
      <c r="M509" s="73">
        <v>-48</v>
      </c>
      <c r="N509" s="73">
        <v>-31</v>
      </c>
      <c r="O509" s="73">
        <v>-17</v>
      </c>
      <c r="P509" s="73">
        <v>-90</v>
      </c>
      <c r="Q509" s="73">
        <v>-24</v>
      </c>
      <c r="R509" s="73">
        <v>0</v>
      </c>
      <c r="S509" s="73">
        <v>0</v>
      </c>
      <c r="T509" s="73">
        <v>0</v>
      </c>
      <c r="U509" s="73">
        <v>0</v>
      </c>
      <c r="V509" s="73">
        <v>0</v>
      </c>
      <c r="W509" s="73">
        <v>0</v>
      </c>
      <c r="X509" s="73">
        <v>0</v>
      </c>
      <c r="Y509" s="73">
        <v>0</v>
      </c>
      <c r="Z509" s="73">
        <v>837</v>
      </c>
      <c r="AA509" s="73">
        <v>1182</v>
      </c>
      <c r="AB509" s="73">
        <v>0</v>
      </c>
      <c r="AC509" s="73">
        <v>0</v>
      </c>
      <c r="AD509" s="73">
        <v>0</v>
      </c>
      <c r="AE509" s="73">
        <v>0</v>
      </c>
      <c r="AF509" s="74">
        <f>tblData[[#This Row],[Gross Sales]]+tblData[[#This Row],[Trade Discounts]]+tblData[[#This Row],[Returns]]</f>
        <v>1018</v>
      </c>
      <c r="AG509" s="74">
        <f>tblData[[#This Row],[Material Cost]]+tblData[[#This Row],[Conversion Cost]]+tblData[[#This Row],[Inbound Freight]]</f>
        <v>-479</v>
      </c>
      <c r="AH509" s="74">
        <f>tblData[[#This Row],[Net Revenue]]+tblData[[#This Row],[COGS]]</f>
        <v>539</v>
      </c>
      <c r="AI509" s="74">
        <f>tblData[[#This Row],[Advertising]]+tblData[[#This Row],[Promotions]]</f>
        <v>-48</v>
      </c>
      <c r="AJ509" s="74">
        <f>tblData[[#This Row],[Outbound Logistics]]+tblData[[#This Row],[Direct Selling]]</f>
        <v>-114</v>
      </c>
      <c r="AK509" s="74">
        <f>tblData[[#This Row],[Gross Profit]]+tblData[[#This Row],[AP Spend]]+tblData[[#This Row],[Cost to Serve]]</f>
        <v>377</v>
      </c>
    </row>
    <row r="510" spans="2:37" x14ac:dyDescent="0.25">
      <c r="B510" s="71" t="s">
        <v>50</v>
      </c>
      <c r="C510" s="71">
        <v>2026</v>
      </c>
      <c r="D510" s="71">
        <v>1</v>
      </c>
      <c r="E510" s="71" t="s">
        <v>46</v>
      </c>
      <c r="F510" s="71" t="s">
        <v>41</v>
      </c>
      <c r="G510" s="72">
        <v>84.7</v>
      </c>
      <c r="H510" s="73">
        <v>931</v>
      </c>
      <c r="I510" s="73">
        <v>-102</v>
      </c>
      <c r="J510" s="73">
        <v>-37</v>
      </c>
      <c r="K510" s="73">
        <v>-221</v>
      </c>
      <c r="L510" s="73">
        <v>-55</v>
      </c>
      <c r="M510" s="73">
        <v>-31</v>
      </c>
      <c r="N510" s="73">
        <v>-67</v>
      </c>
      <c r="O510" s="73">
        <v>-36</v>
      </c>
      <c r="P510" s="73">
        <v>-70</v>
      </c>
      <c r="Q510" s="73">
        <v>-19</v>
      </c>
      <c r="R510" s="73">
        <v>0</v>
      </c>
      <c r="S510" s="73">
        <v>0</v>
      </c>
      <c r="T510" s="73">
        <v>0</v>
      </c>
      <c r="U510" s="73">
        <v>0</v>
      </c>
      <c r="V510" s="73">
        <v>0</v>
      </c>
      <c r="W510" s="73">
        <v>0</v>
      </c>
      <c r="X510" s="73">
        <v>0</v>
      </c>
      <c r="Y510" s="73">
        <v>0</v>
      </c>
      <c r="Z510" s="73">
        <v>651</v>
      </c>
      <c r="AA510" s="73">
        <v>910</v>
      </c>
      <c r="AB510" s="73">
        <v>0</v>
      </c>
      <c r="AC510" s="73">
        <v>0</v>
      </c>
      <c r="AD510" s="73">
        <v>0</v>
      </c>
      <c r="AE510" s="73">
        <v>0</v>
      </c>
      <c r="AF510" s="74">
        <f>tblData[[#This Row],[Gross Sales]]+tblData[[#This Row],[Trade Discounts]]+tblData[[#This Row],[Returns]]</f>
        <v>792</v>
      </c>
      <c r="AG510" s="74">
        <f>tblData[[#This Row],[Material Cost]]+tblData[[#This Row],[Conversion Cost]]+tblData[[#This Row],[Inbound Freight]]</f>
        <v>-307</v>
      </c>
      <c r="AH510" s="74">
        <f>tblData[[#This Row],[Net Revenue]]+tblData[[#This Row],[COGS]]</f>
        <v>485</v>
      </c>
      <c r="AI510" s="74">
        <f>tblData[[#This Row],[Advertising]]+tblData[[#This Row],[Promotions]]</f>
        <v>-103</v>
      </c>
      <c r="AJ510" s="74">
        <f>tblData[[#This Row],[Outbound Logistics]]+tblData[[#This Row],[Direct Selling]]</f>
        <v>-89</v>
      </c>
      <c r="AK510" s="74">
        <f>tblData[[#This Row],[Gross Profit]]+tblData[[#This Row],[AP Spend]]+tblData[[#This Row],[Cost to Serve]]</f>
        <v>293</v>
      </c>
    </row>
    <row r="511" spans="2:37" x14ac:dyDescent="0.25">
      <c r="B511" s="71" t="s">
        <v>50</v>
      </c>
      <c r="C511" s="71">
        <v>2026</v>
      </c>
      <c r="D511" s="71">
        <v>1</v>
      </c>
      <c r="E511" s="71" t="s">
        <v>46</v>
      </c>
      <c r="F511" s="71" t="s">
        <v>42</v>
      </c>
      <c r="G511" s="72">
        <v>110.9</v>
      </c>
      <c r="H511" s="73">
        <v>665</v>
      </c>
      <c r="I511" s="73">
        <v>-73</v>
      </c>
      <c r="J511" s="73">
        <v>-27</v>
      </c>
      <c r="K511" s="73">
        <v>-211</v>
      </c>
      <c r="L511" s="73">
        <v>-53</v>
      </c>
      <c r="M511" s="73">
        <v>-29</v>
      </c>
      <c r="N511" s="73">
        <v>-13</v>
      </c>
      <c r="O511" s="73">
        <v>-7</v>
      </c>
      <c r="P511" s="73">
        <v>-50</v>
      </c>
      <c r="Q511" s="73">
        <v>-13</v>
      </c>
      <c r="R511" s="73">
        <v>0</v>
      </c>
      <c r="S511" s="73">
        <v>0</v>
      </c>
      <c r="T511" s="73">
        <v>0</v>
      </c>
      <c r="U511" s="73">
        <v>0</v>
      </c>
      <c r="V511" s="73">
        <v>0</v>
      </c>
      <c r="W511" s="73">
        <v>0</v>
      </c>
      <c r="X511" s="73">
        <v>0</v>
      </c>
      <c r="Y511" s="73">
        <v>0</v>
      </c>
      <c r="Z511" s="73">
        <v>465</v>
      </c>
      <c r="AA511" s="73">
        <v>1059</v>
      </c>
      <c r="AB511" s="73">
        <v>0</v>
      </c>
      <c r="AC511" s="73">
        <v>0</v>
      </c>
      <c r="AD511" s="73">
        <v>0</v>
      </c>
      <c r="AE511" s="73">
        <v>0</v>
      </c>
      <c r="AF511" s="74">
        <f>tblData[[#This Row],[Gross Sales]]+tblData[[#This Row],[Trade Discounts]]+tblData[[#This Row],[Returns]]</f>
        <v>565</v>
      </c>
      <c r="AG511" s="74">
        <f>tblData[[#This Row],[Material Cost]]+tblData[[#This Row],[Conversion Cost]]+tblData[[#This Row],[Inbound Freight]]</f>
        <v>-293</v>
      </c>
      <c r="AH511" s="74">
        <f>tblData[[#This Row],[Net Revenue]]+tblData[[#This Row],[COGS]]</f>
        <v>272</v>
      </c>
      <c r="AI511" s="74">
        <f>tblData[[#This Row],[Advertising]]+tblData[[#This Row],[Promotions]]</f>
        <v>-20</v>
      </c>
      <c r="AJ511" s="74">
        <f>tblData[[#This Row],[Outbound Logistics]]+tblData[[#This Row],[Direct Selling]]</f>
        <v>-63</v>
      </c>
      <c r="AK511" s="74">
        <f>tblData[[#This Row],[Gross Profit]]+tblData[[#This Row],[AP Spend]]+tblData[[#This Row],[Cost to Serve]]</f>
        <v>189</v>
      </c>
    </row>
    <row r="512" spans="2:37" x14ac:dyDescent="0.25">
      <c r="B512" s="71" t="s">
        <v>50</v>
      </c>
      <c r="C512" s="71">
        <v>2026</v>
      </c>
      <c r="D512" s="71">
        <v>1</v>
      </c>
      <c r="E512" s="71" t="s">
        <v>46</v>
      </c>
      <c r="F512" s="71" t="s">
        <v>43</v>
      </c>
      <c r="G512" s="72">
        <v>22.2</v>
      </c>
      <c r="H512" s="73">
        <v>399</v>
      </c>
      <c r="I512" s="73">
        <v>-44</v>
      </c>
      <c r="J512" s="73">
        <v>-16</v>
      </c>
      <c r="K512" s="73">
        <v>-109</v>
      </c>
      <c r="L512" s="73">
        <v>-27</v>
      </c>
      <c r="M512" s="73">
        <v>-15</v>
      </c>
      <c r="N512" s="73">
        <v>-36</v>
      </c>
      <c r="O512" s="73">
        <v>-20</v>
      </c>
      <c r="P512" s="73">
        <v>-30</v>
      </c>
      <c r="Q512" s="73">
        <v>-8</v>
      </c>
      <c r="R512" s="73">
        <v>0</v>
      </c>
      <c r="S512" s="73">
        <v>0</v>
      </c>
      <c r="T512" s="73">
        <v>0</v>
      </c>
      <c r="U512" s="73">
        <v>0</v>
      </c>
      <c r="V512" s="73">
        <v>0</v>
      </c>
      <c r="W512" s="73">
        <v>0</v>
      </c>
      <c r="X512" s="73">
        <v>0</v>
      </c>
      <c r="Y512" s="73">
        <v>0</v>
      </c>
      <c r="Z512" s="73">
        <v>279</v>
      </c>
      <c r="AA512" s="73">
        <v>599</v>
      </c>
      <c r="AB512" s="73">
        <v>0</v>
      </c>
      <c r="AC512" s="73">
        <v>0</v>
      </c>
      <c r="AD512" s="73">
        <v>0</v>
      </c>
      <c r="AE512" s="73">
        <v>0</v>
      </c>
      <c r="AF512" s="74">
        <f>tblData[[#This Row],[Gross Sales]]+tblData[[#This Row],[Trade Discounts]]+tblData[[#This Row],[Returns]]</f>
        <v>339</v>
      </c>
      <c r="AG512" s="74">
        <f>tblData[[#This Row],[Material Cost]]+tblData[[#This Row],[Conversion Cost]]+tblData[[#This Row],[Inbound Freight]]</f>
        <v>-151</v>
      </c>
      <c r="AH512" s="74">
        <f>tblData[[#This Row],[Net Revenue]]+tblData[[#This Row],[COGS]]</f>
        <v>188</v>
      </c>
      <c r="AI512" s="74">
        <f>tblData[[#This Row],[Advertising]]+tblData[[#This Row],[Promotions]]</f>
        <v>-56</v>
      </c>
      <c r="AJ512" s="74">
        <f>tblData[[#This Row],[Outbound Logistics]]+tblData[[#This Row],[Direct Selling]]</f>
        <v>-38</v>
      </c>
      <c r="AK512" s="74">
        <f>tblData[[#This Row],[Gross Profit]]+tblData[[#This Row],[AP Spend]]+tblData[[#This Row],[Cost to Serve]]</f>
        <v>94</v>
      </c>
    </row>
    <row r="513" spans="2:37" x14ac:dyDescent="0.25">
      <c r="B513" s="71" t="s">
        <v>50</v>
      </c>
      <c r="C513" s="71">
        <v>2026</v>
      </c>
      <c r="D513" s="71">
        <v>1</v>
      </c>
      <c r="E513" s="71" t="s">
        <v>47</v>
      </c>
      <c r="F513" s="71" t="s">
        <v>38</v>
      </c>
      <c r="G513" s="72">
        <v>49.9</v>
      </c>
      <c r="H513" s="73">
        <v>699</v>
      </c>
      <c r="I513" s="73">
        <v>-21</v>
      </c>
      <c r="J513" s="73">
        <v>-35</v>
      </c>
      <c r="K513" s="73">
        <v>-151</v>
      </c>
      <c r="L513" s="73">
        <v>-38</v>
      </c>
      <c r="M513" s="73">
        <v>-21</v>
      </c>
      <c r="N513" s="73">
        <v>-41</v>
      </c>
      <c r="O513" s="73">
        <v>-22</v>
      </c>
      <c r="P513" s="73">
        <v>-84</v>
      </c>
      <c r="Q513" s="73">
        <v>-28</v>
      </c>
      <c r="R513" s="73">
        <v>0</v>
      </c>
      <c r="S513" s="73">
        <v>0</v>
      </c>
      <c r="T513" s="73">
        <v>0</v>
      </c>
      <c r="U513" s="73">
        <v>0</v>
      </c>
      <c r="V513" s="73">
        <v>0</v>
      </c>
      <c r="W513" s="73">
        <v>0</v>
      </c>
      <c r="X513" s="73">
        <v>0</v>
      </c>
      <c r="Y513" s="73">
        <v>0</v>
      </c>
      <c r="Z513" s="73">
        <v>63</v>
      </c>
      <c r="AA513" s="73">
        <v>655</v>
      </c>
      <c r="AB513" s="73">
        <v>0</v>
      </c>
      <c r="AC513" s="73">
        <v>0</v>
      </c>
      <c r="AD513" s="73">
        <v>0</v>
      </c>
      <c r="AE513" s="73">
        <v>0</v>
      </c>
      <c r="AF513" s="74">
        <f>tblData[[#This Row],[Gross Sales]]+tblData[[#This Row],[Trade Discounts]]+tblData[[#This Row],[Returns]]</f>
        <v>643</v>
      </c>
      <c r="AG513" s="74">
        <f>tblData[[#This Row],[Material Cost]]+tblData[[#This Row],[Conversion Cost]]+tblData[[#This Row],[Inbound Freight]]</f>
        <v>-210</v>
      </c>
      <c r="AH513" s="74">
        <f>tblData[[#This Row],[Net Revenue]]+tblData[[#This Row],[COGS]]</f>
        <v>433</v>
      </c>
      <c r="AI513" s="74">
        <f>tblData[[#This Row],[Advertising]]+tblData[[#This Row],[Promotions]]</f>
        <v>-63</v>
      </c>
      <c r="AJ513" s="74">
        <f>tblData[[#This Row],[Outbound Logistics]]+tblData[[#This Row],[Direct Selling]]</f>
        <v>-112</v>
      </c>
      <c r="AK513" s="74">
        <f>tblData[[#This Row],[Gross Profit]]+tblData[[#This Row],[AP Spend]]+tblData[[#This Row],[Cost to Serve]]</f>
        <v>258</v>
      </c>
    </row>
    <row r="514" spans="2:37" x14ac:dyDescent="0.25">
      <c r="B514" s="71" t="s">
        <v>50</v>
      </c>
      <c r="C514" s="71">
        <v>2026</v>
      </c>
      <c r="D514" s="71">
        <v>1</v>
      </c>
      <c r="E514" s="71" t="s">
        <v>47</v>
      </c>
      <c r="F514" s="71" t="s">
        <v>39</v>
      </c>
      <c r="G514" s="72">
        <v>66.5</v>
      </c>
      <c r="H514" s="73">
        <v>599</v>
      </c>
      <c r="I514" s="73">
        <v>-18</v>
      </c>
      <c r="J514" s="73">
        <v>-30</v>
      </c>
      <c r="K514" s="73">
        <v>-155</v>
      </c>
      <c r="L514" s="73">
        <v>-39</v>
      </c>
      <c r="M514" s="73">
        <v>-22</v>
      </c>
      <c r="N514" s="73">
        <v>-23</v>
      </c>
      <c r="O514" s="73">
        <v>-13</v>
      </c>
      <c r="P514" s="73">
        <v>-72</v>
      </c>
      <c r="Q514" s="73">
        <v>-24</v>
      </c>
      <c r="R514" s="73">
        <v>0</v>
      </c>
      <c r="S514" s="73">
        <v>0</v>
      </c>
      <c r="T514" s="73">
        <v>0</v>
      </c>
      <c r="U514" s="73">
        <v>0</v>
      </c>
      <c r="V514" s="73">
        <v>0</v>
      </c>
      <c r="W514" s="73">
        <v>0</v>
      </c>
      <c r="X514" s="73">
        <v>0</v>
      </c>
      <c r="Y514" s="73">
        <v>0</v>
      </c>
      <c r="Z514" s="73">
        <v>54</v>
      </c>
      <c r="AA514" s="73">
        <v>567</v>
      </c>
      <c r="AB514" s="73">
        <v>0</v>
      </c>
      <c r="AC514" s="73">
        <v>0</v>
      </c>
      <c r="AD514" s="73">
        <v>0</v>
      </c>
      <c r="AE514" s="73">
        <v>0</v>
      </c>
      <c r="AF514" s="74">
        <f>tblData[[#This Row],[Gross Sales]]+tblData[[#This Row],[Trade Discounts]]+tblData[[#This Row],[Returns]]</f>
        <v>551</v>
      </c>
      <c r="AG514" s="74">
        <f>tblData[[#This Row],[Material Cost]]+tblData[[#This Row],[Conversion Cost]]+tblData[[#This Row],[Inbound Freight]]</f>
        <v>-216</v>
      </c>
      <c r="AH514" s="74">
        <f>tblData[[#This Row],[Net Revenue]]+tblData[[#This Row],[COGS]]</f>
        <v>335</v>
      </c>
      <c r="AI514" s="74">
        <f>tblData[[#This Row],[Advertising]]+tblData[[#This Row],[Promotions]]</f>
        <v>-36</v>
      </c>
      <c r="AJ514" s="74">
        <f>tblData[[#This Row],[Outbound Logistics]]+tblData[[#This Row],[Direct Selling]]</f>
        <v>-96</v>
      </c>
      <c r="AK514" s="74">
        <f>tblData[[#This Row],[Gross Profit]]+tblData[[#This Row],[AP Spend]]+tblData[[#This Row],[Cost to Serve]]</f>
        <v>203</v>
      </c>
    </row>
    <row r="515" spans="2:37" x14ac:dyDescent="0.25">
      <c r="B515" s="71" t="s">
        <v>50</v>
      </c>
      <c r="C515" s="71">
        <v>2026</v>
      </c>
      <c r="D515" s="71">
        <v>1</v>
      </c>
      <c r="E515" s="71" t="s">
        <v>47</v>
      </c>
      <c r="F515" s="71" t="s">
        <v>40</v>
      </c>
      <c r="G515" s="72">
        <v>64.2</v>
      </c>
      <c r="H515" s="73">
        <v>449</v>
      </c>
      <c r="I515" s="73">
        <v>-13</v>
      </c>
      <c r="J515" s="73">
        <v>-22</v>
      </c>
      <c r="K515" s="73">
        <v>-129</v>
      </c>
      <c r="L515" s="73">
        <v>-32</v>
      </c>
      <c r="M515" s="73">
        <v>-18</v>
      </c>
      <c r="N515" s="73">
        <v>-12</v>
      </c>
      <c r="O515" s="73">
        <v>-6</v>
      </c>
      <c r="P515" s="73">
        <v>-54</v>
      </c>
      <c r="Q515" s="73">
        <v>-18</v>
      </c>
      <c r="R515" s="73">
        <v>0</v>
      </c>
      <c r="S515" s="73">
        <v>0</v>
      </c>
      <c r="T515" s="73">
        <v>0</v>
      </c>
      <c r="U515" s="73">
        <v>0</v>
      </c>
      <c r="V515" s="73">
        <v>0</v>
      </c>
      <c r="W515" s="73">
        <v>0</v>
      </c>
      <c r="X515" s="73">
        <v>0</v>
      </c>
      <c r="Y515" s="73">
        <v>0</v>
      </c>
      <c r="Z515" s="73">
        <v>41</v>
      </c>
      <c r="AA515" s="73">
        <v>443</v>
      </c>
      <c r="AB515" s="73">
        <v>0</v>
      </c>
      <c r="AC515" s="73">
        <v>0</v>
      </c>
      <c r="AD515" s="73">
        <v>0</v>
      </c>
      <c r="AE515" s="73">
        <v>0</v>
      </c>
      <c r="AF515" s="74">
        <f>tblData[[#This Row],[Gross Sales]]+tblData[[#This Row],[Trade Discounts]]+tblData[[#This Row],[Returns]]</f>
        <v>414</v>
      </c>
      <c r="AG515" s="74">
        <f>tblData[[#This Row],[Material Cost]]+tblData[[#This Row],[Conversion Cost]]+tblData[[#This Row],[Inbound Freight]]</f>
        <v>-179</v>
      </c>
      <c r="AH515" s="74">
        <f>tblData[[#This Row],[Net Revenue]]+tblData[[#This Row],[COGS]]</f>
        <v>235</v>
      </c>
      <c r="AI515" s="74">
        <f>tblData[[#This Row],[Advertising]]+tblData[[#This Row],[Promotions]]</f>
        <v>-18</v>
      </c>
      <c r="AJ515" s="74">
        <f>tblData[[#This Row],[Outbound Logistics]]+tblData[[#This Row],[Direct Selling]]</f>
        <v>-72</v>
      </c>
      <c r="AK515" s="74">
        <f>tblData[[#This Row],[Gross Profit]]+tblData[[#This Row],[AP Spend]]+tblData[[#This Row],[Cost to Serve]]</f>
        <v>145</v>
      </c>
    </row>
    <row r="516" spans="2:37" x14ac:dyDescent="0.25">
      <c r="B516" s="71" t="s">
        <v>50</v>
      </c>
      <c r="C516" s="71">
        <v>2026</v>
      </c>
      <c r="D516" s="71">
        <v>1</v>
      </c>
      <c r="E516" s="71" t="s">
        <v>47</v>
      </c>
      <c r="F516" s="71" t="s">
        <v>41</v>
      </c>
      <c r="G516" s="72">
        <v>31.8</v>
      </c>
      <c r="H516" s="73">
        <v>349</v>
      </c>
      <c r="I516" s="73">
        <v>-10</v>
      </c>
      <c r="J516" s="73">
        <v>-17</v>
      </c>
      <c r="K516" s="73">
        <v>-83</v>
      </c>
      <c r="L516" s="73">
        <v>-21</v>
      </c>
      <c r="M516" s="73">
        <v>-12</v>
      </c>
      <c r="N516" s="73">
        <v>-25</v>
      </c>
      <c r="O516" s="73">
        <v>-13</v>
      </c>
      <c r="P516" s="73">
        <v>-42</v>
      </c>
      <c r="Q516" s="73">
        <v>-14</v>
      </c>
      <c r="R516" s="73">
        <v>0</v>
      </c>
      <c r="S516" s="73">
        <v>0</v>
      </c>
      <c r="T516" s="73">
        <v>0</v>
      </c>
      <c r="U516" s="73">
        <v>0</v>
      </c>
      <c r="V516" s="73">
        <v>0</v>
      </c>
      <c r="W516" s="73">
        <v>0</v>
      </c>
      <c r="X516" s="73">
        <v>0</v>
      </c>
      <c r="Y516" s="73">
        <v>0</v>
      </c>
      <c r="Z516" s="73">
        <v>32</v>
      </c>
      <c r="AA516" s="73">
        <v>341</v>
      </c>
      <c r="AB516" s="73">
        <v>0</v>
      </c>
      <c r="AC516" s="73">
        <v>0</v>
      </c>
      <c r="AD516" s="73">
        <v>0</v>
      </c>
      <c r="AE516" s="73">
        <v>0</v>
      </c>
      <c r="AF516" s="74">
        <f>tblData[[#This Row],[Gross Sales]]+tblData[[#This Row],[Trade Discounts]]+tblData[[#This Row],[Returns]]</f>
        <v>322</v>
      </c>
      <c r="AG516" s="74">
        <f>tblData[[#This Row],[Material Cost]]+tblData[[#This Row],[Conversion Cost]]+tblData[[#This Row],[Inbound Freight]]</f>
        <v>-116</v>
      </c>
      <c r="AH516" s="74">
        <f>tblData[[#This Row],[Net Revenue]]+tblData[[#This Row],[COGS]]</f>
        <v>206</v>
      </c>
      <c r="AI516" s="74">
        <f>tblData[[#This Row],[Advertising]]+tblData[[#This Row],[Promotions]]</f>
        <v>-38</v>
      </c>
      <c r="AJ516" s="74">
        <f>tblData[[#This Row],[Outbound Logistics]]+tblData[[#This Row],[Direct Selling]]</f>
        <v>-56</v>
      </c>
      <c r="AK516" s="74">
        <f>tblData[[#This Row],[Gross Profit]]+tblData[[#This Row],[AP Spend]]+tblData[[#This Row],[Cost to Serve]]</f>
        <v>112</v>
      </c>
    </row>
    <row r="517" spans="2:37" x14ac:dyDescent="0.25">
      <c r="B517" s="71" t="s">
        <v>50</v>
      </c>
      <c r="C517" s="71">
        <v>2026</v>
      </c>
      <c r="D517" s="71">
        <v>1</v>
      </c>
      <c r="E517" s="71" t="s">
        <v>47</v>
      </c>
      <c r="F517" s="71" t="s">
        <v>42</v>
      </c>
      <c r="G517" s="72">
        <v>41.6</v>
      </c>
      <c r="H517" s="73">
        <v>249</v>
      </c>
      <c r="I517" s="73">
        <v>-7</v>
      </c>
      <c r="J517" s="73">
        <v>-12</v>
      </c>
      <c r="K517" s="73">
        <v>-79</v>
      </c>
      <c r="L517" s="73">
        <v>-20</v>
      </c>
      <c r="M517" s="73">
        <v>-11</v>
      </c>
      <c r="N517" s="73">
        <v>-5</v>
      </c>
      <c r="O517" s="73">
        <v>-3</v>
      </c>
      <c r="P517" s="73">
        <v>-30</v>
      </c>
      <c r="Q517" s="73">
        <v>-10</v>
      </c>
      <c r="R517" s="73">
        <v>0</v>
      </c>
      <c r="S517" s="73">
        <v>0</v>
      </c>
      <c r="T517" s="73">
        <v>0</v>
      </c>
      <c r="U517" s="73">
        <v>0</v>
      </c>
      <c r="V517" s="73">
        <v>0</v>
      </c>
      <c r="W517" s="73">
        <v>0</v>
      </c>
      <c r="X517" s="73">
        <v>0</v>
      </c>
      <c r="Y517" s="73">
        <v>0</v>
      </c>
      <c r="Z517" s="73">
        <v>23</v>
      </c>
      <c r="AA517" s="73">
        <v>397</v>
      </c>
      <c r="AB517" s="73">
        <v>0</v>
      </c>
      <c r="AC517" s="73">
        <v>0</v>
      </c>
      <c r="AD517" s="73">
        <v>0</v>
      </c>
      <c r="AE517" s="73">
        <v>0</v>
      </c>
      <c r="AF517" s="74">
        <f>tblData[[#This Row],[Gross Sales]]+tblData[[#This Row],[Trade Discounts]]+tblData[[#This Row],[Returns]]</f>
        <v>230</v>
      </c>
      <c r="AG517" s="74">
        <f>tblData[[#This Row],[Material Cost]]+tblData[[#This Row],[Conversion Cost]]+tblData[[#This Row],[Inbound Freight]]</f>
        <v>-110</v>
      </c>
      <c r="AH517" s="74">
        <f>tblData[[#This Row],[Net Revenue]]+tblData[[#This Row],[COGS]]</f>
        <v>120</v>
      </c>
      <c r="AI517" s="74">
        <f>tblData[[#This Row],[Advertising]]+tblData[[#This Row],[Promotions]]</f>
        <v>-8</v>
      </c>
      <c r="AJ517" s="74">
        <f>tblData[[#This Row],[Outbound Logistics]]+tblData[[#This Row],[Direct Selling]]</f>
        <v>-40</v>
      </c>
      <c r="AK517" s="74">
        <f>tblData[[#This Row],[Gross Profit]]+tblData[[#This Row],[AP Spend]]+tblData[[#This Row],[Cost to Serve]]</f>
        <v>72</v>
      </c>
    </row>
    <row r="518" spans="2:37" x14ac:dyDescent="0.25">
      <c r="B518" s="71" t="s">
        <v>50</v>
      </c>
      <c r="C518" s="71">
        <v>2026</v>
      </c>
      <c r="D518" s="71">
        <v>1</v>
      </c>
      <c r="E518" s="71" t="s">
        <v>47</v>
      </c>
      <c r="F518" s="71" t="s">
        <v>43</v>
      </c>
      <c r="G518" s="72">
        <v>8.3000000000000007</v>
      </c>
      <c r="H518" s="73">
        <v>150</v>
      </c>
      <c r="I518" s="73">
        <v>-4</v>
      </c>
      <c r="J518" s="73">
        <v>-7</v>
      </c>
      <c r="K518" s="73">
        <v>-41</v>
      </c>
      <c r="L518" s="73">
        <v>-10</v>
      </c>
      <c r="M518" s="73">
        <v>-6</v>
      </c>
      <c r="N518" s="73">
        <v>-14</v>
      </c>
      <c r="O518" s="73">
        <v>-7</v>
      </c>
      <c r="P518" s="73">
        <v>-18</v>
      </c>
      <c r="Q518" s="73">
        <v>-6</v>
      </c>
      <c r="R518" s="73">
        <v>0</v>
      </c>
      <c r="S518" s="73">
        <v>0</v>
      </c>
      <c r="T518" s="73">
        <v>0</v>
      </c>
      <c r="U518" s="73">
        <v>0</v>
      </c>
      <c r="V518" s="73">
        <v>0</v>
      </c>
      <c r="W518" s="73">
        <v>0</v>
      </c>
      <c r="X518" s="73">
        <v>0</v>
      </c>
      <c r="Y518" s="73">
        <v>0</v>
      </c>
      <c r="Z518" s="73">
        <v>14</v>
      </c>
      <c r="AA518" s="73">
        <v>225</v>
      </c>
      <c r="AB518" s="73">
        <v>0</v>
      </c>
      <c r="AC518" s="73">
        <v>0</v>
      </c>
      <c r="AD518" s="73">
        <v>0</v>
      </c>
      <c r="AE518" s="73">
        <v>0</v>
      </c>
      <c r="AF518" s="74">
        <f>tblData[[#This Row],[Gross Sales]]+tblData[[#This Row],[Trade Discounts]]+tblData[[#This Row],[Returns]]</f>
        <v>139</v>
      </c>
      <c r="AG518" s="74">
        <f>tblData[[#This Row],[Material Cost]]+tblData[[#This Row],[Conversion Cost]]+tblData[[#This Row],[Inbound Freight]]</f>
        <v>-57</v>
      </c>
      <c r="AH518" s="74">
        <f>tblData[[#This Row],[Net Revenue]]+tblData[[#This Row],[COGS]]</f>
        <v>82</v>
      </c>
      <c r="AI518" s="74">
        <f>tblData[[#This Row],[Advertising]]+tblData[[#This Row],[Promotions]]</f>
        <v>-21</v>
      </c>
      <c r="AJ518" s="74">
        <f>tblData[[#This Row],[Outbound Logistics]]+tblData[[#This Row],[Direct Selling]]</f>
        <v>-24</v>
      </c>
      <c r="AK518" s="74">
        <f>tblData[[#This Row],[Gross Profit]]+tblData[[#This Row],[AP Spend]]+tblData[[#This Row],[Cost to Serve]]</f>
        <v>37</v>
      </c>
    </row>
    <row r="519" spans="2:37" x14ac:dyDescent="0.25">
      <c r="B519" s="71" t="s">
        <v>50</v>
      </c>
      <c r="C519" s="71">
        <v>2026</v>
      </c>
      <c r="D519" s="71">
        <v>1</v>
      </c>
      <c r="E519" s="71" t="s">
        <v>48</v>
      </c>
      <c r="F519" s="71" t="s">
        <v>38</v>
      </c>
      <c r="G519" s="72">
        <v>83.2</v>
      </c>
      <c r="H519" s="73">
        <v>1164</v>
      </c>
      <c r="I519" s="73">
        <v>-105</v>
      </c>
      <c r="J519" s="73">
        <v>-12</v>
      </c>
      <c r="K519" s="73">
        <v>-251</v>
      </c>
      <c r="L519" s="73">
        <v>-63</v>
      </c>
      <c r="M519" s="73">
        <v>-35</v>
      </c>
      <c r="N519" s="73">
        <v>-68</v>
      </c>
      <c r="O519" s="73">
        <v>-37</v>
      </c>
      <c r="P519" s="73">
        <v>-35</v>
      </c>
      <c r="Q519" s="73">
        <v>-17</v>
      </c>
      <c r="R519" s="73">
        <v>0</v>
      </c>
      <c r="S519" s="73">
        <v>0</v>
      </c>
      <c r="T519" s="73">
        <v>0</v>
      </c>
      <c r="U519" s="73">
        <v>0</v>
      </c>
      <c r="V519" s="73">
        <v>0</v>
      </c>
      <c r="W519" s="73">
        <v>0</v>
      </c>
      <c r="X519" s="73">
        <v>0</v>
      </c>
      <c r="Y519" s="73">
        <v>0</v>
      </c>
      <c r="Z519" s="73">
        <v>2413</v>
      </c>
      <c r="AA519" s="73">
        <v>1091</v>
      </c>
      <c r="AB519" s="73">
        <v>0</v>
      </c>
      <c r="AC519" s="73">
        <v>0</v>
      </c>
      <c r="AD519" s="73">
        <v>0</v>
      </c>
      <c r="AE519" s="73">
        <v>0</v>
      </c>
      <c r="AF519" s="74">
        <f>tblData[[#This Row],[Gross Sales]]+tblData[[#This Row],[Trade Discounts]]+tblData[[#This Row],[Returns]]</f>
        <v>1047</v>
      </c>
      <c r="AG519" s="74">
        <f>tblData[[#This Row],[Material Cost]]+tblData[[#This Row],[Conversion Cost]]+tblData[[#This Row],[Inbound Freight]]</f>
        <v>-349</v>
      </c>
      <c r="AH519" s="74">
        <f>tblData[[#This Row],[Net Revenue]]+tblData[[#This Row],[COGS]]</f>
        <v>698</v>
      </c>
      <c r="AI519" s="74">
        <f>tblData[[#This Row],[Advertising]]+tblData[[#This Row],[Promotions]]</f>
        <v>-105</v>
      </c>
      <c r="AJ519" s="74">
        <f>tblData[[#This Row],[Outbound Logistics]]+tblData[[#This Row],[Direct Selling]]</f>
        <v>-52</v>
      </c>
      <c r="AK519" s="74">
        <f>tblData[[#This Row],[Gross Profit]]+tblData[[#This Row],[AP Spend]]+tblData[[#This Row],[Cost to Serve]]</f>
        <v>541</v>
      </c>
    </row>
    <row r="520" spans="2:37" x14ac:dyDescent="0.25">
      <c r="B520" s="71" t="s">
        <v>50</v>
      </c>
      <c r="C520" s="71">
        <v>2026</v>
      </c>
      <c r="D520" s="71">
        <v>1</v>
      </c>
      <c r="E520" s="71" t="s">
        <v>48</v>
      </c>
      <c r="F520" s="71" t="s">
        <v>39</v>
      </c>
      <c r="G520" s="72">
        <v>110.9</v>
      </c>
      <c r="H520" s="73">
        <v>998</v>
      </c>
      <c r="I520" s="73">
        <v>-90</v>
      </c>
      <c r="J520" s="73">
        <v>-10</v>
      </c>
      <c r="K520" s="73">
        <v>-259</v>
      </c>
      <c r="L520" s="73">
        <v>-65</v>
      </c>
      <c r="M520" s="73">
        <v>-36</v>
      </c>
      <c r="N520" s="73">
        <v>-39</v>
      </c>
      <c r="O520" s="73">
        <v>-21</v>
      </c>
      <c r="P520" s="73">
        <v>-30</v>
      </c>
      <c r="Q520" s="73">
        <v>-15</v>
      </c>
      <c r="R520" s="73">
        <v>0</v>
      </c>
      <c r="S520" s="73">
        <v>0</v>
      </c>
      <c r="T520" s="73">
        <v>0</v>
      </c>
      <c r="U520" s="73">
        <v>0</v>
      </c>
      <c r="V520" s="73">
        <v>0</v>
      </c>
      <c r="W520" s="73">
        <v>0</v>
      </c>
      <c r="X520" s="73">
        <v>0</v>
      </c>
      <c r="Y520" s="73">
        <v>0</v>
      </c>
      <c r="Z520" s="73">
        <v>2068</v>
      </c>
      <c r="AA520" s="73">
        <v>945</v>
      </c>
      <c r="AB520" s="73">
        <v>0</v>
      </c>
      <c r="AC520" s="73">
        <v>0</v>
      </c>
      <c r="AD520" s="73">
        <v>0</v>
      </c>
      <c r="AE520" s="73">
        <v>0</v>
      </c>
      <c r="AF520" s="74">
        <f>tblData[[#This Row],[Gross Sales]]+tblData[[#This Row],[Trade Discounts]]+tblData[[#This Row],[Returns]]</f>
        <v>898</v>
      </c>
      <c r="AG520" s="74">
        <f>tblData[[#This Row],[Material Cost]]+tblData[[#This Row],[Conversion Cost]]+tblData[[#This Row],[Inbound Freight]]</f>
        <v>-360</v>
      </c>
      <c r="AH520" s="74">
        <f>tblData[[#This Row],[Net Revenue]]+tblData[[#This Row],[COGS]]</f>
        <v>538</v>
      </c>
      <c r="AI520" s="74">
        <f>tblData[[#This Row],[Advertising]]+tblData[[#This Row],[Promotions]]</f>
        <v>-60</v>
      </c>
      <c r="AJ520" s="74">
        <f>tblData[[#This Row],[Outbound Logistics]]+tblData[[#This Row],[Direct Selling]]</f>
        <v>-45</v>
      </c>
      <c r="AK520" s="74">
        <f>tblData[[#This Row],[Gross Profit]]+tblData[[#This Row],[AP Spend]]+tblData[[#This Row],[Cost to Serve]]</f>
        <v>433</v>
      </c>
    </row>
    <row r="521" spans="2:37" x14ac:dyDescent="0.25">
      <c r="B521" s="71" t="s">
        <v>50</v>
      </c>
      <c r="C521" s="71">
        <v>2026</v>
      </c>
      <c r="D521" s="71">
        <v>1</v>
      </c>
      <c r="E521" s="71" t="s">
        <v>48</v>
      </c>
      <c r="F521" s="71" t="s">
        <v>40</v>
      </c>
      <c r="G521" s="72">
        <v>106.9</v>
      </c>
      <c r="H521" s="73">
        <v>748</v>
      </c>
      <c r="I521" s="73">
        <v>-67</v>
      </c>
      <c r="J521" s="73">
        <v>-7</v>
      </c>
      <c r="K521" s="73">
        <v>-216</v>
      </c>
      <c r="L521" s="73">
        <v>-54</v>
      </c>
      <c r="M521" s="73">
        <v>-30</v>
      </c>
      <c r="N521" s="73">
        <v>-19</v>
      </c>
      <c r="O521" s="73">
        <v>-10</v>
      </c>
      <c r="P521" s="73">
        <v>-22</v>
      </c>
      <c r="Q521" s="73">
        <v>-11</v>
      </c>
      <c r="R521" s="73">
        <v>0</v>
      </c>
      <c r="S521" s="73">
        <v>0</v>
      </c>
      <c r="T521" s="73">
        <v>0</v>
      </c>
      <c r="U521" s="73">
        <v>0</v>
      </c>
      <c r="V521" s="73">
        <v>0</v>
      </c>
      <c r="W521" s="73">
        <v>0</v>
      </c>
      <c r="X521" s="73">
        <v>0</v>
      </c>
      <c r="Y521" s="73">
        <v>0</v>
      </c>
      <c r="Z521" s="73">
        <v>1551</v>
      </c>
      <c r="AA521" s="73">
        <v>739</v>
      </c>
      <c r="AB521" s="73">
        <v>0</v>
      </c>
      <c r="AC521" s="73">
        <v>0</v>
      </c>
      <c r="AD521" s="73">
        <v>0</v>
      </c>
      <c r="AE521" s="73">
        <v>0</v>
      </c>
      <c r="AF521" s="74">
        <f>tblData[[#This Row],[Gross Sales]]+tblData[[#This Row],[Trade Discounts]]+tblData[[#This Row],[Returns]]</f>
        <v>674</v>
      </c>
      <c r="AG521" s="74">
        <f>tblData[[#This Row],[Material Cost]]+tblData[[#This Row],[Conversion Cost]]+tblData[[#This Row],[Inbound Freight]]</f>
        <v>-300</v>
      </c>
      <c r="AH521" s="74">
        <f>tblData[[#This Row],[Net Revenue]]+tblData[[#This Row],[COGS]]</f>
        <v>374</v>
      </c>
      <c r="AI521" s="74">
        <f>tblData[[#This Row],[Advertising]]+tblData[[#This Row],[Promotions]]</f>
        <v>-29</v>
      </c>
      <c r="AJ521" s="74">
        <f>tblData[[#This Row],[Outbound Logistics]]+tblData[[#This Row],[Direct Selling]]</f>
        <v>-33</v>
      </c>
      <c r="AK521" s="74">
        <f>tblData[[#This Row],[Gross Profit]]+tblData[[#This Row],[AP Spend]]+tblData[[#This Row],[Cost to Serve]]</f>
        <v>312</v>
      </c>
    </row>
    <row r="522" spans="2:37" x14ac:dyDescent="0.25">
      <c r="B522" s="71" t="s">
        <v>50</v>
      </c>
      <c r="C522" s="71">
        <v>2026</v>
      </c>
      <c r="D522" s="71">
        <v>1</v>
      </c>
      <c r="E522" s="71" t="s">
        <v>48</v>
      </c>
      <c r="F522" s="71" t="s">
        <v>41</v>
      </c>
      <c r="G522" s="72">
        <v>52.9</v>
      </c>
      <c r="H522" s="73">
        <v>582</v>
      </c>
      <c r="I522" s="73">
        <v>-52</v>
      </c>
      <c r="J522" s="73">
        <v>-6</v>
      </c>
      <c r="K522" s="73">
        <v>-138</v>
      </c>
      <c r="L522" s="73">
        <v>-35</v>
      </c>
      <c r="M522" s="73">
        <v>-19</v>
      </c>
      <c r="N522" s="73">
        <v>-42</v>
      </c>
      <c r="O522" s="73">
        <v>-22</v>
      </c>
      <c r="P522" s="73">
        <v>-17</v>
      </c>
      <c r="Q522" s="73">
        <v>-9</v>
      </c>
      <c r="R522" s="73">
        <v>0</v>
      </c>
      <c r="S522" s="73">
        <v>0</v>
      </c>
      <c r="T522" s="73">
        <v>0</v>
      </c>
      <c r="U522" s="73">
        <v>0</v>
      </c>
      <c r="V522" s="73">
        <v>0</v>
      </c>
      <c r="W522" s="73">
        <v>0</v>
      </c>
      <c r="X522" s="73">
        <v>0</v>
      </c>
      <c r="Y522" s="73">
        <v>0</v>
      </c>
      <c r="Z522" s="73">
        <v>1206</v>
      </c>
      <c r="AA522" s="73">
        <v>569</v>
      </c>
      <c r="AB522" s="73">
        <v>0</v>
      </c>
      <c r="AC522" s="73">
        <v>0</v>
      </c>
      <c r="AD522" s="73">
        <v>0</v>
      </c>
      <c r="AE522" s="73">
        <v>0</v>
      </c>
      <c r="AF522" s="74">
        <f>tblData[[#This Row],[Gross Sales]]+tblData[[#This Row],[Trade Discounts]]+tblData[[#This Row],[Returns]]</f>
        <v>524</v>
      </c>
      <c r="AG522" s="74">
        <f>tblData[[#This Row],[Material Cost]]+tblData[[#This Row],[Conversion Cost]]+tblData[[#This Row],[Inbound Freight]]</f>
        <v>-192</v>
      </c>
      <c r="AH522" s="74">
        <f>tblData[[#This Row],[Net Revenue]]+tblData[[#This Row],[COGS]]</f>
        <v>332</v>
      </c>
      <c r="AI522" s="74">
        <f>tblData[[#This Row],[Advertising]]+tblData[[#This Row],[Promotions]]</f>
        <v>-64</v>
      </c>
      <c r="AJ522" s="74">
        <f>tblData[[#This Row],[Outbound Logistics]]+tblData[[#This Row],[Direct Selling]]</f>
        <v>-26</v>
      </c>
      <c r="AK522" s="74">
        <f>tblData[[#This Row],[Gross Profit]]+tblData[[#This Row],[AP Spend]]+tblData[[#This Row],[Cost to Serve]]</f>
        <v>242</v>
      </c>
    </row>
    <row r="523" spans="2:37" x14ac:dyDescent="0.25">
      <c r="B523" s="71" t="s">
        <v>50</v>
      </c>
      <c r="C523" s="71">
        <v>2026</v>
      </c>
      <c r="D523" s="71">
        <v>1</v>
      </c>
      <c r="E523" s="71" t="s">
        <v>48</v>
      </c>
      <c r="F523" s="71" t="s">
        <v>42</v>
      </c>
      <c r="G523" s="72">
        <v>69.3</v>
      </c>
      <c r="H523" s="73">
        <v>416</v>
      </c>
      <c r="I523" s="73">
        <v>-37</v>
      </c>
      <c r="J523" s="73">
        <v>-4</v>
      </c>
      <c r="K523" s="73">
        <v>-132</v>
      </c>
      <c r="L523" s="73">
        <v>-33</v>
      </c>
      <c r="M523" s="73">
        <v>-18</v>
      </c>
      <c r="N523" s="73">
        <v>-8</v>
      </c>
      <c r="O523" s="73">
        <v>-4</v>
      </c>
      <c r="P523" s="73">
        <v>-12</v>
      </c>
      <c r="Q523" s="73">
        <v>-6</v>
      </c>
      <c r="R523" s="73">
        <v>0</v>
      </c>
      <c r="S523" s="73">
        <v>0</v>
      </c>
      <c r="T523" s="73">
        <v>0</v>
      </c>
      <c r="U523" s="73">
        <v>0</v>
      </c>
      <c r="V523" s="73">
        <v>0</v>
      </c>
      <c r="W523" s="73">
        <v>0</v>
      </c>
      <c r="X523" s="73">
        <v>0</v>
      </c>
      <c r="Y523" s="73">
        <v>0</v>
      </c>
      <c r="Z523" s="73">
        <v>862</v>
      </c>
      <c r="AA523" s="73">
        <v>662</v>
      </c>
      <c r="AB523" s="73">
        <v>0</v>
      </c>
      <c r="AC523" s="73">
        <v>0</v>
      </c>
      <c r="AD523" s="73">
        <v>0</v>
      </c>
      <c r="AE523" s="73">
        <v>0</v>
      </c>
      <c r="AF523" s="74">
        <f>tblData[[#This Row],[Gross Sales]]+tblData[[#This Row],[Trade Discounts]]+tblData[[#This Row],[Returns]]</f>
        <v>375</v>
      </c>
      <c r="AG523" s="74">
        <f>tblData[[#This Row],[Material Cost]]+tblData[[#This Row],[Conversion Cost]]+tblData[[#This Row],[Inbound Freight]]</f>
        <v>-183</v>
      </c>
      <c r="AH523" s="74">
        <f>tblData[[#This Row],[Net Revenue]]+tblData[[#This Row],[COGS]]</f>
        <v>192</v>
      </c>
      <c r="AI523" s="74">
        <f>tblData[[#This Row],[Advertising]]+tblData[[#This Row],[Promotions]]</f>
        <v>-12</v>
      </c>
      <c r="AJ523" s="74">
        <f>tblData[[#This Row],[Outbound Logistics]]+tblData[[#This Row],[Direct Selling]]</f>
        <v>-18</v>
      </c>
      <c r="AK523" s="74">
        <f>tblData[[#This Row],[Gross Profit]]+tblData[[#This Row],[AP Spend]]+tblData[[#This Row],[Cost to Serve]]</f>
        <v>162</v>
      </c>
    </row>
    <row r="524" spans="2:37" x14ac:dyDescent="0.25">
      <c r="B524" s="71" t="s">
        <v>50</v>
      </c>
      <c r="C524" s="71">
        <v>2026</v>
      </c>
      <c r="D524" s="71">
        <v>1</v>
      </c>
      <c r="E524" s="71" t="s">
        <v>48</v>
      </c>
      <c r="F524" s="71" t="s">
        <v>43</v>
      </c>
      <c r="G524" s="72">
        <v>13.9</v>
      </c>
      <c r="H524" s="73">
        <v>249</v>
      </c>
      <c r="I524" s="73">
        <v>-22</v>
      </c>
      <c r="J524" s="73">
        <v>-2</v>
      </c>
      <c r="K524" s="73">
        <v>-68</v>
      </c>
      <c r="L524" s="73">
        <v>-17</v>
      </c>
      <c r="M524" s="73">
        <v>-9</v>
      </c>
      <c r="N524" s="73">
        <v>-23</v>
      </c>
      <c r="O524" s="73">
        <v>-12</v>
      </c>
      <c r="P524" s="73">
        <v>-7</v>
      </c>
      <c r="Q524" s="73">
        <v>-4</v>
      </c>
      <c r="R524" s="73">
        <v>0</v>
      </c>
      <c r="S524" s="73">
        <v>0</v>
      </c>
      <c r="T524" s="73">
        <v>0</v>
      </c>
      <c r="U524" s="73">
        <v>0</v>
      </c>
      <c r="V524" s="73">
        <v>0</v>
      </c>
      <c r="W524" s="73">
        <v>0</v>
      </c>
      <c r="X524" s="73">
        <v>0</v>
      </c>
      <c r="Y524" s="73">
        <v>0</v>
      </c>
      <c r="Z524" s="73">
        <v>517</v>
      </c>
      <c r="AA524" s="73">
        <v>374</v>
      </c>
      <c r="AB524" s="73">
        <v>0</v>
      </c>
      <c r="AC524" s="73">
        <v>0</v>
      </c>
      <c r="AD524" s="73">
        <v>0</v>
      </c>
      <c r="AE524" s="73">
        <v>0</v>
      </c>
      <c r="AF524" s="74">
        <f>tblData[[#This Row],[Gross Sales]]+tblData[[#This Row],[Trade Discounts]]+tblData[[#This Row],[Returns]]</f>
        <v>225</v>
      </c>
      <c r="AG524" s="74">
        <f>tblData[[#This Row],[Material Cost]]+tblData[[#This Row],[Conversion Cost]]+tblData[[#This Row],[Inbound Freight]]</f>
        <v>-94</v>
      </c>
      <c r="AH524" s="74">
        <f>tblData[[#This Row],[Net Revenue]]+tblData[[#This Row],[COGS]]</f>
        <v>131</v>
      </c>
      <c r="AI524" s="74">
        <f>tblData[[#This Row],[Advertising]]+tblData[[#This Row],[Promotions]]</f>
        <v>-35</v>
      </c>
      <c r="AJ524" s="74">
        <f>tblData[[#This Row],[Outbound Logistics]]+tblData[[#This Row],[Direct Selling]]</f>
        <v>-11</v>
      </c>
      <c r="AK524" s="74">
        <f>tblData[[#This Row],[Gross Profit]]+tblData[[#This Row],[AP Spend]]+tblData[[#This Row],[Cost to Serve]]</f>
        <v>85</v>
      </c>
    </row>
    <row r="525" spans="2:37" x14ac:dyDescent="0.25">
      <c r="B525" s="71" t="s">
        <v>50</v>
      </c>
      <c r="C525" s="71">
        <v>2026</v>
      </c>
      <c r="D525" s="71">
        <v>1</v>
      </c>
      <c r="E525" s="71" t="s">
        <v>49</v>
      </c>
      <c r="F525" s="71" t="s">
        <v>49</v>
      </c>
      <c r="G525" s="72">
        <v>0</v>
      </c>
      <c r="H525" s="73">
        <v>0</v>
      </c>
      <c r="I525" s="73">
        <v>0</v>
      </c>
      <c r="J525" s="73">
        <v>0</v>
      </c>
      <c r="K525" s="73">
        <v>0</v>
      </c>
      <c r="L525" s="73">
        <v>0</v>
      </c>
      <c r="M525" s="73">
        <v>0</v>
      </c>
      <c r="N525" s="73">
        <v>0</v>
      </c>
      <c r="O525" s="73">
        <v>0</v>
      </c>
      <c r="P525" s="73">
        <v>0</v>
      </c>
      <c r="Q525" s="73">
        <v>0</v>
      </c>
      <c r="R525" s="73">
        <v>-4150</v>
      </c>
      <c r="S525" s="73">
        <v>-1020</v>
      </c>
      <c r="T525" s="73">
        <v>-1320</v>
      </c>
      <c r="U525" s="73">
        <v>-1130</v>
      </c>
      <c r="V525" s="73">
        <v>-1480</v>
      </c>
      <c r="W525" s="73">
        <v>-712</v>
      </c>
      <c r="X525" s="73">
        <v>-898</v>
      </c>
      <c r="Y525" s="73">
        <v>-1065</v>
      </c>
      <c r="Z525" s="73">
        <v>0</v>
      </c>
      <c r="AA525" s="73">
        <v>0</v>
      </c>
      <c r="AB525" s="73">
        <v>28194</v>
      </c>
      <c r="AC525" s="73">
        <v>69774</v>
      </c>
      <c r="AD525" s="73">
        <v>190000</v>
      </c>
      <c r="AE525" s="73">
        <v>1182</v>
      </c>
      <c r="AF525" s="74">
        <f>tblData[[#This Row],[Gross Sales]]+tblData[[#This Row],[Trade Discounts]]+tblData[[#This Row],[Returns]]</f>
        <v>0</v>
      </c>
      <c r="AG525" s="74">
        <f>tblData[[#This Row],[Material Cost]]+tblData[[#This Row],[Conversion Cost]]+tblData[[#This Row],[Inbound Freight]]</f>
        <v>0</v>
      </c>
      <c r="AH525" s="74">
        <f>tblData[[#This Row],[Net Revenue]]+tblData[[#This Row],[COGS]]</f>
        <v>0</v>
      </c>
      <c r="AI525" s="74">
        <f>tblData[[#This Row],[Advertising]]+tblData[[#This Row],[Promotions]]</f>
        <v>0</v>
      </c>
      <c r="AJ525" s="74">
        <f>tblData[[#This Row],[Outbound Logistics]]+tblData[[#This Row],[Direct Selling]]</f>
        <v>0</v>
      </c>
      <c r="AK525" s="74">
        <f>tblData[[#This Row],[Gross Profit]]+tblData[[#This Row],[AP Spend]]+tblData[[#This Row],[Cost to Serve]]</f>
        <v>0</v>
      </c>
    </row>
    <row r="526" spans="2:37" x14ac:dyDescent="0.25">
      <c r="B526" s="71" t="s">
        <v>50</v>
      </c>
      <c r="C526" s="71">
        <v>2026</v>
      </c>
      <c r="D526" s="71">
        <v>2</v>
      </c>
      <c r="E526" s="71" t="s">
        <v>37</v>
      </c>
      <c r="F526" s="71" t="s">
        <v>38</v>
      </c>
      <c r="G526" s="72">
        <v>257</v>
      </c>
      <c r="H526" s="73">
        <v>3599</v>
      </c>
      <c r="I526" s="73">
        <v>-684</v>
      </c>
      <c r="J526" s="73">
        <v>-54</v>
      </c>
      <c r="K526" s="73">
        <v>-777</v>
      </c>
      <c r="L526" s="73">
        <v>-194</v>
      </c>
      <c r="M526" s="73">
        <v>-108</v>
      </c>
      <c r="N526" s="73">
        <v>-211</v>
      </c>
      <c r="O526" s="73">
        <v>-113</v>
      </c>
      <c r="P526" s="73">
        <v>-144</v>
      </c>
      <c r="Q526" s="73">
        <v>-108</v>
      </c>
      <c r="R526" s="73">
        <v>0</v>
      </c>
      <c r="S526" s="73">
        <v>0</v>
      </c>
      <c r="T526" s="73">
        <v>0</v>
      </c>
      <c r="U526" s="73">
        <v>0</v>
      </c>
      <c r="V526" s="73">
        <v>0</v>
      </c>
      <c r="W526" s="73">
        <v>0</v>
      </c>
      <c r="X526" s="73">
        <v>0</v>
      </c>
      <c r="Y526" s="73">
        <v>0</v>
      </c>
      <c r="Z526" s="73">
        <v>5100</v>
      </c>
      <c r="AA526" s="73">
        <v>3324</v>
      </c>
      <c r="AB526" s="73">
        <v>0</v>
      </c>
      <c r="AC526" s="73">
        <v>0</v>
      </c>
      <c r="AD526" s="73">
        <v>0</v>
      </c>
      <c r="AE526" s="73">
        <v>0</v>
      </c>
      <c r="AF526" s="74">
        <f>tblData[[#This Row],[Gross Sales]]+tblData[[#This Row],[Trade Discounts]]+tblData[[#This Row],[Returns]]</f>
        <v>2861</v>
      </c>
      <c r="AG526" s="74">
        <f>tblData[[#This Row],[Material Cost]]+tblData[[#This Row],[Conversion Cost]]+tblData[[#This Row],[Inbound Freight]]</f>
        <v>-1079</v>
      </c>
      <c r="AH526" s="74">
        <f>tblData[[#This Row],[Net Revenue]]+tblData[[#This Row],[COGS]]</f>
        <v>1782</v>
      </c>
      <c r="AI526" s="74">
        <f>tblData[[#This Row],[Advertising]]+tblData[[#This Row],[Promotions]]</f>
        <v>-324</v>
      </c>
      <c r="AJ526" s="74">
        <f>tblData[[#This Row],[Outbound Logistics]]+tblData[[#This Row],[Direct Selling]]</f>
        <v>-252</v>
      </c>
      <c r="AK526" s="74">
        <f>tblData[[#This Row],[Gross Profit]]+tblData[[#This Row],[AP Spend]]+tblData[[#This Row],[Cost to Serve]]</f>
        <v>1206</v>
      </c>
    </row>
    <row r="527" spans="2:37" x14ac:dyDescent="0.25">
      <c r="B527" s="71" t="s">
        <v>50</v>
      </c>
      <c r="C527" s="71">
        <v>2026</v>
      </c>
      <c r="D527" s="71">
        <v>2</v>
      </c>
      <c r="E527" s="71" t="s">
        <v>37</v>
      </c>
      <c r="F527" s="71" t="s">
        <v>39</v>
      </c>
      <c r="G527" s="72">
        <v>342.7</v>
      </c>
      <c r="H527" s="73">
        <v>3084</v>
      </c>
      <c r="I527" s="73">
        <v>-586</v>
      </c>
      <c r="J527" s="73">
        <v>-46</v>
      </c>
      <c r="K527" s="73">
        <v>-799</v>
      </c>
      <c r="L527" s="73">
        <v>-200</v>
      </c>
      <c r="M527" s="73">
        <v>-111</v>
      </c>
      <c r="N527" s="73">
        <v>-120</v>
      </c>
      <c r="O527" s="73">
        <v>-65</v>
      </c>
      <c r="P527" s="73">
        <v>-123</v>
      </c>
      <c r="Q527" s="73">
        <v>-93</v>
      </c>
      <c r="R527" s="73">
        <v>0</v>
      </c>
      <c r="S527" s="73">
        <v>0</v>
      </c>
      <c r="T527" s="73">
        <v>0</v>
      </c>
      <c r="U527" s="73">
        <v>0</v>
      </c>
      <c r="V527" s="73">
        <v>0</v>
      </c>
      <c r="W527" s="73">
        <v>0</v>
      </c>
      <c r="X527" s="73">
        <v>0</v>
      </c>
      <c r="Y527" s="73">
        <v>0</v>
      </c>
      <c r="Z527" s="73">
        <v>4371</v>
      </c>
      <c r="AA527" s="73">
        <v>2879</v>
      </c>
      <c r="AB527" s="73">
        <v>0</v>
      </c>
      <c r="AC527" s="73">
        <v>0</v>
      </c>
      <c r="AD527" s="73">
        <v>0</v>
      </c>
      <c r="AE527" s="73">
        <v>0</v>
      </c>
      <c r="AF527" s="74">
        <f>tblData[[#This Row],[Gross Sales]]+tblData[[#This Row],[Trade Discounts]]+tblData[[#This Row],[Returns]]</f>
        <v>2452</v>
      </c>
      <c r="AG527" s="74">
        <f>tblData[[#This Row],[Material Cost]]+tblData[[#This Row],[Conversion Cost]]+tblData[[#This Row],[Inbound Freight]]</f>
        <v>-1110</v>
      </c>
      <c r="AH527" s="74">
        <f>tblData[[#This Row],[Net Revenue]]+tblData[[#This Row],[COGS]]</f>
        <v>1342</v>
      </c>
      <c r="AI527" s="74">
        <f>tblData[[#This Row],[Advertising]]+tblData[[#This Row],[Promotions]]</f>
        <v>-185</v>
      </c>
      <c r="AJ527" s="74">
        <f>tblData[[#This Row],[Outbound Logistics]]+tblData[[#This Row],[Direct Selling]]</f>
        <v>-216</v>
      </c>
      <c r="AK527" s="74">
        <f>tblData[[#This Row],[Gross Profit]]+tblData[[#This Row],[AP Spend]]+tblData[[#This Row],[Cost to Serve]]</f>
        <v>941</v>
      </c>
    </row>
    <row r="528" spans="2:37" x14ac:dyDescent="0.25">
      <c r="B528" s="71" t="s">
        <v>50</v>
      </c>
      <c r="C528" s="71">
        <v>2026</v>
      </c>
      <c r="D528" s="71">
        <v>2</v>
      </c>
      <c r="E528" s="71" t="s">
        <v>37</v>
      </c>
      <c r="F528" s="71" t="s">
        <v>40</v>
      </c>
      <c r="G528" s="72">
        <v>330.5</v>
      </c>
      <c r="H528" s="73">
        <v>2313</v>
      </c>
      <c r="I528" s="73">
        <v>-440</v>
      </c>
      <c r="J528" s="73">
        <v>-35</v>
      </c>
      <c r="K528" s="73">
        <v>-666</v>
      </c>
      <c r="L528" s="73">
        <v>-167</v>
      </c>
      <c r="M528" s="73">
        <v>-93</v>
      </c>
      <c r="N528" s="73">
        <v>-60</v>
      </c>
      <c r="O528" s="73">
        <v>-32</v>
      </c>
      <c r="P528" s="73">
        <v>-93</v>
      </c>
      <c r="Q528" s="73">
        <v>-69</v>
      </c>
      <c r="R528" s="73">
        <v>0</v>
      </c>
      <c r="S528" s="73">
        <v>0</v>
      </c>
      <c r="T528" s="73">
        <v>0</v>
      </c>
      <c r="U528" s="73">
        <v>0</v>
      </c>
      <c r="V528" s="73">
        <v>0</v>
      </c>
      <c r="W528" s="73">
        <v>0</v>
      </c>
      <c r="X528" s="73">
        <v>0</v>
      </c>
      <c r="Y528" s="73">
        <v>0</v>
      </c>
      <c r="Z528" s="73">
        <v>3278</v>
      </c>
      <c r="AA528" s="73">
        <v>2249</v>
      </c>
      <c r="AB528" s="73">
        <v>0</v>
      </c>
      <c r="AC528" s="73">
        <v>0</v>
      </c>
      <c r="AD528" s="73">
        <v>0</v>
      </c>
      <c r="AE528" s="73">
        <v>0</v>
      </c>
      <c r="AF528" s="74">
        <f>tblData[[#This Row],[Gross Sales]]+tblData[[#This Row],[Trade Discounts]]+tblData[[#This Row],[Returns]]</f>
        <v>1838</v>
      </c>
      <c r="AG528" s="74">
        <f>tblData[[#This Row],[Material Cost]]+tblData[[#This Row],[Conversion Cost]]+tblData[[#This Row],[Inbound Freight]]</f>
        <v>-926</v>
      </c>
      <c r="AH528" s="74">
        <f>tblData[[#This Row],[Net Revenue]]+tblData[[#This Row],[COGS]]</f>
        <v>912</v>
      </c>
      <c r="AI528" s="74">
        <f>tblData[[#This Row],[Advertising]]+tblData[[#This Row],[Promotions]]</f>
        <v>-92</v>
      </c>
      <c r="AJ528" s="74">
        <f>tblData[[#This Row],[Outbound Logistics]]+tblData[[#This Row],[Direct Selling]]</f>
        <v>-162</v>
      </c>
      <c r="AK528" s="74">
        <f>tblData[[#This Row],[Gross Profit]]+tblData[[#This Row],[AP Spend]]+tblData[[#This Row],[Cost to Serve]]</f>
        <v>658</v>
      </c>
    </row>
    <row r="529" spans="2:37" x14ac:dyDescent="0.25">
      <c r="B529" s="71" t="s">
        <v>50</v>
      </c>
      <c r="C529" s="71">
        <v>2026</v>
      </c>
      <c r="D529" s="71">
        <v>2</v>
      </c>
      <c r="E529" s="71" t="s">
        <v>37</v>
      </c>
      <c r="F529" s="71" t="s">
        <v>41</v>
      </c>
      <c r="G529" s="72">
        <v>163.6</v>
      </c>
      <c r="H529" s="73">
        <v>1799</v>
      </c>
      <c r="I529" s="73">
        <v>-342</v>
      </c>
      <c r="J529" s="73">
        <v>-27</v>
      </c>
      <c r="K529" s="73">
        <v>-428</v>
      </c>
      <c r="L529" s="73">
        <v>-107</v>
      </c>
      <c r="M529" s="73">
        <v>-59</v>
      </c>
      <c r="N529" s="73">
        <v>-129</v>
      </c>
      <c r="O529" s="73">
        <v>-69</v>
      </c>
      <c r="P529" s="73">
        <v>-72</v>
      </c>
      <c r="Q529" s="73">
        <v>-54</v>
      </c>
      <c r="R529" s="73">
        <v>0</v>
      </c>
      <c r="S529" s="73">
        <v>0</v>
      </c>
      <c r="T529" s="73">
        <v>0</v>
      </c>
      <c r="U529" s="73">
        <v>0</v>
      </c>
      <c r="V529" s="73">
        <v>0</v>
      </c>
      <c r="W529" s="73">
        <v>0</v>
      </c>
      <c r="X529" s="73">
        <v>0</v>
      </c>
      <c r="Y529" s="73">
        <v>0</v>
      </c>
      <c r="Z529" s="73">
        <v>2550</v>
      </c>
      <c r="AA529" s="73">
        <v>1732</v>
      </c>
      <c r="AB529" s="73">
        <v>0</v>
      </c>
      <c r="AC529" s="73">
        <v>0</v>
      </c>
      <c r="AD529" s="73">
        <v>0</v>
      </c>
      <c r="AE529" s="73">
        <v>0</v>
      </c>
      <c r="AF529" s="74">
        <f>tblData[[#This Row],[Gross Sales]]+tblData[[#This Row],[Trade Discounts]]+tblData[[#This Row],[Returns]]</f>
        <v>1430</v>
      </c>
      <c r="AG529" s="74">
        <f>tblData[[#This Row],[Material Cost]]+tblData[[#This Row],[Conversion Cost]]+tblData[[#This Row],[Inbound Freight]]</f>
        <v>-594</v>
      </c>
      <c r="AH529" s="74">
        <f>tblData[[#This Row],[Net Revenue]]+tblData[[#This Row],[COGS]]</f>
        <v>836</v>
      </c>
      <c r="AI529" s="74">
        <f>tblData[[#This Row],[Advertising]]+tblData[[#This Row],[Promotions]]</f>
        <v>-198</v>
      </c>
      <c r="AJ529" s="74">
        <f>tblData[[#This Row],[Outbound Logistics]]+tblData[[#This Row],[Direct Selling]]</f>
        <v>-126</v>
      </c>
      <c r="AK529" s="74">
        <f>tblData[[#This Row],[Gross Profit]]+tblData[[#This Row],[AP Spend]]+tblData[[#This Row],[Cost to Serve]]</f>
        <v>512</v>
      </c>
    </row>
    <row r="530" spans="2:37" x14ac:dyDescent="0.25">
      <c r="B530" s="71" t="s">
        <v>50</v>
      </c>
      <c r="C530" s="71">
        <v>2026</v>
      </c>
      <c r="D530" s="71">
        <v>2</v>
      </c>
      <c r="E530" s="71" t="s">
        <v>37</v>
      </c>
      <c r="F530" s="71" t="s">
        <v>42</v>
      </c>
      <c r="G530" s="72">
        <v>214.2</v>
      </c>
      <c r="H530" s="73">
        <v>1285</v>
      </c>
      <c r="I530" s="73">
        <v>-244</v>
      </c>
      <c r="J530" s="73">
        <v>-19</v>
      </c>
      <c r="K530" s="73">
        <v>-407</v>
      </c>
      <c r="L530" s="73">
        <v>-102</v>
      </c>
      <c r="M530" s="73">
        <v>-57</v>
      </c>
      <c r="N530" s="73">
        <v>-25</v>
      </c>
      <c r="O530" s="73">
        <v>-13</v>
      </c>
      <c r="P530" s="73">
        <v>-51</v>
      </c>
      <c r="Q530" s="73">
        <v>-39</v>
      </c>
      <c r="R530" s="73">
        <v>0</v>
      </c>
      <c r="S530" s="73">
        <v>0</v>
      </c>
      <c r="T530" s="73">
        <v>0</v>
      </c>
      <c r="U530" s="73">
        <v>0</v>
      </c>
      <c r="V530" s="73">
        <v>0</v>
      </c>
      <c r="W530" s="73">
        <v>0</v>
      </c>
      <c r="X530" s="73">
        <v>0</v>
      </c>
      <c r="Y530" s="73">
        <v>0</v>
      </c>
      <c r="Z530" s="73">
        <v>1821</v>
      </c>
      <c r="AA530" s="73">
        <v>2016</v>
      </c>
      <c r="AB530" s="73">
        <v>0</v>
      </c>
      <c r="AC530" s="73">
        <v>0</v>
      </c>
      <c r="AD530" s="73">
        <v>0</v>
      </c>
      <c r="AE530" s="73">
        <v>0</v>
      </c>
      <c r="AF530" s="74">
        <f>tblData[[#This Row],[Gross Sales]]+tblData[[#This Row],[Trade Discounts]]+tblData[[#This Row],[Returns]]</f>
        <v>1022</v>
      </c>
      <c r="AG530" s="74">
        <f>tblData[[#This Row],[Material Cost]]+tblData[[#This Row],[Conversion Cost]]+tblData[[#This Row],[Inbound Freight]]</f>
        <v>-566</v>
      </c>
      <c r="AH530" s="74">
        <f>tblData[[#This Row],[Net Revenue]]+tblData[[#This Row],[COGS]]</f>
        <v>456</v>
      </c>
      <c r="AI530" s="74">
        <f>tblData[[#This Row],[Advertising]]+tblData[[#This Row],[Promotions]]</f>
        <v>-38</v>
      </c>
      <c r="AJ530" s="74">
        <f>tblData[[#This Row],[Outbound Logistics]]+tblData[[#This Row],[Direct Selling]]</f>
        <v>-90</v>
      </c>
      <c r="AK530" s="74">
        <f>tblData[[#This Row],[Gross Profit]]+tblData[[#This Row],[AP Spend]]+tblData[[#This Row],[Cost to Serve]]</f>
        <v>328</v>
      </c>
    </row>
    <row r="531" spans="2:37" x14ac:dyDescent="0.25">
      <c r="B531" s="71" t="s">
        <v>50</v>
      </c>
      <c r="C531" s="71">
        <v>2026</v>
      </c>
      <c r="D531" s="71">
        <v>2</v>
      </c>
      <c r="E531" s="71" t="s">
        <v>37</v>
      </c>
      <c r="F531" s="71" t="s">
        <v>43</v>
      </c>
      <c r="G531" s="72">
        <v>42.8</v>
      </c>
      <c r="H531" s="73">
        <v>771</v>
      </c>
      <c r="I531" s="73">
        <v>-147</v>
      </c>
      <c r="J531" s="73">
        <v>-12</v>
      </c>
      <c r="K531" s="73">
        <v>-211</v>
      </c>
      <c r="L531" s="73">
        <v>-53</v>
      </c>
      <c r="M531" s="73">
        <v>-29</v>
      </c>
      <c r="N531" s="73">
        <v>-70</v>
      </c>
      <c r="O531" s="73">
        <v>-38</v>
      </c>
      <c r="P531" s="73">
        <v>-31</v>
      </c>
      <c r="Q531" s="73">
        <v>-23</v>
      </c>
      <c r="R531" s="73">
        <v>0</v>
      </c>
      <c r="S531" s="73">
        <v>0</v>
      </c>
      <c r="T531" s="73">
        <v>0</v>
      </c>
      <c r="U531" s="73">
        <v>0</v>
      </c>
      <c r="V531" s="73">
        <v>0</v>
      </c>
      <c r="W531" s="73">
        <v>0</v>
      </c>
      <c r="X531" s="73">
        <v>0</v>
      </c>
      <c r="Y531" s="73">
        <v>0</v>
      </c>
      <c r="Z531" s="73">
        <v>1093</v>
      </c>
      <c r="AA531" s="73">
        <v>1140</v>
      </c>
      <c r="AB531" s="73">
        <v>0</v>
      </c>
      <c r="AC531" s="73">
        <v>0</v>
      </c>
      <c r="AD531" s="73">
        <v>0</v>
      </c>
      <c r="AE531" s="73">
        <v>0</v>
      </c>
      <c r="AF531" s="74">
        <f>tblData[[#This Row],[Gross Sales]]+tblData[[#This Row],[Trade Discounts]]+tblData[[#This Row],[Returns]]</f>
        <v>612</v>
      </c>
      <c r="AG531" s="74">
        <f>tblData[[#This Row],[Material Cost]]+tblData[[#This Row],[Conversion Cost]]+tblData[[#This Row],[Inbound Freight]]</f>
        <v>-293</v>
      </c>
      <c r="AH531" s="74">
        <f>tblData[[#This Row],[Net Revenue]]+tblData[[#This Row],[COGS]]</f>
        <v>319</v>
      </c>
      <c r="AI531" s="74">
        <f>tblData[[#This Row],[Advertising]]+tblData[[#This Row],[Promotions]]</f>
        <v>-108</v>
      </c>
      <c r="AJ531" s="74">
        <f>tblData[[#This Row],[Outbound Logistics]]+tblData[[#This Row],[Direct Selling]]</f>
        <v>-54</v>
      </c>
      <c r="AK531" s="74">
        <f>tblData[[#This Row],[Gross Profit]]+tblData[[#This Row],[AP Spend]]+tblData[[#This Row],[Cost to Serve]]</f>
        <v>157</v>
      </c>
    </row>
    <row r="532" spans="2:37" x14ac:dyDescent="0.25">
      <c r="B532" s="71" t="s">
        <v>50</v>
      </c>
      <c r="C532" s="71">
        <v>2026</v>
      </c>
      <c r="D532" s="71">
        <v>2</v>
      </c>
      <c r="E532" s="71" t="s">
        <v>44</v>
      </c>
      <c r="F532" s="71" t="s">
        <v>38</v>
      </c>
      <c r="G532" s="72">
        <v>205.6</v>
      </c>
      <c r="H532" s="73">
        <v>2879</v>
      </c>
      <c r="I532" s="73">
        <v>-461</v>
      </c>
      <c r="J532" s="73">
        <v>-35</v>
      </c>
      <c r="K532" s="73">
        <v>-622</v>
      </c>
      <c r="L532" s="73">
        <v>-155</v>
      </c>
      <c r="M532" s="73">
        <v>-86</v>
      </c>
      <c r="N532" s="73">
        <v>-168</v>
      </c>
      <c r="O532" s="73">
        <v>-91</v>
      </c>
      <c r="P532" s="73">
        <v>-115</v>
      </c>
      <c r="Q532" s="73">
        <v>-86</v>
      </c>
      <c r="R532" s="73">
        <v>0</v>
      </c>
      <c r="S532" s="73">
        <v>0</v>
      </c>
      <c r="T532" s="73">
        <v>0</v>
      </c>
      <c r="U532" s="73">
        <v>0</v>
      </c>
      <c r="V532" s="73">
        <v>0</v>
      </c>
      <c r="W532" s="73">
        <v>0</v>
      </c>
      <c r="X532" s="73">
        <v>0</v>
      </c>
      <c r="Y532" s="73">
        <v>0</v>
      </c>
      <c r="Z532" s="73">
        <v>3863</v>
      </c>
      <c r="AA532" s="73">
        <v>2659</v>
      </c>
      <c r="AB532" s="73">
        <v>0</v>
      </c>
      <c r="AC532" s="73">
        <v>0</v>
      </c>
      <c r="AD532" s="73">
        <v>0</v>
      </c>
      <c r="AE532" s="73">
        <v>0</v>
      </c>
      <c r="AF532" s="74">
        <f>tblData[[#This Row],[Gross Sales]]+tblData[[#This Row],[Trade Discounts]]+tblData[[#This Row],[Returns]]</f>
        <v>2383</v>
      </c>
      <c r="AG532" s="74">
        <f>tblData[[#This Row],[Material Cost]]+tblData[[#This Row],[Conversion Cost]]+tblData[[#This Row],[Inbound Freight]]</f>
        <v>-863</v>
      </c>
      <c r="AH532" s="74">
        <f>tblData[[#This Row],[Net Revenue]]+tblData[[#This Row],[COGS]]</f>
        <v>1520</v>
      </c>
      <c r="AI532" s="74">
        <f>tblData[[#This Row],[Advertising]]+tblData[[#This Row],[Promotions]]</f>
        <v>-259</v>
      </c>
      <c r="AJ532" s="74">
        <f>tblData[[#This Row],[Outbound Logistics]]+tblData[[#This Row],[Direct Selling]]</f>
        <v>-201</v>
      </c>
      <c r="AK532" s="74">
        <f>tblData[[#This Row],[Gross Profit]]+tblData[[#This Row],[AP Spend]]+tblData[[#This Row],[Cost to Serve]]</f>
        <v>1060</v>
      </c>
    </row>
    <row r="533" spans="2:37" x14ac:dyDescent="0.25">
      <c r="B533" s="71" t="s">
        <v>50</v>
      </c>
      <c r="C533" s="71">
        <v>2026</v>
      </c>
      <c r="D533" s="71">
        <v>2</v>
      </c>
      <c r="E533" s="71" t="s">
        <v>44</v>
      </c>
      <c r="F533" s="71" t="s">
        <v>39</v>
      </c>
      <c r="G533" s="72">
        <v>274.2</v>
      </c>
      <c r="H533" s="73">
        <v>2468</v>
      </c>
      <c r="I533" s="73">
        <v>-395</v>
      </c>
      <c r="J533" s="73">
        <v>-30</v>
      </c>
      <c r="K533" s="73">
        <v>-640</v>
      </c>
      <c r="L533" s="73">
        <v>-160</v>
      </c>
      <c r="M533" s="73">
        <v>-89</v>
      </c>
      <c r="N533" s="73">
        <v>-96</v>
      </c>
      <c r="O533" s="73">
        <v>-52</v>
      </c>
      <c r="P533" s="73">
        <v>-99</v>
      </c>
      <c r="Q533" s="73">
        <v>-74</v>
      </c>
      <c r="R533" s="73">
        <v>0</v>
      </c>
      <c r="S533" s="73">
        <v>0</v>
      </c>
      <c r="T533" s="73">
        <v>0</v>
      </c>
      <c r="U533" s="73">
        <v>0</v>
      </c>
      <c r="V533" s="73">
        <v>0</v>
      </c>
      <c r="W533" s="73">
        <v>0</v>
      </c>
      <c r="X533" s="73">
        <v>0</v>
      </c>
      <c r="Y533" s="73">
        <v>0</v>
      </c>
      <c r="Z533" s="73">
        <v>3311</v>
      </c>
      <c r="AA533" s="73">
        <v>2303</v>
      </c>
      <c r="AB533" s="73">
        <v>0</v>
      </c>
      <c r="AC533" s="73">
        <v>0</v>
      </c>
      <c r="AD533" s="73">
        <v>0</v>
      </c>
      <c r="AE533" s="73">
        <v>0</v>
      </c>
      <c r="AF533" s="74">
        <f>tblData[[#This Row],[Gross Sales]]+tblData[[#This Row],[Trade Discounts]]+tblData[[#This Row],[Returns]]</f>
        <v>2043</v>
      </c>
      <c r="AG533" s="74">
        <f>tblData[[#This Row],[Material Cost]]+tblData[[#This Row],[Conversion Cost]]+tblData[[#This Row],[Inbound Freight]]</f>
        <v>-889</v>
      </c>
      <c r="AH533" s="74">
        <f>tblData[[#This Row],[Net Revenue]]+tblData[[#This Row],[COGS]]</f>
        <v>1154</v>
      </c>
      <c r="AI533" s="74">
        <f>tblData[[#This Row],[Advertising]]+tblData[[#This Row],[Promotions]]</f>
        <v>-148</v>
      </c>
      <c r="AJ533" s="74">
        <f>tblData[[#This Row],[Outbound Logistics]]+tblData[[#This Row],[Direct Selling]]</f>
        <v>-173</v>
      </c>
      <c r="AK533" s="74">
        <f>tblData[[#This Row],[Gross Profit]]+tblData[[#This Row],[AP Spend]]+tblData[[#This Row],[Cost to Serve]]</f>
        <v>833</v>
      </c>
    </row>
    <row r="534" spans="2:37" x14ac:dyDescent="0.25">
      <c r="B534" s="71" t="s">
        <v>50</v>
      </c>
      <c r="C534" s="71">
        <v>2026</v>
      </c>
      <c r="D534" s="71">
        <v>2</v>
      </c>
      <c r="E534" s="71" t="s">
        <v>44</v>
      </c>
      <c r="F534" s="71" t="s">
        <v>40</v>
      </c>
      <c r="G534" s="72">
        <v>264.39999999999998</v>
      </c>
      <c r="H534" s="73">
        <v>1851</v>
      </c>
      <c r="I534" s="73">
        <v>-296</v>
      </c>
      <c r="J534" s="73">
        <v>-22</v>
      </c>
      <c r="K534" s="73">
        <v>-533</v>
      </c>
      <c r="L534" s="73">
        <v>-133</v>
      </c>
      <c r="M534" s="73">
        <v>-74</v>
      </c>
      <c r="N534" s="73">
        <v>-48</v>
      </c>
      <c r="O534" s="73">
        <v>-26</v>
      </c>
      <c r="P534" s="73">
        <v>-74</v>
      </c>
      <c r="Q534" s="73">
        <v>-56</v>
      </c>
      <c r="R534" s="73">
        <v>0</v>
      </c>
      <c r="S534" s="73">
        <v>0</v>
      </c>
      <c r="T534" s="73">
        <v>0</v>
      </c>
      <c r="U534" s="73">
        <v>0</v>
      </c>
      <c r="V534" s="73">
        <v>0</v>
      </c>
      <c r="W534" s="73">
        <v>0</v>
      </c>
      <c r="X534" s="73">
        <v>0</v>
      </c>
      <c r="Y534" s="73">
        <v>0</v>
      </c>
      <c r="Z534" s="73">
        <v>2483</v>
      </c>
      <c r="AA534" s="73">
        <v>1799</v>
      </c>
      <c r="AB534" s="73">
        <v>0</v>
      </c>
      <c r="AC534" s="73">
        <v>0</v>
      </c>
      <c r="AD534" s="73">
        <v>0</v>
      </c>
      <c r="AE534" s="73">
        <v>0</v>
      </c>
      <c r="AF534" s="74">
        <f>tblData[[#This Row],[Gross Sales]]+tblData[[#This Row],[Trade Discounts]]+tblData[[#This Row],[Returns]]</f>
        <v>1533</v>
      </c>
      <c r="AG534" s="74">
        <f>tblData[[#This Row],[Material Cost]]+tblData[[#This Row],[Conversion Cost]]+tblData[[#This Row],[Inbound Freight]]</f>
        <v>-740</v>
      </c>
      <c r="AH534" s="74">
        <f>tblData[[#This Row],[Net Revenue]]+tblData[[#This Row],[COGS]]</f>
        <v>793</v>
      </c>
      <c r="AI534" s="74">
        <f>tblData[[#This Row],[Advertising]]+tblData[[#This Row],[Promotions]]</f>
        <v>-74</v>
      </c>
      <c r="AJ534" s="74">
        <f>tblData[[#This Row],[Outbound Logistics]]+tblData[[#This Row],[Direct Selling]]</f>
        <v>-130</v>
      </c>
      <c r="AK534" s="74">
        <f>tblData[[#This Row],[Gross Profit]]+tblData[[#This Row],[AP Spend]]+tblData[[#This Row],[Cost to Serve]]</f>
        <v>589</v>
      </c>
    </row>
    <row r="535" spans="2:37" x14ac:dyDescent="0.25">
      <c r="B535" s="71" t="s">
        <v>50</v>
      </c>
      <c r="C535" s="71">
        <v>2026</v>
      </c>
      <c r="D535" s="71">
        <v>2</v>
      </c>
      <c r="E535" s="71" t="s">
        <v>44</v>
      </c>
      <c r="F535" s="71" t="s">
        <v>41</v>
      </c>
      <c r="G535" s="72">
        <v>130.9</v>
      </c>
      <c r="H535" s="73">
        <v>1439</v>
      </c>
      <c r="I535" s="73">
        <v>-230</v>
      </c>
      <c r="J535" s="73">
        <v>-17</v>
      </c>
      <c r="K535" s="73">
        <v>-342</v>
      </c>
      <c r="L535" s="73">
        <v>-86</v>
      </c>
      <c r="M535" s="73">
        <v>-48</v>
      </c>
      <c r="N535" s="73">
        <v>-103</v>
      </c>
      <c r="O535" s="73">
        <v>-55</v>
      </c>
      <c r="P535" s="73">
        <v>-58</v>
      </c>
      <c r="Q535" s="73">
        <v>-43</v>
      </c>
      <c r="R535" s="73">
        <v>0</v>
      </c>
      <c r="S535" s="73">
        <v>0</v>
      </c>
      <c r="T535" s="73">
        <v>0</v>
      </c>
      <c r="U535" s="73">
        <v>0</v>
      </c>
      <c r="V535" s="73">
        <v>0</v>
      </c>
      <c r="W535" s="73">
        <v>0</v>
      </c>
      <c r="X535" s="73">
        <v>0</v>
      </c>
      <c r="Y535" s="73">
        <v>0</v>
      </c>
      <c r="Z535" s="73">
        <v>1931</v>
      </c>
      <c r="AA535" s="73">
        <v>1386</v>
      </c>
      <c r="AB535" s="73">
        <v>0</v>
      </c>
      <c r="AC535" s="73">
        <v>0</v>
      </c>
      <c r="AD535" s="73">
        <v>0</v>
      </c>
      <c r="AE535" s="73">
        <v>0</v>
      </c>
      <c r="AF535" s="74">
        <f>tblData[[#This Row],[Gross Sales]]+tblData[[#This Row],[Trade Discounts]]+tblData[[#This Row],[Returns]]</f>
        <v>1192</v>
      </c>
      <c r="AG535" s="74">
        <f>tblData[[#This Row],[Material Cost]]+tblData[[#This Row],[Conversion Cost]]+tblData[[#This Row],[Inbound Freight]]</f>
        <v>-476</v>
      </c>
      <c r="AH535" s="74">
        <f>tblData[[#This Row],[Net Revenue]]+tblData[[#This Row],[COGS]]</f>
        <v>716</v>
      </c>
      <c r="AI535" s="74">
        <f>tblData[[#This Row],[Advertising]]+tblData[[#This Row],[Promotions]]</f>
        <v>-158</v>
      </c>
      <c r="AJ535" s="74">
        <f>tblData[[#This Row],[Outbound Logistics]]+tblData[[#This Row],[Direct Selling]]</f>
        <v>-101</v>
      </c>
      <c r="AK535" s="74">
        <f>tblData[[#This Row],[Gross Profit]]+tblData[[#This Row],[AP Spend]]+tblData[[#This Row],[Cost to Serve]]</f>
        <v>457</v>
      </c>
    </row>
    <row r="536" spans="2:37" x14ac:dyDescent="0.25">
      <c r="B536" s="71" t="s">
        <v>50</v>
      </c>
      <c r="C536" s="71">
        <v>2026</v>
      </c>
      <c r="D536" s="71">
        <v>2</v>
      </c>
      <c r="E536" s="71" t="s">
        <v>44</v>
      </c>
      <c r="F536" s="71" t="s">
        <v>42</v>
      </c>
      <c r="G536" s="72">
        <v>171.4</v>
      </c>
      <c r="H536" s="73">
        <v>1028</v>
      </c>
      <c r="I536" s="73">
        <v>-165</v>
      </c>
      <c r="J536" s="73">
        <v>-12</v>
      </c>
      <c r="K536" s="73">
        <v>-326</v>
      </c>
      <c r="L536" s="73">
        <v>-81</v>
      </c>
      <c r="M536" s="73">
        <v>-45</v>
      </c>
      <c r="N536" s="73">
        <v>-20</v>
      </c>
      <c r="O536" s="73">
        <v>-11</v>
      </c>
      <c r="P536" s="73">
        <v>-41</v>
      </c>
      <c r="Q536" s="73">
        <v>-31</v>
      </c>
      <c r="R536" s="73">
        <v>0</v>
      </c>
      <c r="S536" s="73">
        <v>0</v>
      </c>
      <c r="T536" s="73">
        <v>0</v>
      </c>
      <c r="U536" s="73">
        <v>0</v>
      </c>
      <c r="V536" s="73">
        <v>0</v>
      </c>
      <c r="W536" s="73">
        <v>0</v>
      </c>
      <c r="X536" s="73">
        <v>0</v>
      </c>
      <c r="Y536" s="73">
        <v>0</v>
      </c>
      <c r="Z536" s="73">
        <v>1380</v>
      </c>
      <c r="AA536" s="73">
        <v>1613</v>
      </c>
      <c r="AB536" s="73">
        <v>0</v>
      </c>
      <c r="AC536" s="73">
        <v>0</v>
      </c>
      <c r="AD536" s="73">
        <v>0</v>
      </c>
      <c r="AE536" s="73">
        <v>0</v>
      </c>
      <c r="AF536" s="74">
        <f>tblData[[#This Row],[Gross Sales]]+tblData[[#This Row],[Trade Discounts]]+tblData[[#This Row],[Returns]]</f>
        <v>851</v>
      </c>
      <c r="AG536" s="74">
        <f>tblData[[#This Row],[Material Cost]]+tblData[[#This Row],[Conversion Cost]]+tblData[[#This Row],[Inbound Freight]]</f>
        <v>-452</v>
      </c>
      <c r="AH536" s="74">
        <f>tblData[[#This Row],[Net Revenue]]+tblData[[#This Row],[COGS]]</f>
        <v>399</v>
      </c>
      <c r="AI536" s="74">
        <f>tblData[[#This Row],[Advertising]]+tblData[[#This Row],[Promotions]]</f>
        <v>-31</v>
      </c>
      <c r="AJ536" s="74">
        <f>tblData[[#This Row],[Outbound Logistics]]+tblData[[#This Row],[Direct Selling]]</f>
        <v>-72</v>
      </c>
      <c r="AK536" s="74">
        <f>tblData[[#This Row],[Gross Profit]]+tblData[[#This Row],[AP Spend]]+tblData[[#This Row],[Cost to Serve]]</f>
        <v>296</v>
      </c>
    </row>
    <row r="537" spans="2:37" x14ac:dyDescent="0.25">
      <c r="B537" s="71" t="s">
        <v>50</v>
      </c>
      <c r="C537" s="71">
        <v>2026</v>
      </c>
      <c r="D537" s="71">
        <v>2</v>
      </c>
      <c r="E537" s="71" t="s">
        <v>44</v>
      </c>
      <c r="F537" s="71" t="s">
        <v>43</v>
      </c>
      <c r="G537" s="72">
        <v>34.299999999999997</v>
      </c>
      <c r="H537" s="73">
        <v>617</v>
      </c>
      <c r="I537" s="73">
        <v>-99</v>
      </c>
      <c r="J537" s="73">
        <v>-7</v>
      </c>
      <c r="K537" s="73">
        <v>-169</v>
      </c>
      <c r="L537" s="73">
        <v>-42</v>
      </c>
      <c r="M537" s="73">
        <v>-23</v>
      </c>
      <c r="N537" s="73">
        <v>-56</v>
      </c>
      <c r="O537" s="73">
        <v>-30</v>
      </c>
      <c r="P537" s="73">
        <v>-25</v>
      </c>
      <c r="Q537" s="73">
        <v>-19</v>
      </c>
      <c r="R537" s="73">
        <v>0</v>
      </c>
      <c r="S537" s="73">
        <v>0</v>
      </c>
      <c r="T537" s="73">
        <v>0</v>
      </c>
      <c r="U537" s="73">
        <v>0</v>
      </c>
      <c r="V537" s="73">
        <v>0</v>
      </c>
      <c r="W537" s="73">
        <v>0</v>
      </c>
      <c r="X537" s="73">
        <v>0</v>
      </c>
      <c r="Y537" s="73">
        <v>0</v>
      </c>
      <c r="Z537" s="73">
        <v>828</v>
      </c>
      <c r="AA537" s="73">
        <v>912</v>
      </c>
      <c r="AB537" s="73">
        <v>0</v>
      </c>
      <c r="AC537" s="73">
        <v>0</v>
      </c>
      <c r="AD537" s="73">
        <v>0</v>
      </c>
      <c r="AE537" s="73">
        <v>0</v>
      </c>
      <c r="AF537" s="74">
        <f>tblData[[#This Row],[Gross Sales]]+tblData[[#This Row],[Trade Discounts]]+tblData[[#This Row],[Returns]]</f>
        <v>511</v>
      </c>
      <c r="AG537" s="74">
        <f>tblData[[#This Row],[Material Cost]]+tblData[[#This Row],[Conversion Cost]]+tblData[[#This Row],[Inbound Freight]]</f>
        <v>-234</v>
      </c>
      <c r="AH537" s="74">
        <f>tblData[[#This Row],[Net Revenue]]+tblData[[#This Row],[COGS]]</f>
        <v>277</v>
      </c>
      <c r="AI537" s="74">
        <f>tblData[[#This Row],[Advertising]]+tblData[[#This Row],[Promotions]]</f>
        <v>-86</v>
      </c>
      <c r="AJ537" s="74">
        <f>tblData[[#This Row],[Outbound Logistics]]+tblData[[#This Row],[Direct Selling]]</f>
        <v>-44</v>
      </c>
      <c r="AK537" s="74">
        <f>tblData[[#This Row],[Gross Profit]]+tblData[[#This Row],[AP Spend]]+tblData[[#This Row],[Cost to Serve]]</f>
        <v>147</v>
      </c>
    </row>
    <row r="538" spans="2:37" x14ac:dyDescent="0.25">
      <c r="B538" s="71" t="s">
        <v>50</v>
      </c>
      <c r="C538" s="71">
        <v>2026</v>
      </c>
      <c r="D538" s="71">
        <v>2</v>
      </c>
      <c r="E538" s="71" t="s">
        <v>45</v>
      </c>
      <c r="F538" s="71" t="s">
        <v>38</v>
      </c>
      <c r="G538" s="72">
        <v>120</v>
      </c>
      <c r="H538" s="73">
        <v>1679</v>
      </c>
      <c r="I538" s="73">
        <v>-369</v>
      </c>
      <c r="J538" s="73">
        <v>-17</v>
      </c>
      <c r="K538" s="73">
        <v>-363</v>
      </c>
      <c r="L538" s="73">
        <v>-91</v>
      </c>
      <c r="M538" s="73">
        <v>-50</v>
      </c>
      <c r="N538" s="73">
        <v>-98</v>
      </c>
      <c r="O538" s="73">
        <v>-53</v>
      </c>
      <c r="P538" s="73">
        <v>-59</v>
      </c>
      <c r="Q538" s="73">
        <v>-34</v>
      </c>
      <c r="R538" s="73">
        <v>0</v>
      </c>
      <c r="S538" s="73">
        <v>0</v>
      </c>
      <c r="T538" s="73">
        <v>0</v>
      </c>
      <c r="U538" s="73">
        <v>0</v>
      </c>
      <c r="V538" s="73">
        <v>0</v>
      </c>
      <c r="W538" s="73">
        <v>0</v>
      </c>
      <c r="X538" s="73">
        <v>0</v>
      </c>
      <c r="Y538" s="73">
        <v>0</v>
      </c>
      <c r="Z538" s="73">
        <v>1886</v>
      </c>
      <c r="AA538" s="73">
        <v>1551</v>
      </c>
      <c r="AB538" s="73">
        <v>0</v>
      </c>
      <c r="AC538" s="73">
        <v>0</v>
      </c>
      <c r="AD538" s="73">
        <v>0</v>
      </c>
      <c r="AE538" s="73">
        <v>0</v>
      </c>
      <c r="AF538" s="74">
        <f>tblData[[#This Row],[Gross Sales]]+tblData[[#This Row],[Trade Discounts]]+tblData[[#This Row],[Returns]]</f>
        <v>1293</v>
      </c>
      <c r="AG538" s="74">
        <f>tblData[[#This Row],[Material Cost]]+tblData[[#This Row],[Conversion Cost]]+tblData[[#This Row],[Inbound Freight]]</f>
        <v>-504</v>
      </c>
      <c r="AH538" s="74">
        <f>tblData[[#This Row],[Net Revenue]]+tblData[[#This Row],[COGS]]</f>
        <v>789</v>
      </c>
      <c r="AI538" s="74">
        <f>tblData[[#This Row],[Advertising]]+tblData[[#This Row],[Promotions]]</f>
        <v>-151</v>
      </c>
      <c r="AJ538" s="74">
        <f>tblData[[#This Row],[Outbound Logistics]]+tblData[[#This Row],[Direct Selling]]</f>
        <v>-93</v>
      </c>
      <c r="AK538" s="74">
        <f>tblData[[#This Row],[Gross Profit]]+tblData[[#This Row],[AP Spend]]+tblData[[#This Row],[Cost to Serve]]</f>
        <v>545</v>
      </c>
    </row>
    <row r="539" spans="2:37" x14ac:dyDescent="0.25">
      <c r="B539" s="71" t="s">
        <v>50</v>
      </c>
      <c r="C539" s="71">
        <v>2026</v>
      </c>
      <c r="D539" s="71">
        <v>2</v>
      </c>
      <c r="E539" s="71" t="s">
        <v>45</v>
      </c>
      <c r="F539" s="71" t="s">
        <v>39</v>
      </c>
      <c r="G539" s="72">
        <v>159.9</v>
      </c>
      <c r="H539" s="73">
        <v>1439</v>
      </c>
      <c r="I539" s="73">
        <v>-317</v>
      </c>
      <c r="J539" s="73">
        <v>-14</v>
      </c>
      <c r="K539" s="73">
        <v>-373</v>
      </c>
      <c r="L539" s="73">
        <v>-93</v>
      </c>
      <c r="M539" s="73">
        <v>-52</v>
      </c>
      <c r="N539" s="73">
        <v>-56</v>
      </c>
      <c r="O539" s="73">
        <v>-30</v>
      </c>
      <c r="P539" s="73">
        <v>-50</v>
      </c>
      <c r="Q539" s="73">
        <v>-29</v>
      </c>
      <c r="R539" s="73">
        <v>0</v>
      </c>
      <c r="S539" s="73">
        <v>0</v>
      </c>
      <c r="T539" s="73">
        <v>0</v>
      </c>
      <c r="U539" s="73">
        <v>0</v>
      </c>
      <c r="V539" s="73">
        <v>0</v>
      </c>
      <c r="W539" s="73">
        <v>0</v>
      </c>
      <c r="X539" s="73">
        <v>0</v>
      </c>
      <c r="Y539" s="73">
        <v>0</v>
      </c>
      <c r="Z539" s="73">
        <v>1617</v>
      </c>
      <c r="AA539" s="73">
        <v>1344</v>
      </c>
      <c r="AB539" s="73">
        <v>0</v>
      </c>
      <c r="AC539" s="73">
        <v>0</v>
      </c>
      <c r="AD539" s="73">
        <v>0</v>
      </c>
      <c r="AE539" s="73">
        <v>0</v>
      </c>
      <c r="AF539" s="74">
        <f>tblData[[#This Row],[Gross Sales]]+tblData[[#This Row],[Trade Discounts]]+tblData[[#This Row],[Returns]]</f>
        <v>1108</v>
      </c>
      <c r="AG539" s="74">
        <f>tblData[[#This Row],[Material Cost]]+tblData[[#This Row],[Conversion Cost]]+tblData[[#This Row],[Inbound Freight]]</f>
        <v>-518</v>
      </c>
      <c r="AH539" s="74">
        <f>tblData[[#This Row],[Net Revenue]]+tblData[[#This Row],[COGS]]</f>
        <v>590</v>
      </c>
      <c r="AI539" s="74">
        <f>tblData[[#This Row],[Advertising]]+tblData[[#This Row],[Promotions]]</f>
        <v>-86</v>
      </c>
      <c r="AJ539" s="74">
        <f>tblData[[#This Row],[Outbound Logistics]]+tblData[[#This Row],[Direct Selling]]</f>
        <v>-79</v>
      </c>
      <c r="AK539" s="74">
        <f>tblData[[#This Row],[Gross Profit]]+tblData[[#This Row],[AP Spend]]+tblData[[#This Row],[Cost to Serve]]</f>
        <v>425</v>
      </c>
    </row>
    <row r="540" spans="2:37" x14ac:dyDescent="0.25">
      <c r="B540" s="71" t="s">
        <v>50</v>
      </c>
      <c r="C540" s="71">
        <v>2026</v>
      </c>
      <c r="D540" s="71">
        <v>2</v>
      </c>
      <c r="E540" s="71" t="s">
        <v>45</v>
      </c>
      <c r="F540" s="71" t="s">
        <v>40</v>
      </c>
      <c r="G540" s="72">
        <v>154.19999999999999</v>
      </c>
      <c r="H540" s="73">
        <v>1080</v>
      </c>
      <c r="I540" s="73">
        <v>-238</v>
      </c>
      <c r="J540" s="73">
        <v>-11</v>
      </c>
      <c r="K540" s="73">
        <v>-311</v>
      </c>
      <c r="L540" s="73">
        <v>-78</v>
      </c>
      <c r="M540" s="73">
        <v>-43</v>
      </c>
      <c r="N540" s="73">
        <v>-28</v>
      </c>
      <c r="O540" s="73">
        <v>-15</v>
      </c>
      <c r="P540" s="73">
        <v>-38</v>
      </c>
      <c r="Q540" s="73">
        <v>-22</v>
      </c>
      <c r="R540" s="73">
        <v>0</v>
      </c>
      <c r="S540" s="73">
        <v>0</v>
      </c>
      <c r="T540" s="73">
        <v>0</v>
      </c>
      <c r="U540" s="73">
        <v>0</v>
      </c>
      <c r="V540" s="73">
        <v>0</v>
      </c>
      <c r="W540" s="73">
        <v>0</v>
      </c>
      <c r="X540" s="73">
        <v>0</v>
      </c>
      <c r="Y540" s="73">
        <v>0</v>
      </c>
      <c r="Z540" s="73">
        <v>1212</v>
      </c>
      <c r="AA540" s="73">
        <v>1050</v>
      </c>
      <c r="AB540" s="73">
        <v>0</v>
      </c>
      <c r="AC540" s="73">
        <v>0</v>
      </c>
      <c r="AD540" s="73">
        <v>0</v>
      </c>
      <c r="AE540" s="73">
        <v>0</v>
      </c>
      <c r="AF540" s="74">
        <f>tblData[[#This Row],[Gross Sales]]+tblData[[#This Row],[Trade Discounts]]+tblData[[#This Row],[Returns]]</f>
        <v>831</v>
      </c>
      <c r="AG540" s="74">
        <f>tblData[[#This Row],[Material Cost]]+tblData[[#This Row],[Conversion Cost]]+tblData[[#This Row],[Inbound Freight]]</f>
        <v>-432</v>
      </c>
      <c r="AH540" s="74">
        <f>tblData[[#This Row],[Net Revenue]]+tblData[[#This Row],[COGS]]</f>
        <v>399</v>
      </c>
      <c r="AI540" s="74">
        <f>tblData[[#This Row],[Advertising]]+tblData[[#This Row],[Promotions]]</f>
        <v>-43</v>
      </c>
      <c r="AJ540" s="74">
        <f>tblData[[#This Row],[Outbound Logistics]]+tblData[[#This Row],[Direct Selling]]</f>
        <v>-60</v>
      </c>
      <c r="AK540" s="74">
        <f>tblData[[#This Row],[Gross Profit]]+tblData[[#This Row],[AP Spend]]+tblData[[#This Row],[Cost to Serve]]</f>
        <v>296</v>
      </c>
    </row>
    <row r="541" spans="2:37" x14ac:dyDescent="0.25">
      <c r="B541" s="71" t="s">
        <v>50</v>
      </c>
      <c r="C541" s="71">
        <v>2026</v>
      </c>
      <c r="D541" s="71">
        <v>2</v>
      </c>
      <c r="E541" s="71" t="s">
        <v>45</v>
      </c>
      <c r="F541" s="71" t="s">
        <v>41</v>
      </c>
      <c r="G541" s="72">
        <v>76.3</v>
      </c>
      <c r="H541" s="73">
        <v>840</v>
      </c>
      <c r="I541" s="73">
        <v>-185</v>
      </c>
      <c r="J541" s="73">
        <v>-8</v>
      </c>
      <c r="K541" s="73">
        <v>-200</v>
      </c>
      <c r="L541" s="73">
        <v>-50</v>
      </c>
      <c r="M541" s="73">
        <v>-28</v>
      </c>
      <c r="N541" s="73">
        <v>-60</v>
      </c>
      <c r="O541" s="73">
        <v>-32</v>
      </c>
      <c r="P541" s="73">
        <v>-29</v>
      </c>
      <c r="Q541" s="73">
        <v>-17</v>
      </c>
      <c r="R541" s="73">
        <v>0</v>
      </c>
      <c r="S541" s="73">
        <v>0</v>
      </c>
      <c r="T541" s="73">
        <v>0</v>
      </c>
      <c r="U541" s="73">
        <v>0</v>
      </c>
      <c r="V541" s="73">
        <v>0</v>
      </c>
      <c r="W541" s="73">
        <v>0</v>
      </c>
      <c r="X541" s="73">
        <v>0</v>
      </c>
      <c r="Y541" s="73">
        <v>0</v>
      </c>
      <c r="Z541" s="73">
        <v>943</v>
      </c>
      <c r="AA541" s="73">
        <v>808</v>
      </c>
      <c r="AB541" s="73">
        <v>0</v>
      </c>
      <c r="AC541" s="73">
        <v>0</v>
      </c>
      <c r="AD541" s="73">
        <v>0</v>
      </c>
      <c r="AE541" s="73">
        <v>0</v>
      </c>
      <c r="AF541" s="74">
        <f>tblData[[#This Row],[Gross Sales]]+tblData[[#This Row],[Trade Discounts]]+tblData[[#This Row],[Returns]]</f>
        <v>647</v>
      </c>
      <c r="AG541" s="74">
        <f>tblData[[#This Row],[Material Cost]]+tblData[[#This Row],[Conversion Cost]]+tblData[[#This Row],[Inbound Freight]]</f>
        <v>-278</v>
      </c>
      <c r="AH541" s="74">
        <f>tblData[[#This Row],[Net Revenue]]+tblData[[#This Row],[COGS]]</f>
        <v>369</v>
      </c>
      <c r="AI541" s="74">
        <f>tblData[[#This Row],[Advertising]]+tblData[[#This Row],[Promotions]]</f>
        <v>-92</v>
      </c>
      <c r="AJ541" s="74">
        <f>tblData[[#This Row],[Outbound Logistics]]+tblData[[#This Row],[Direct Selling]]</f>
        <v>-46</v>
      </c>
      <c r="AK541" s="74">
        <f>tblData[[#This Row],[Gross Profit]]+tblData[[#This Row],[AP Spend]]+tblData[[#This Row],[Cost to Serve]]</f>
        <v>231</v>
      </c>
    </row>
    <row r="542" spans="2:37" x14ac:dyDescent="0.25">
      <c r="B542" s="71" t="s">
        <v>50</v>
      </c>
      <c r="C542" s="71">
        <v>2026</v>
      </c>
      <c r="D542" s="71">
        <v>2</v>
      </c>
      <c r="E542" s="71" t="s">
        <v>45</v>
      </c>
      <c r="F542" s="71" t="s">
        <v>42</v>
      </c>
      <c r="G542" s="72">
        <v>100</v>
      </c>
      <c r="H542" s="73">
        <v>600</v>
      </c>
      <c r="I542" s="73">
        <v>-132</v>
      </c>
      <c r="J542" s="73">
        <v>-6</v>
      </c>
      <c r="K542" s="73">
        <v>-190</v>
      </c>
      <c r="L542" s="73">
        <v>-48</v>
      </c>
      <c r="M542" s="73">
        <v>-26</v>
      </c>
      <c r="N542" s="73">
        <v>-12</v>
      </c>
      <c r="O542" s="73">
        <v>-6</v>
      </c>
      <c r="P542" s="73">
        <v>-21</v>
      </c>
      <c r="Q542" s="73">
        <v>-12</v>
      </c>
      <c r="R542" s="73">
        <v>0</v>
      </c>
      <c r="S542" s="73">
        <v>0</v>
      </c>
      <c r="T542" s="73">
        <v>0</v>
      </c>
      <c r="U542" s="73">
        <v>0</v>
      </c>
      <c r="V542" s="73">
        <v>0</v>
      </c>
      <c r="W542" s="73">
        <v>0</v>
      </c>
      <c r="X542" s="73">
        <v>0</v>
      </c>
      <c r="Y542" s="73">
        <v>0</v>
      </c>
      <c r="Z542" s="73">
        <v>674</v>
      </c>
      <c r="AA542" s="73">
        <v>941</v>
      </c>
      <c r="AB542" s="73">
        <v>0</v>
      </c>
      <c r="AC542" s="73">
        <v>0</v>
      </c>
      <c r="AD542" s="73">
        <v>0</v>
      </c>
      <c r="AE542" s="73">
        <v>0</v>
      </c>
      <c r="AF542" s="74">
        <f>tblData[[#This Row],[Gross Sales]]+tblData[[#This Row],[Trade Discounts]]+tblData[[#This Row],[Returns]]</f>
        <v>462</v>
      </c>
      <c r="AG542" s="74">
        <f>tblData[[#This Row],[Material Cost]]+tblData[[#This Row],[Conversion Cost]]+tblData[[#This Row],[Inbound Freight]]</f>
        <v>-264</v>
      </c>
      <c r="AH542" s="74">
        <f>tblData[[#This Row],[Net Revenue]]+tblData[[#This Row],[COGS]]</f>
        <v>198</v>
      </c>
      <c r="AI542" s="74">
        <f>tblData[[#This Row],[Advertising]]+tblData[[#This Row],[Promotions]]</f>
        <v>-18</v>
      </c>
      <c r="AJ542" s="74">
        <f>tblData[[#This Row],[Outbound Logistics]]+tblData[[#This Row],[Direct Selling]]</f>
        <v>-33</v>
      </c>
      <c r="AK542" s="74">
        <f>tblData[[#This Row],[Gross Profit]]+tblData[[#This Row],[AP Spend]]+tblData[[#This Row],[Cost to Serve]]</f>
        <v>147</v>
      </c>
    </row>
    <row r="543" spans="2:37" x14ac:dyDescent="0.25">
      <c r="B543" s="71" t="s">
        <v>50</v>
      </c>
      <c r="C543" s="71">
        <v>2026</v>
      </c>
      <c r="D543" s="71">
        <v>2</v>
      </c>
      <c r="E543" s="71" t="s">
        <v>45</v>
      </c>
      <c r="F543" s="71" t="s">
        <v>43</v>
      </c>
      <c r="G543" s="72">
        <v>20</v>
      </c>
      <c r="H543" s="73">
        <v>360</v>
      </c>
      <c r="I543" s="73">
        <v>-79</v>
      </c>
      <c r="J543" s="73">
        <v>-4</v>
      </c>
      <c r="K543" s="73">
        <v>-98</v>
      </c>
      <c r="L543" s="73">
        <v>-25</v>
      </c>
      <c r="M543" s="73">
        <v>-14</v>
      </c>
      <c r="N543" s="73">
        <v>-33</v>
      </c>
      <c r="O543" s="73">
        <v>-18</v>
      </c>
      <c r="P543" s="73">
        <v>-13</v>
      </c>
      <c r="Q543" s="73">
        <v>-7</v>
      </c>
      <c r="R543" s="73">
        <v>0</v>
      </c>
      <c r="S543" s="73">
        <v>0</v>
      </c>
      <c r="T543" s="73">
        <v>0</v>
      </c>
      <c r="U543" s="73">
        <v>0</v>
      </c>
      <c r="V543" s="73">
        <v>0</v>
      </c>
      <c r="W543" s="73">
        <v>0</v>
      </c>
      <c r="X543" s="73">
        <v>0</v>
      </c>
      <c r="Y543" s="73">
        <v>0</v>
      </c>
      <c r="Z543" s="73">
        <v>404</v>
      </c>
      <c r="AA543" s="73">
        <v>532</v>
      </c>
      <c r="AB543" s="73">
        <v>0</v>
      </c>
      <c r="AC543" s="73">
        <v>0</v>
      </c>
      <c r="AD543" s="73">
        <v>0</v>
      </c>
      <c r="AE543" s="73">
        <v>0</v>
      </c>
      <c r="AF543" s="74">
        <f>tblData[[#This Row],[Gross Sales]]+tblData[[#This Row],[Trade Discounts]]+tblData[[#This Row],[Returns]]</f>
        <v>277</v>
      </c>
      <c r="AG543" s="74">
        <f>tblData[[#This Row],[Material Cost]]+tblData[[#This Row],[Conversion Cost]]+tblData[[#This Row],[Inbound Freight]]</f>
        <v>-137</v>
      </c>
      <c r="AH543" s="74">
        <f>tblData[[#This Row],[Net Revenue]]+tblData[[#This Row],[COGS]]</f>
        <v>140</v>
      </c>
      <c r="AI543" s="74">
        <f>tblData[[#This Row],[Advertising]]+tblData[[#This Row],[Promotions]]</f>
        <v>-51</v>
      </c>
      <c r="AJ543" s="74">
        <f>tblData[[#This Row],[Outbound Logistics]]+tblData[[#This Row],[Direct Selling]]</f>
        <v>-20</v>
      </c>
      <c r="AK543" s="74">
        <f>tblData[[#This Row],[Gross Profit]]+tblData[[#This Row],[AP Spend]]+tblData[[#This Row],[Cost to Serve]]</f>
        <v>69</v>
      </c>
    </row>
    <row r="544" spans="2:37" x14ac:dyDescent="0.25">
      <c r="B544" s="71" t="s">
        <v>50</v>
      </c>
      <c r="C544" s="71">
        <v>2026</v>
      </c>
      <c r="D544" s="71">
        <v>2</v>
      </c>
      <c r="E544" s="71" t="s">
        <v>46</v>
      </c>
      <c r="F544" s="71" t="s">
        <v>38</v>
      </c>
      <c r="G544" s="72">
        <v>137.1</v>
      </c>
      <c r="H544" s="73">
        <v>1919</v>
      </c>
      <c r="I544" s="73">
        <v>-211</v>
      </c>
      <c r="J544" s="73">
        <v>-77</v>
      </c>
      <c r="K544" s="73">
        <v>-415</v>
      </c>
      <c r="L544" s="73">
        <v>-104</v>
      </c>
      <c r="M544" s="73">
        <v>-58</v>
      </c>
      <c r="N544" s="73">
        <v>-112</v>
      </c>
      <c r="O544" s="73">
        <v>-60</v>
      </c>
      <c r="P544" s="73">
        <v>-144</v>
      </c>
      <c r="Q544" s="73">
        <v>-38</v>
      </c>
      <c r="R544" s="73">
        <v>0</v>
      </c>
      <c r="S544" s="73">
        <v>0</v>
      </c>
      <c r="T544" s="73">
        <v>0</v>
      </c>
      <c r="U544" s="73">
        <v>0</v>
      </c>
      <c r="V544" s="73">
        <v>0</v>
      </c>
      <c r="W544" s="73">
        <v>0</v>
      </c>
      <c r="X544" s="73">
        <v>0</v>
      </c>
      <c r="Y544" s="73">
        <v>0</v>
      </c>
      <c r="Z544" s="73">
        <v>1322</v>
      </c>
      <c r="AA544" s="73">
        <v>1773</v>
      </c>
      <c r="AB544" s="73">
        <v>0</v>
      </c>
      <c r="AC544" s="73">
        <v>0</v>
      </c>
      <c r="AD544" s="73">
        <v>0</v>
      </c>
      <c r="AE544" s="73">
        <v>0</v>
      </c>
      <c r="AF544" s="74">
        <f>tblData[[#This Row],[Gross Sales]]+tblData[[#This Row],[Trade Discounts]]+tblData[[#This Row],[Returns]]</f>
        <v>1631</v>
      </c>
      <c r="AG544" s="74">
        <f>tblData[[#This Row],[Material Cost]]+tblData[[#This Row],[Conversion Cost]]+tblData[[#This Row],[Inbound Freight]]</f>
        <v>-577</v>
      </c>
      <c r="AH544" s="74">
        <f>tblData[[#This Row],[Net Revenue]]+tblData[[#This Row],[COGS]]</f>
        <v>1054</v>
      </c>
      <c r="AI544" s="74">
        <f>tblData[[#This Row],[Advertising]]+tblData[[#This Row],[Promotions]]</f>
        <v>-172</v>
      </c>
      <c r="AJ544" s="74">
        <f>tblData[[#This Row],[Outbound Logistics]]+tblData[[#This Row],[Direct Selling]]</f>
        <v>-182</v>
      </c>
      <c r="AK544" s="74">
        <f>tblData[[#This Row],[Gross Profit]]+tblData[[#This Row],[AP Spend]]+tblData[[#This Row],[Cost to Serve]]</f>
        <v>700</v>
      </c>
    </row>
    <row r="545" spans="2:37" x14ac:dyDescent="0.25">
      <c r="B545" s="71" t="s">
        <v>50</v>
      </c>
      <c r="C545" s="71">
        <v>2026</v>
      </c>
      <c r="D545" s="71">
        <v>2</v>
      </c>
      <c r="E545" s="71" t="s">
        <v>46</v>
      </c>
      <c r="F545" s="71" t="s">
        <v>39</v>
      </c>
      <c r="G545" s="72">
        <v>182.8</v>
      </c>
      <c r="H545" s="73">
        <v>1645</v>
      </c>
      <c r="I545" s="73">
        <v>-181</v>
      </c>
      <c r="J545" s="73">
        <v>-66</v>
      </c>
      <c r="K545" s="73">
        <v>-426</v>
      </c>
      <c r="L545" s="73">
        <v>-107</v>
      </c>
      <c r="M545" s="73">
        <v>-59</v>
      </c>
      <c r="N545" s="73">
        <v>-64</v>
      </c>
      <c r="O545" s="73">
        <v>-35</v>
      </c>
      <c r="P545" s="73">
        <v>-123</v>
      </c>
      <c r="Q545" s="73">
        <v>-33</v>
      </c>
      <c r="R545" s="73">
        <v>0</v>
      </c>
      <c r="S545" s="73">
        <v>0</v>
      </c>
      <c r="T545" s="73">
        <v>0</v>
      </c>
      <c r="U545" s="73">
        <v>0</v>
      </c>
      <c r="V545" s="73">
        <v>0</v>
      </c>
      <c r="W545" s="73">
        <v>0</v>
      </c>
      <c r="X545" s="73">
        <v>0</v>
      </c>
      <c r="Y545" s="73">
        <v>0</v>
      </c>
      <c r="Z545" s="73">
        <v>1133</v>
      </c>
      <c r="AA545" s="73">
        <v>1536</v>
      </c>
      <c r="AB545" s="73">
        <v>0</v>
      </c>
      <c r="AC545" s="73">
        <v>0</v>
      </c>
      <c r="AD545" s="73">
        <v>0</v>
      </c>
      <c r="AE545" s="73">
        <v>0</v>
      </c>
      <c r="AF545" s="74">
        <f>tblData[[#This Row],[Gross Sales]]+tblData[[#This Row],[Trade Discounts]]+tblData[[#This Row],[Returns]]</f>
        <v>1398</v>
      </c>
      <c r="AG545" s="74">
        <f>tblData[[#This Row],[Material Cost]]+tblData[[#This Row],[Conversion Cost]]+tblData[[#This Row],[Inbound Freight]]</f>
        <v>-592</v>
      </c>
      <c r="AH545" s="74">
        <f>tblData[[#This Row],[Net Revenue]]+tblData[[#This Row],[COGS]]</f>
        <v>806</v>
      </c>
      <c r="AI545" s="74">
        <f>tblData[[#This Row],[Advertising]]+tblData[[#This Row],[Promotions]]</f>
        <v>-99</v>
      </c>
      <c r="AJ545" s="74">
        <f>tblData[[#This Row],[Outbound Logistics]]+tblData[[#This Row],[Direct Selling]]</f>
        <v>-156</v>
      </c>
      <c r="AK545" s="74">
        <f>tblData[[#This Row],[Gross Profit]]+tblData[[#This Row],[AP Spend]]+tblData[[#This Row],[Cost to Serve]]</f>
        <v>551</v>
      </c>
    </row>
    <row r="546" spans="2:37" x14ac:dyDescent="0.25">
      <c r="B546" s="71" t="s">
        <v>50</v>
      </c>
      <c r="C546" s="71">
        <v>2026</v>
      </c>
      <c r="D546" s="71">
        <v>2</v>
      </c>
      <c r="E546" s="71" t="s">
        <v>46</v>
      </c>
      <c r="F546" s="71" t="s">
        <v>40</v>
      </c>
      <c r="G546" s="72">
        <v>176.3</v>
      </c>
      <c r="H546" s="73">
        <v>1234</v>
      </c>
      <c r="I546" s="73">
        <v>-136</v>
      </c>
      <c r="J546" s="73">
        <v>-49</v>
      </c>
      <c r="K546" s="73">
        <v>-355</v>
      </c>
      <c r="L546" s="73">
        <v>-89</v>
      </c>
      <c r="M546" s="73">
        <v>-49</v>
      </c>
      <c r="N546" s="73">
        <v>-32</v>
      </c>
      <c r="O546" s="73">
        <v>-17</v>
      </c>
      <c r="P546" s="73">
        <v>-93</v>
      </c>
      <c r="Q546" s="73">
        <v>-25</v>
      </c>
      <c r="R546" s="73">
        <v>0</v>
      </c>
      <c r="S546" s="73">
        <v>0</v>
      </c>
      <c r="T546" s="73">
        <v>0</v>
      </c>
      <c r="U546" s="73">
        <v>0</v>
      </c>
      <c r="V546" s="73">
        <v>0</v>
      </c>
      <c r="W546" s="73">
        <v>0</v>
      </c>
      <c r="X546" s="73">
        <v>0</v>
      </c>
      <c r="Y546" s="73">
        <v>0</v>
      </c>
      <c r="Z546" s="73">
        <v>850</v>
      </c>
      <c r="AA546" s="73">
        <v>1200</v>
      </c>
      <c r="AB546" s="73">
        <v>0</v>
      </c>
      <c r="AC546" s="73">
        <v>0</v>
      </c>
      <c r="AD546" s="73">
        <v>0</v>
      </c>
      <c r="AE546" s="73">
        <v>0</v>
      </c>
      <c r="AF546" s="74">
        <f>tblData[[#This Row],[Gross Sales]]+tblData[[#This Row],[Trade Discounts]]+tblData[[#This Row],[Returns]]</f>
        <v>1049</v>
      </c>
      <c r="AG546" s="74">
        <f>tblData[[#This Row],[Material Cost]]+tblData[[#This Row],[Conversion Cost]]+tblData[[#This Row],[Inbound Freight]]</f>
        <v>-493</v>
      </c>
      <c r="AH546" s="74">
        <f>tblData[[#This Row],[Net Revenue]]+tblData[[#This Row],[COGS]]</f>
        <v>556</v>
      </c>
      <c r="AI546" s="74">
        <f>tblData[[#This Row],[Advertising]]+tblData[[#This Row],[Promotions]]</f>
        <v>-49</v>
      </c>
      <c r="AJ546" s="74">
        <f>tblData[[#This Row],[Outbound Logistics]]+tblData[[#This Row],[Direct Selling]]</f>
        <v>-118</v>
      </c>
      <c r="AK546" s="74">
        <f>tblData[[#This Row],[Gross Profit]]+tblData[[#This Row],[AP Spend]]+tblData[[#This Row],[Cost to Serve]]</f>
        <v>389</v>
      </c>
    </row>
    <row r="547" spans="2:37" x14ac:dyDescent="0.25">
      <c r="B547" s="71" t="s">
        <v>50</v>
      </c>
      <c r="C547" s="71">
        <v>2026</v>
      </c>
      <c r="D547" s="71">
        <v>2</v>
      </c>
      <c r="E547" s="71" t="s">
        <v>46</v>
      </c>
      <c r="F547" s="71" t="s">
        <v>41</v>
      </c>
      <c r="G547" s="72">
        <v>87.2</v>
      </c>
      <c r="H547" s="73">
        <v>960</v>
      </c>
      <c r="I547" s="73">
        <v>-106</v>
      </c>
      <c r="J547" s="73">
        <v>-38</v>
      </c>
      <c r="K547" s="73">
        <v>-228</v>
      </c>
      <c r="L547" s="73">
        <v>-57</v>
      </c>
      <c r="M547" s="73">
        <v>-32</v>
      </c>
      <c r="N547" s="73">
        <v>-69</v>
      </c>
      <c r="O547" s="73">
        <v>-37</v>
      </c>
      <c r="P547" s="73">
        <v>-72</v>
      </c>
      <c r="Q547" s="73">
        <v>-19</v>
      </c>
      <c r="R547" s="73">
        <v>0</v>
      </c>
      <c r="S547" s="73">
        <v>0</v>
      </c>
      <c r="T547" s="73">
        <v>0</v>
      </c>
      <c r="U547" s="73">
        <v>0</v>
      </c>
      <c r="V547" s="73">
        <v>0</v>
      </c>
      <c r="W547" s="73">
        <v>0</v>
      </c>
      <c r="X547" s="73">
        <v>0</v>
      </c>
      <c r="Y547" s="73">
        <v>0</v>
      </c>
      <c r="Z547" s="73">
        <v>661</v>
      </c>
      <c r="AA547" s="73">
        <v>924</v>
      </c>
      <c r="AB547" s="73">
        <v>0</v>
      </c>
      <c r="AC547" s="73">
        <v>0</v>
      </c>
      <c r="AD547" s="73">
        <v>0</v>
      </c>
      <c r="AE547" s="73">
        <v>0</v>
      </c>
      <c r="AF547" s="74">
        <f>tblData[[#This Row],[Gross Sales]]+tblData[[#This Row],[Trade Discounts]]+tblData[[#This Row],[Returns]]</f>
        <v>816</v>
      </c>
      <c r="AG547" s="74">
        <f>tblData[[#This Row],[Material Cost]]+tblData[[#This Row],[Conversion Cost]]+tblData[[#This Row],[Inbound Freight]]</f>
        <v>-317</v>
      </c>
      <c r="AH547" s="74">
        <f>tblData[[#This Row],[Net Revenue]]+tblData[[#This Row],[COGS]]</f>
        <v>499</v>
      </c>
      <c r="AI547" s="74">
        <f>tblData[[#This Row],[Advertising]]+tblData[[#This Row],[Promotions]]</f>
        <v>-106</v>
      </c>
      <c r="AJ547" s="74">
        <f>tblData[[#This Row],[Outbound Logistics]]+tblData[[#This Row],[Direct Selling]]</f>
        <v>-91</v>
      </c>
      <c r="AK547" s="74">
        <f>tblData[[#This Row],[Gross Profit]]+tblData[[#This Row],[AP Spend]]+tblData[[#This Row],[Cost to Serve]]</f>
        <v>302</v>
      </c>
    </row>
    <row r="548" spans="2:37" x14ac:dyDescent="0.25">
      <c r="B548" s="71" t="s">
        <v>50</v>
      </c>
      <c r="C548" s="71">
        <v>2026</v>
      </c>
      <c r="D548" s="71">
        <v>2</v>
      </c>
      <c r="E548" s="71" t="s">
        <v>46</v>
      </c>
      <c r="F548" s="71" t="s">
        <v>42</v>
      </c>
      <c r="G548" s="72">
        <v>114.2</v>
      </c>
      <c r="H548" s="73">
        <v>685</v>
      </c>
      <c r="I548" s="73">
        <v>-75</v>
      </c>
      <c r="J548" s="73">
        <v>-27</v>
      </c>
      <c r="K548" s="73">
        <v>-217</v>
      </c>
      <c r="L548" s="73">
        <v>-54</v>
      </c>
      <c r="M548" s="73">
        <v>-30</v>
      </c>
      <c r="N548" s="73">
        <v>-13</v>
      </c>
      <c r="O548" s="73">
        <v>-7</v>
      </c>
      <c r="P548" s="73">
        <v>-51</v>
      </c>
      <c r="Q548" s="73">
        <v>-14</v>
      </c>
      <c r="R548" s="73">
        <v>0</v>
      </c>
      <c r="S548" s="73">
        <v>0</v>
      </c>
      <c r="T548" s="73">
        <v>0</v>
      </c>
      <c r="U548" s="73">
        <v>0</v>
      </c>
      <c r="V548" s="73">
        <v>0</v>
      </c>
      <c r="W548" s="73">
        <v>0</v>
      </c>
      <c r="X548" s="73">
        <v>0</v>
      </c>
      <c r="Y548" s="73">
        <v>0</v>
      </c>
      <c r="Z548" s="73">
        <v>472</v>
      </c>
      <c r="AA548" s="73">
        <v>1075</v>
      </c>
      <c r="AB548" s="73">
        <v>0</v>
      </c>
      <c r="AC548" s="73">
        <v>0</v>
      </c>
      <c r="AD548" s="73">
        <v>0</v>
      </c>
      <c r="AE548" s="73">
        <v>0</v>
      </c>
      <c r="AF548" s="74">
        <f>tblData[[#This Row],[Gross Sales]]+tblData[[#This Row],[Trade Discounts]]+tblData[[#This Row],[Returns]]</f>
        <v>583</v>
      </c>
      <c r="AG548" s="74">
        <f>tblData[[#This Row],[Material Cost]]+tblData[[#This Row],[Conversion Cost]]+tblData[[#This Row],[Inbound Freight]]</f>
        <v>-301</v>
      </c>
      <c r="AH548" s="74">
        <f>tblData[[#This Row],[Net Revenue]]+tblData[[#This Row],[COGS]]</f>
        <v>282</v>
      </c>
      <c r="AI548" s="74">
        <f>tblData[[#This Row],[Advertising]]+tblData[[#This Row],[Promotions]]</f>
        <v>-20</v>
      </c>
      <c r="AJ548" s="74">
        <f>tblData[[#This Row],[Outbound Logistics]]+tblData[[#This Row],[Direct Selling]]</f>
        <v>-65</v>
      </c>
      <c r="AK548" s="74">
        <f>tblData[[#This Row],[Gross Profit]]+tblData[[#This Row],[AP Spend]]+tblData[[#This Row],[Cost to Serve]]</f>
        <v>197</v>
      </c>
    </row>
    <row r="549" spans="2:37" x14ac:dyDescent="0.25">
      <c r="B549" s="71" t="s">
        <v>50</v>
      </c>
      <c r="C549" s="71">
        <v>2026</v>
      </c>
      <c r="D549" s="71">
        <v>2</v>
      </c>
      <c r="E549" s="71" t="s">
        <v>46</v>
      </c>
      <c r="F549" s="71" t="s">
        <v>43</v>
      </c>
      <c r="G549" s="72">
        <v>22.8</v>
      </c>
      <c r="H549" s="73">
        <v>411</v>
      </c>
      <c r="I549" s="73">
        <v>-45</v>
      </c>
      <c r="J549" s="73">
        <v>-16</v>
      </c>
      <c r="K549" s="73">
        <v>-113</v>
      </c>
      <c r="L549" s="73">
        <v>-28</v>
      </c>
      <c r="M549" s="73">
        <v>-16</v>
      </c>
      <c r="N549" s="73">
        <v>-37</v>
      </c>
      <c r="O549" s="73">
        <v>-20</v>
      </c>
      <c r="P549" s="73">
        <v>-31</v>
      </c>
      <c r="Q549" s="73">
        <v>-8</v>
      </c>
      <c r="R549" s="73">
        <v>0</v>
      </c>
      <c r="S549" s="73">
        <v>0</v>
      </c>
      <c r="T549" s="73">
        <v>0</v>
      </c>
      <c r="U549" s="73">
        <v>0</v>
      </c>
      <c r="V549" s="73">
        <v>0</v>
      </c>
      <c r="W549" s="73">
        <v>0</v>
      </c>
      <c r="X549" s="73">
        <v>0</v>
      </c>
      <c r="Y549" s="73">
        <v>0</v>
      </c>
      <c r="Z549" s="73">
        <v>283</v>
      </c>
      <c r="AA549" s="73">
        <v>608</v>
      </c>
      <c r="AB549" s="73">
        <v>0</v>
      </c>
      <c r="AC549" s="73">
        <v>0</v>
      </c>
      <c r="AD549" s="73">
        <v>0</v>
      </c>
      <c r="AE549" s="73">
        <v>0</v>
      </c>
      <c r="AF549" s="74">
        <f>tblData[[#This Row],[Gross Sales]]+tblData[[#This Row],[Trade Discounts]]+tblData[[#This Row],[Returns]]</f>
        <v>350</v>
      </c>
      <c r="AG549" s="74">
        <f>tblData[[#This Row],[Material Cost]]+tblData[[#This Row],[Conversion Cost]]+tblData[[#This Row],[Inbound Freight]]</f>
        <v>-157</v>
      </c>
      <c r="AH549" s="74">
        <f>tblData[[#This Row],[Net Revenue]]+tblData[[#This Row],[COGS]]</f>
        <v>193</v>
      </c>
      <c r="AI549" s="74">
        <f>tblData[[#This Row],[Advertising]]+tblData[[#This Row],[Promotions]]</f>
        <v>-57</v>
      </c>
      <c r="AJ549" s="74">
        <f>tblData[[#This Row],[Outbound Logistics]]+tblData[[#This Row],[Direct Selling]]</f>
        <v>-39</v>
      </c>
      <c r="AK549" s="74">
        <f>tblData[[#This Row],[Gross Profit]]+tblData[[#This Row],[AP Spend]]+tblData[[#This Row],[Cost to Serve]]</f>
        <v>97</v>
      </c>
    </row>
    <row r="550" spans="2:37" x14ac:dyDescent="0.25">
      <c r="B550" s="71" t="s">
        <v>50</v>
      </c>
      <c r="C550" s="71">
        <v>2026</v>
      </c>
      <c r="D550" s="71">
        <v>2</v>
      </c>
      <c r="E550" s="71" t="s">
        <v>47</v>
      </c>
      <c r="F550" s="71" t="s">
        <v>38</v>
      </c>
      <c r="G550" s="72">
        <v>51.4</v>
      </c>
      <c r="H550" s="73">
        <v>720</v>
      </c>
      <c r="I550" s="73">
        <v>-22</v>
      </c>
      <c r="J550" s="73">
        <v>-36</v>
      </c>
      <c r="K550" s="73">
        <v>-155</v>
      </c>
      <c r="L550" s="73">
        <v>-39</v>
      </c>
      <c r="M550" s="73">
        <v>-22</v>
      </c>
      <c r="N550" s="73">
        <v>-42</v>
      </c>
      <c r="O550" s="73">
        <v>-23</v>
      </c>
      <c r="P550" s="73">
        <v>-86</v>
      </c>
      <c r="Q550" s="73">
        <v>-29</v>
      </c>
      <c r="R550" s="73">
        <v>0</v>
      </c>
      <c r="S550" s="73">
        <v>0</v>
      </c>
      <c r="T550" s="73">
        <v>0</v>
      </c>
      <c r="U550" s="73">
        <v>0</v>
      </c>
      <c r="V550" s="73">
        <v>0</v>
      </c>
      <c r="W550" s="73">
        <v>0</v>
      </c>
      <c r="X550" s="73">
        <v>0</v>
      </c>
      <c r="Y550" s="73">
        <v>0</v>
      </c>
      <c r="Z550" s="73">
        <v>64</v>
      </c>
      <c r="AA550" s="73">
        <v>665</v>
      </c>
      <c r="AB550" s="73">
        <v>0</v>
      </c>
      <c r="AC550" s="73">
        <v>0</v>
      </c>
      <c r="AD550" s="73">
        <v>0</v>
      </c>
      <c r="AE550" s="73">
        <v>0</v>
      </c>
      <c r="AF550" s="74">
        <f>tblData[[#This Row],[Gross Sales]]+tblData[[#This Row],[Trade Discounts]]+tblData[[#This Row],[Returns]]</f>
        <v>662</v>
      </c>
      <c r="AG550" s="74">
        <f>tblData[[#This Row],[Material Cost]]+tblData[[#This Row],[Conversion Cost]]+tblData[[#This Row],[Inbound Freight]]</f>
        <v>-216</v>
      </c>
      <c r="AH550" s="74">
        <f>tblData[[#This Row],[Net Revenue]]+tblData[[#This Row],[COGS]]</f>
        <v>446</v>
      </c>
      <c r="AI550" s="74">
        <f>tblData[[#This Row],[Advertising]]+tblData[[#This Row],[Promotions]]</f>
        <v>-65</v>
      </c>
      <c r="AJ550" s="74">
        <f>tblData[[#This Row],[Outbound Logistics]]+tblData[[#This Row],[Direct Selling]]</f>
        <v>-115</v>
      </c>
      <c r="AK550" s="74">
        <f>tblData[[#This Row],[Gross Profit]]+tblData[[#This Row],[AP Spend]]+tblData[[#This Row],[Cost to Serve]]</f>
        <v>266</v>
      </c>
    </row>
    <row r="551" spans="2:37" x14ac:dyDescent="0.25">
      <c r="B551" s="71" t="s">
        <v>50</v>
      </c>
      <c r="C551" s="71">
        <v>2026</v>
      </c>
      <c r="D551" s="71">
        <v>2</v>
      </c>
      <c r="E551" s="71" t="s">
        <v>47</v>
      </c>
      <c r="F551" s="71" t="s">
        <v>39</v>
      </c>
      <c r="G551" s="72">
        <v>68.5</v>
      </c>
      <c r="H551" s="73">
        <v>617</v>
      </c>
      <c r="I551" s="73">
        <v>-19</v>
      </c>
      <c r="J551" s="73">
        <v>-31</v>
      </c>
      <c r="K551" s="73">
        <v>-160</v>
      </c>
      <c r="L551" s="73">
        <v>-40</v>
      </c>
      <c r="M551" s="73">
        <v>-22</v>
      </c>
      <c r="N551" s="73">
        <v>-24</v>
      </c>
      <c r="O551" s="73">
        <v>-13</v>
      </c>
      <c r="P551" s="73">
        <v>-74</v>
      </c>
      <c r="Q551" s="73">
        <v>-25</v>
      </c>
      <c r="R551" s="73">
        <v>0</v>
      </c>
      <c r="S551" s="73">
        <v>0</v>
      </c>
      <c r="T551" s="73">
        <v>0</v>
      </c>
      <c r="U551" s="73">
        <v>0</v>
      </c>
      <c r="V551" s="73">
        <v>0</v>
      </c>
      <c r="W551" s="73">
        <v>0</v>
      </c>
      <c r="X551" s="73">
        <v>0</v>
      </c>
      <c r="Y551" s="73">
        <v>0</v>
      </c>
      <c r="Z551" s="73">
        <v>55</v>
      </c>
      <c r="AA551" s="73">
        <v>576</v>
      </c>
      <c r="AB551" s="73">
        <v>0</v>
      </c>
      <c r="AC551" s="73">
        <v>0</v>
      </c>
      <c r="AD551" s="73">
        <v>0</v>
      </c>
      <c r="AE551" s="73">
        <v>0</v>
      </c>
      <c r="AF551" s="74">
        <f>tblData[[#This Row],[Gross Sales]]+tblData[[#This Row],[Trade Discounts]]+tblData[[#This Row],[Returns]]</f>
        <v>567</v>
      </c>
      <c r="AG551" s="74">
        <f>tblData[[#This Row],[Material Cost]]+tblData[[#This Row],[Conversion Cost]]+tblData[[#This Row],[Inbound Freight]]</f>
        <v>-222</v>
      </c>
      <c r="AH551" s="74">
        <f>tblData[[#This Row],[Net Revenue]]+tblData[[#This Row],[COGS]]</f>
        <v>345</v>
      </c>
      <c r="AI551" s="74">
        <f>tblData[[#This Row],[Advertising]]+tblData[[#This Row],[Promotions]]</f>
        <v>-37</v>
      </c>
      <c r="AJ551" s="74">
        <f>tblData[[#This Row],[Outbound Logistics]]+tblData[[#This Row],[Direct Selling]]</f>
        <v>-99</v>
      </c>
      <c r="AK551" s="74">
        <f>tblData[[#This Row],[Gross Profit]]+tblData[[#This Row],[AP Spend]]+tblData[[#This Row],[Cost to Serve]]</f>
        <v>209</v>
      </c>
    </row>
    <row r="552" spans="2:37" x14ac:dyDescent="0.25">
      <c r="B552" s="71" t="s">
        <v>50</v>
      </c>
      <c r="C552" s="71">
        <v>2026</v>
      </c>
      <c r="D552" s="71">
        <v>2</v>
      </c>
      <c r="E552" s="71" t="s">
        <v>47</v>
      </c>
      <c r="F552" s="71" t="s">
        <v>40</v>
      </c>
      <c r="G552" s="72">
        <v>66.099999999999994</v>
      </c>
      <c r="H552" s="73">
        <v>463</v>
      </c>
      <c r="I552" s="73">
        <v>-14</v>
      </c>
      <c r="J552" s="73">
        <v>-23</v>
      </c>
      <c r="K552" s="73">
        <v>-133</v>
      </c>
      <c r="L552" s="73">
        <v>-33</v>
      </c>
      <c r="M552" s="73">
        <v>-19</v>
      </c>
      <c r="N552" s="73">
        <v>-12</v>
      </c>
      <c r="O552" s="73">
        <v>-6</v>
      </c>
      <c r="P552" s="73">
        <v>-56</v>
      </c>
      <c r="Q552" s="73">
        <v>-19</v>
      </c>
      <c r="R552" s="73">
        <v>0</v>
      </c>
      <c r="S552" s="73">
        <v>0</v>
      </c>
      <c r="T552" s="73">
        <v>0</v>
      </c>
      <c r="U552" s="73">
        <v>0</v>
      </c>
      <c r="V552" s="73">
        <v>0</v>
      </c>
      <c r="W552" s="73">
        <v>0</v>
      </c>
      <c r="X552" s="73">
        <v>0</v>
      </c>
      <c r="Y552" s="73">
        <v>0</v>
      </c>
      <c r="Z552" s="73">
        <v>41</v>
      </c>
      <c r="AA552" s="73">
        <v>450</v>
      </c>
      <c r="AB552" s="73">
        <v>0</v>
      </c>
      <c r="AC552" s="73">
        <v>0</v>
      </c>
      <c r="AD552" s="73">
        <v>0</v>
      </c>
      <c r="AE552" s="73">
        <v>0</v>
      </c>
      <c r="AF552" s="74">
        <f>tblData[[#This Row],[Gross Sales]]+tblData[[#This Row],[Trade Discounts]]+tblData[[#This Row],[Returns]]</f>
        <v>426</v>
      </c>
      <c r="AG552" s="74">
        <f>tblData[[#This Row],[Material Cost]]+tblData[[#This Row],[Conversion Cost]]+tblData[[#This Row],[Inbound Freight]]</f>
        <v>-185</v>
      </c>
      <c r="AH552" s="74">
        <f>tblData[[#This Row],[Net Revenue]]+tblData[[#This Row],[COGS]]</f>
        <v>241</v>
      </c>
      <c r="AI552" s="74">
        <f>tblData[[#This Row],[Advertising]]+tblData[[#This Row],[Promotions]]</f>
        <v>-18</v>
      </c>
      <c r="AJ552" s="74">
        <f>tblData[[#This Row],[Outbound Logistics]]+tblData[[#This Row],[Direct Selling]]</f>
        <v>-75</v>
      </c>
      <c r="AK552" s="74">
        <f>tblData[[#This Row],[Gross Profit]]+tblData[[#This Row],[AP Spend]]+tblData[[#This Row],[Cost to Serve]]</f>
        <v>148</v>
      </c>
    </row>
    <row r="553" spans="2:37" x14ac:dyDescent="0.25">
      <c r="B553" s="71" t="s">
        <v>50</v>
      </c>
      <c r="C553" s="71">
        <v>2026</v>
      </c>
      <c r="D553" s="71">
        <v>2</v>
      </c>
      <c r="E553" s="71" t="s">
        <v>47</v>
      </c>
      <c r="F553" s="71" t="s">
        <v>41</v>
      </c>
      <c r="G553" s="72">
        <v>32.700000000000003</v>
      </c>
      <c r="H553" s="73">
        <v>360</v>
      </c>
      <c r="I553" s="73">
        <v>-11</v>
      </c>
      <c r="J553" s="73">
        <v>-18</v>
      </c>
      <c r="K553" s="73">
        <v>-86</v>
      </c>
      <c r="L553" s="73">
        <v>-21</v>
      </c>
      <c r="M553" s="73">
        <v>-12</v>
      </c>
      <c r="N553" s="73">
        <v>-26</v>
      </c>
      <c r="O553" s="73">
        <v>-14</v>
      </c>
      <c r="P553" s="73">
        <v>-43</v>
      </c>
      <c r="Q553" s="73">
        <v>-14</v>
      </c>
      <c r="R553" s="73">
        <v>0</v>
      </c>
      <c r="S553" s="73">
        <v>0</v>
      </c>
      <c r="T553" s="73">
        <v>0</v>
      </c>
      <c r="U553" s="73">
        <v>0</v>
      </c>
      <c r="V553" s="73">
        <v>0</v>
      </c>
      <c r="W553" s="73">
        <v>0</v>
      </c>
      <c r="X553" s="73">
        <v>0</v>
      </c>
      <c r="Y553" s="73">
        <v>0</v>
      </c>
      <c r="Z553" s="73">
        <v>32</v>
      </c>
      <c r="AA553" s="73">
        <v>346</v>
      </c>
      <c r="AB553" s="73">
        <v>0</v>
      </c>
      <c r="AC553" s="73">
        <v>0</v>
      </c>
      <c r="AD553" s="73">
        <v>0</v>
      </c>
      <c r="AE553" s="73">
        <v>0</v>
      </c>
      <c r="AF553" s="74">
        <f>tblData[[#This Row],[Gross Sales]]+tblData[[#This Row],[Trade Discounts]]+tblData[[#This Row],[Returns]]</f>
        <v>331</v>
      </c>
      <c r="AG553" s="74">
        <f>tblData[[#This Row],[Material Cost]]+tblData[[#This Row],[Conversion Cost]]+tblData[[#This Row],[Inbound Freight]]</f>
        <v>-119</v>
      </c>
      <c r="AH553" s="74">
        <f>tblData[[#This Row],[Net Revenue]]+tblData[[#This Row],[COGS]]</f>
        <v>212</v>
      </c>
      <c r="AI553" s="74">
        <f>tblData[[#This Row],[Advertising]]+tblData[[#This Row],[Promotions]]</f>
        <v>-40</v>
      </c>
      <c r="AJ553" s="74">
        <f>tblData[[#This Row],[Outbound Logistics]]+tblData[[#This Row],[Direct Selling]]</f>
        <v>-57</v>
      </c>
      <c r="AK553" s="74">
        <f>tblData[[#This Row],[Gross Profit]]+tblData[[#This Row],[AP Spend]]+tblData[[#This Row],[Cost to Serve]]</f>
        <v>115</v>
      </c>
    </row>
    <row r="554" spans="2:37" x14ac:dyDescent="0.25">
      <c r="B554" s="71" t="s">
        <v>50</v>
      </c>
      <c r="C554" s="71">
        <v>2026</v>
      </c>
      <c r="D554" s="71">
        <v>2</v>
      </c>
      <c r="E554" s="71" t="s">
        <v>47</v>
      </c>
      <c r="F554" s="71" t="s">
        <v>42</v>
      </c>
      <c r="G554" s="72">
        <v>42.8</v>
      </c>
      <c r="H554" s="73">
        <v>257</v>
      </c>
      <c r="I554" s="73">
        <v>-8</v>
      </c>
      <c r="J554" s="73">
        <v>-13</v>
      </c>
      <c r="K554" s="73">
        <v>-81</v>
      </c>
      <c r="L554" s="73">
        <v>-20</v>
      </c>
      <c r="M554" s="73">
        <v>-11</v>
      </c>
      <c r="N554" s="73">
        <v>-5</v>
      </c>
      <c r="O554" s="73">
        <v>-3</v>
      </c>
      <c r="P554" s="73">
        <v>-31</v>
      </c>
      <c r="Q554" s="73">
        <v>-10</v>
      </c>
      <c r="R554" s="73">
        <v>0</v>
      </c>
      <c r="S554" s="73">
        <v>0</v>
      </c>
      <c r="T554" s="73">
        <v>0</v>
      </c>
      <c r="U554" s="73">
        <v>0</v>
      </c>
      <c r="V554" s="73">
        <v>0</v>
      </c>
      <c r="W554" s="73">
        <v>0</v>
      </c>
      <c r="X554" s="73">
        <v>0</v>
      </c>
      <c r="Y554" s="73">
        <v>0</v>
      </c>
      <c r="Z554" s="73">
        <v>23</v>
      </c>
      <c r="AA554" s="73">
        <v>403</v>
      </c>
      <c r="AB554" s="73">
        <v>0</v>
      </c>
      <c r="AC554" s="73">
        <v>0</v>
      </c>
      <c r="AD554" s="73">
        <v>0</v>
      </c>
      <c r="AE554" s="73">
        <v>0</v>
      </c>
      <c r="AF554" s="74">
        <f>tblData[[#This Row],[Gross Sales]]+tblData[[#This Row],[Trade Discounts]]+tblData[[#This Row],[Returns]]</f>
        <v>236</v>
      </c>
      <c r="AG554" s="74">
        <f>tblData[[#This Row],[Material Cost]]+tblData[[#This Row],[Conversion Cost]]+tblData[[#This Row],[Inbound Freight]]</f>
        <v>-112</v>
      </c>
      <c r="AH554" s="74">
        <f>tblData[[#This Row],[Net Revenue]]+tblData[[#This Row],[COGS]]</f>
        <v>124</v>
      </c>
      <c r="AI554" s="74">
        <f>tblData[[#This Row],[Advertising]]+tblData[[#This Row],[Promotions]]</f>
        <v>-8</v>
      </c>
      <c r="AJ554" s="74">
        <f>tblData[[#This Row],[Outbound Logistics]]+tblData[[#This Row],[Direct Selling]]</f>
        <v>-41</v>
      </c>
      <c r="AK554" s="74">
        <f>tblData[[#This Row],[Gross Profit]]+tblData[[#This Row],[AP Spend]]+tblData[[#This Row],[Cost to Serve]]</f>
        <v>75</v>
      </c>
    </row>
    <row r="555" spans="2:37" x14ac:dyDescent="0.25">
      <c r="B555" s="71" t="s">
        <v>50</v>
      </c>
      <c r="C555" s="71">
        <v>2026</v>
      </c>
      <c r="D555" s="71">
        <v>2</v>
      </c>
      <c r="E555" s="71" t="s">
        <v>47</v>
      </c>
      <c r="F555" s="71" t="s">
        <v>43</v>
      </c>
      <c r="G555" s="72">
        <v>8.6</v>
      </c>
      <c r="H555" s="73">
        <v>154</v>
      </c>
      <c r="I555" s="73">
        <v>-5</v>
      </c>
      <c r="J555" s="73">
        <v>-8</v>
      </c>
      <c r="K555" s="73">
        <v>-42</v>
      </c>
      <c r="L555" s="73">
        <v>-11</v>
      </c>
      <c r="M555" s="73">
        <v>-6</v>
      </c>
      <c r="N555" s="73">
        <v>-14</v>
      </c>
      <c r="O555" s="73">
        <v>-8</v>
      </c>
      <c r="P555" s="73">
        <v>-19</v>
      </c>
      <c r="Q555" s="73">
        <v>-6</v>
      </c>
      <c r="R555" s="73">
        <v>0</v>
      </c>
      <c r="S555" s="73">
        <v>0</v>
      </c>
      <c r="T555" s="73">
        <v>0</v>
      </c>
      <c r="U555" s="73">
        <v>0</v>
      </c>
      <c r="V555" s="73">
        <v>0</v>
      </c>
      <c r="W555" s="73">
        <v>0</v>
      </c>
      <c r="X555" s="73">
        <v>0</v>
      </c>
      <c r="Y555" s="73">
        <v>0</v>
      </c>
      <c r="Z555" s="73">
        <v>14</v>
      </c>
      <c r="AA555" s="73">
        <v>228</v>
      </c>
      <c r="AB555" s="73">
        <v>0</v>
      </c>
      <c r="AC555" s="73">
        <v>0</v>
      </c>
      <c r="AD555" s="73">
        <v>0</v>
      </c>
      <c r="AE555" s="73">
        <v>0</v>
      </c>
      <c r="AF555" s="74">
        <f>tblData[[#This Row],[Gross Sales]]+tblData[[#This Row],[Trade Discounts]]+tblData[[#This Row],[Returns]]</f>
        <v>141</v>
      </c>
      <c r="AG555" s="74">
        <f>tblData[[#This Row],[Material Cost]]+tblData[[#This Row],[Conversion Cost]]+tblData[[#This Row],[Inbound Freight]]</f>
        <v>-59</v>
      </c>
      <c r="AH555" s="74">
        <f>tblData[[#This Row],[Net Revenue]]+tblData[[#This Row],[COGS]]</f>
        <v>82</v>
      </c>
      <c r="AI555" s="74">
        <f>tblData[[#This Row],[Advertising]]+tblData[[#This Row],[Promotions]]</f>
        <v>-22</v>
      </c>
      <c r="AJ555" s="74">
        <f>tblData[[#This Row],[Outbound Logistics]]+tblData[[#This Row],[Direct Selling]]</f>
        <v>-25</v>
      </c>
      <c r="AK555" s="74">
        <f>tblData[[#This Row],[Gross Profit]]+tblData[[#This Row],[AP Spend]]+tblData[[#This Row],[Cost to Serve]]</f>
        <v>35</v>
      </c>
    </row>
    <row r="556" spans="2:37" x14ac:dyDescent="0.25">
      <c r="B556" s="71" t="s">
        <v>50</v>
      </c>
      <c r="C556" s="71">
        <v>2026</v>
      </c>
      <c r="D556" s="71">
        <v>2</v>
      </c>
      <c r="E556" s="71" t="s">
        <v>48</v>
      </c>
      <c r="F556" s="71" t="s">
        <v>38</v>
      </c>
      <c r="G556" s="72">
        <v>85.7</v>
      </c>
      <c r="H556" s="73">
        <v>1200</v>
      </c>
      <c r="I556" s="73">
        <v>-108</v>
      </c>
      <c r="J556" s="73">
        <v>-12</v>
      </c>
      <c r="K556" s="73">
        <v>-259</v>
      </c>
      <c r="L556" s="73">
        <v>-65</v>
      </c>
      <c r="M556" s="73">
        <v>-36</v>
      </c>
      <c r="N556" s="73">
        <v>-70</v>
      </c>
      <c r="O556" s="73">
        <v>-38</v>
      </c>
      <c r="P556" s="73">
        <v>-36</v>
      </c>
      <c r="Q556" s="73">
        <v>-18</v>
      </c>
      <c r="R556" s="73">
        <v>0</v>
      </c>
      <c r="S556" s="73">
        <v>0</v>
      </c>
      <c r="T556" s="73">
        <v>0</v>
      </c>
      <c r="U556" s="73">
        <v>0</v>
      </c>
      <c r="V556" s="73">
        <v>0</v>
      </c>
      <c r="W556" s="73">
        <v>0</v>
      </c>
      <c r="X556" s="73">
        <v>0</v>
      </c>
      <c r="Y556" s="73">
        <v>0</v>
      </c>
      <c r="Z556" s="73">
        <v>2449</v>
      </c>
      <c r="AA556" s="73">
        <v>1108</v>
      </c>
      <c r="AB556" s="73">
        <v>0</v>
      </c>
      <c r="AC556" s="73">
        <v>0</v>
      </c>
      <c r="AD556" s="73">
        <v>0</v>
      </c>
      <c r="AE556" s="73">
        <v>0</v>
      </c>
      <c r="AF556" s="74">
        <f>tblData[[#This Row],[Gross Sales]]+tblData[[#This Row],[Trade Discounts]]+tblData[[#This Row],[Returns]]</f>
        <v>1080</v>
      </c>
      <c r="AG556" s="74">
        <f>tblData[[#This Row],[Material Cost]]+tblData[[#This Row],[Conversion Cost]]+tblData[[#This Row],[Inbound Freight]]</f>
        <v>-360</v>
      </c>
      <c r="AH556" s="74">
        <f>tblData[[#This Row],[Net Revenue]]+tblData[[#This Row],[COGS]]</f>
        <v>720</v>
      </c>
      <c r="AI556" s="74">
        <f>tblData[[#This Row],[Advertising]]+tblData[[#This Row],[Promotions]]</f>
        <v>-108</v>
      </c>
      <c r="AJ556" s="74">
        <f>tblData[[#This Row],[Outbound Logistics]]+tblData[[#This Row],[Direct Selling]]</f>
        <v>-54</v>
      </c>
      <c r="AK556" s="74">
        <f>tblData[[#This Row],[Gross Profit]]+tblData[[#This Row],[AP Spend]]+tblData[[#This Row],[Cost to Serve]]</f>
        <v>558</v>
      </c>
    </row>
    <row r="557" spans="2:37" x14ac:dyDescent="0.25">
      <c r="B557" s="71" t="s">
        <v>50</v>
      </c>
      <c r="C557" s="71">
        <v>2026</v>
      </c>
      <c r="D557" s="71">
        <v>2</v>
      </c>
      <c r="E557" s="71" t="s">
        <v>48</v>
      </c>
      <c r="F557" s="71" t="s">
        <v>39</v>
      </c>
      <c r="G557" s="72">
        <v>114.2</v>
      </c>
      <c r="H557" s="73">
        <v>1028</v>
      </c>
      <c r="I557" s="73">
        <v>-93</v>
      </c>
      <c r="J557" s="73">
        <v>-10</v>
      </c>
      <c r="K557" s="73">
        <v>-266</v>
      </c>
      <c r="L557" s="73">
        <v>-67</v>
      </c>
      <c r="M557" s="73">
        <v>-37</v>
      </c>
      <c r="N557" s="73">
        <v>-40</v>
      </c>
      <c r="O557" s="73">
        <v>-22</v>
      </c>
      <c r="P557" s="73">
        <v>-31</v>
      </c>
      <c r="Q557" s="73">
        <v>-15</v>
      </c>
      <c r="R557" s="73">
        <v>0</v>
      </c>
      <c r="S557" s="73">
        <v>0</v>
      </c>
      <c r="T557" s="73">
        <v>0</v>
      </c>
      <c r="U557" s="73">
        <v>0</v>
      </c>
      <c r="V557" s="73">
        <v>0</v>
      </c>
      <c r="W557" s="73">
        <v>0</v>
      </c>
      <c r="X557" s="73">
        <v>0</v>
      </c>
      <c r="Y557" s="73">
        <v>0</v>
      </c>
      <c r="Z557" s="73">
        <v>2099</v>
      </c>
      <c r="AA557" s="73">
        <v>960</v>
      </c>
      <c r="AB557" s="73">
        <v>0</v>
      </c>
      <c r="AC557" s="73">
        <v>0</v>
      </c>
      <c r="AD557" s="73">
        <v>0</v>
      </c>
      <c r="AE557" s="73">
        <v>0</v>
      </c>
      <c r="AF557" s="74">
        <f>tblData[[#This Row],[Gross Sales]]+tblData[[#This Row],[Trade Discounts]]+tblData[[#This Row],[Returns]]</f>
        <v>925</v>
      </c>
      <c r="AG557" s="74">
        <f>tblData[[#This Row],[Material Cost]]+tblData[[#This Row],[Conversion Cost]]+tblData[[#This Row],[Inbound Freight]]</f>
        <v>-370</v>
      </c>
      <c r="AH557" s="74">
        <f>tblData[[#This Row],[Net Revenue]]+tblData[[#This Row],[COGS]]</f>
        <v>555</v>
      </c>
      <c r="AI557" s="74">
        <f>tblData[[#This Row],[Advertising]]+tblData[[#This Row],[Promotions]]</f>
        <v>-62</v>
      </c>
      <c r="AJ557" s="74">
        <f>tblData[[#This Row],[Outbound Logistics]]+tblData[[#This Row],[Direct Selling]]</f>
        <v>-46</v>
      </c>
      <c r="AK557" s="74">
        <f>tblData[[#This Row],[Gross Profit]]+tblData[[#This Row],[AP Spend]]+tblData[[#This Row],[Cost to Serve]]</f>
        <v>447</v>
      </c>
    </row>
    <row r="558" spans="2:37" x14ac:dyDescent="0.25">
      <c r="B558" s="71" t="s">
        <v>50</v>
      </c>
      <c r="C558" s="71">
        <v>2026</v>
      </c>
      <c r="D558" s="71">
        <v>2</v>
      </c>
      <c r="E558" s="71" t="s">
        <v>48</v>
      </c>
      <c r="F558" s="71" t="s">
        <v>40</v>
      </c>
      <c r="G558" s="72">
        <v>110.2</v>
      </c>
      <c r="H558" s="73">
        <v>771</v>
      </c>
      <c r="I558" s="73">
        <v>-69</v>
      </c>
      <c r="J558" s="73">
        <v>-8</v>
      </c>
      <c r="K558" s="73">
        <v>-222</v>
      </c>
      <c r="L558" s="73">
        <v>-56</v>
      </c>
      <c r="M558" s="73">
        <v>-31</v>
      </c>
      <c r="N558" s="73">
        <v>-20</v>
      </c>
      <c r="O558" s="73">
        <v>-11</v>
      </c>
      <c r="P558" s="73">
        <v>-23</v>
      </c>
      <c r="Q558" s="73">
        <v>-12</v>
      </c>
      <c r="R558" s="73">
        <v>0</v>
      </c>
      <c r="S558" s="73">
        <v>0</v>
      </c>
      <c r="T558" s="73">
        <v>0</v>
      </c>
      <c r="U558" s="73">
        <v>0</v>
      </c>
      <c r="V558" s="73">
        <v>0</v>
      </c>
      <c r="W558" s="73">
        <v>0</v>
      </c>
      <c r="X558" s="73">
        <v>0</v>
      </c>
      <c r="Y558" s="73">
        <v>0</v>
      </c>
      <c r="Z558" s="73">
        <v>1575</v>
      </c>
      <c r="AA558" s="73">
        <v>750</v>
      </c>
      <c r="AB558" s="73">
        <v>0</v>
      </c>
      <c r="AC558" s="73">
        <v>0</v>
      </c>
      <c r="AD558" s="73">
        <v>0</v>
      </c>
      <c r="AE558" s="73">
        <v>0</v>
      </c>
      <c r="AF558" s="74">
        <f>tblData[[#This Row],[Gross Sales]]+tblData[[#This Row],[Trade Discounts]]+tblData[[#This Row],[Returns]]</f>
        <v>694</v>
      </c>
      <c r="AG558" s="74">
        <f>tblData[[#This Row],[Material Cost]]+tblData[[#This Row],[Conversion Cost]]+tblData[[#This Row],[Inbound Freight]]</f>
        <v>-309</v>
      </c>
      <c r="AH558" s="74">
        <f>tblData[[#This Row],[Net Revenue]]+tblData[[#This Row],[COGS]]</f>
        <v>385</v>
      </c>
      <c r="AI558" s="74">
        <f>tblData[[#This Row],[Advertising]]+tblData[[#This Row],[Promotions]]</f>
        <v>-31</v>
      </c>
      <c r="AJ558" s="74">
        <f>tblData[[#This Row],[Outbound Logistics]]+tblData[[#This Row],[Direct Selling]]</f>
        <v>-35</v>
      </c>
      <c r="AK558" s="74">
        <f>tblData[[#This Row],[Gross Profit]]+tblData[[#This Row],[AP Spend]]+tblData[[#This Row],[Cost to Serve]]</f>
        <v>319</v>
      </c>
    </row>
    <row r="559" spans="2:37" x14ac:dyDescent="0.25">
      <c r="B559" s="71" t="s">
        <v>50</v>
      </c>
      <c r="C559" s="71">
        <v>2026</v>
      </c>
      <c r="D559" s="71">
        <v>2</v>
      </c>
      <c r="E559" s="71" t="s">
        <v>48</v>
      </c>
      <c r="F559" s="71" t="s">
        <v>41</v>
      </c>
      <c r="G559" s="72">
        <v>54.5</v>
      </c>
      <c r="H559" s="73">
        <v>600</v>
      </c>
      <c r="I559" s="73">
        <v>-54</v>
      </c>
      <c r="J559" s="73">
        <v>-6</v>
      </c>
      <c r="K559" s="73">
        <v>-143</v>
      </c>
      <c r="L559" s="73">
        <v>-36</v>
      </c>
      <c r="M559" s="73">
        <v>-20</v>
      </c>
      <c r="N559" s="73">
        <v>-43</v>
      </c>
      <c r="O559" s="73">
        <v>-23</v>
      </c>
      <c r="P559" s="73">
        <v>-18</v>
      </c>
      <c r="Q559" s="73">
        <v>-9</v>
      </c>
      <c r="R559" s="73">
        <v>0</v>
      </c>
      <c r="S559" s="73">
        <v>0</v>
      </c>
      <c r="T559" s="73">
        <v>0</v>
      </c>
      <c r="U559" s="73">
        <v>0</v>
      </c>
      <c r="V559" s="73">
        <v>0</v>
      </c>
      <c r="W559" s="73">
        <v>0</v>
      </c>
      <c r="X559" s="73">
        <v>0</v>
      </c>
      <c r="Y559" s="73">
        <v>0</v>
      </c>
      <c r="Z559" s="73">
        <v>1225</v>
      </c>
      <c r="AA559" s="73">
        <v>577</v>
      </c>
      <c r="AB559" s="73">
        <v>0</v>
      </c>
      <c r="AC559" s="73">
        <v>0</v>
      </c>
      <c r="AD559" s="73">
        <v>0</v>
      </c>
      <c r="AE559" s="73">
        <v>0</v>
      </c>
      <c r="AF559" s="74">
        <f>tblData[[#This Row],[Gross Sales]]+tblData[[#This Row],[Trade Discounts]]+tblData[[#This Row],[Returns]]</f>
        <v>540</v>
      </c>
      <c r="AG559" s="74">
        <f>tblData[[#This Row],[Material Cost]]+tblData[[#This Row],[Conversion Cost]]+tblData[[#This Row],[Inbound Freight]]</f>
        <v>-199</v>
      </c>
      <c r="AH559" s="74">
        <f>tblData[[#This Row],[Net Revenue]]+tblData[[#This Row],[COGS]]</f>
        <v>341</v>
      </c>
      <c r="AI559" s="74">
        <f>tblData[[#This Row],[Advertising]]+tblData[[#This Row],[Promotions]]</f>
        <v>-66</v>
      </c>
      <c r="AJ559" s="74">
        <f>tblData[[#This Row],[Outbound Logistics]]+tblData[[#This Row],[Direct Selling]]</f>
        <v>-27</v>
      </c>
      <c r="AK559" s="74">
        <f>tblData[[#This Row],[Gross Profit]]+tblData[[#This Row],[AP Spend]]+tblData[[#This Row],[Cost to Serve]]</f>
        <v>248</v>
      </c>
    </row>
    <row r="560" spans="2:37" x14ac:dyDescent="0.25">
      <c r="B560" s="71" t="s">
        <v>50</v>
      </c>
      <c r="C560" s="71">
        <v>2026</v>
      </c>
      <c r="D560" s="71">
        <v>2</v>
      </c>
      <c r="E560" s="71" t="s">
        <v>48</v>
      </c>
      <c r="F560" s="71" t="s">
        <v>42</v>
      </c>
      <c r="G560" s="72">
        <v>71.400000000000006</v>
      </c>
      <c r="H560" s="73">
        <v>428</v>
      </c>
      <c r="I560" s="73">
        <v>-39</v>
      </c>
      <c r="J560" s="73">
        <v>-4</v>
      </c>
      <c r="K560" s="73">
        <v>-136</v>
      </c>
      <c r="L560" s="73">
        <v>-34</v>
      </c>
      <c r="M560" s="73">
        <v>-19</v>
      </c>
      <c r="N560" s="73">
        <v>-8</v>
      </c>
      <c r="O560" s="73">
        <v>-4</v>
      </c>
      <c r="P560" s="73">
        <v>-13</v>
      </c>
      <c r="Q560" s="73">
        <v>-6</v>
      </c>
      <c r="R560" s="73">
        <v>0</v>
      </c>
      <c r="S560" s="73">
        <v>0</v>
      </c>
      <c r="T560" s="73">
        <v>0</v>
      </c>
      <c r="U560" s="73">
        <v>0</v>
      </c>
      <c r="V560" s="73">
        <v>0</v>
      </c>
      <c r="W560" s="73">
        <v>0</v>
      </c>
      <c r="X560" s="73">
        <v>0</v>
      </c>
      <c r="Y560" s="73">
        <v>0</v>
      </c>
      <c r="Z560" s="73">
        <v>875</v>
      </c>
      <c r="AA560" s="73">
        <v>672</v>
      </c>
      <c r="AB560" s="73">
        <v>0</v>
      </c>
      <c r="AC560" s="73">
        <v>0</v>
      </c>
      <c r="AD560" s="73">
        <v>0</v>
      </c>
      <c r="AE560" s="73">
        <v>0</v>
      </c>
      <c r="AF560" s="74">
        <f>tblData[[#This Row],[Gross Sales]]+tblData[[#This Row],[Trade Discounts]]+tblData[[#This Row],[Returns]]</f>
        <v>385</v>
      </c>
      <c r="AG560" s="74">
        <f>tblData[[#This Row],[Material Cost]]+tblData[[#This Row],[Conversion Cost]]+tblData[[#This Row],[Inbound Freight]]</f>
        <v>-189</v>
      </c>
      <c r="AH560" s="74">
        <f>tblData[[#This Row],[Net Revenue]]+tblData[[#This Row],[COGS]]</f>
        <v>196</v>
      </c>
      <c r="AI560" s="74">
        <f>tblData[[#This Row],[Advertising]]+tblData[[#This Row],[Promotions]]</f>
        <v>-12</v>
      </c>
      <c r="AJ560" s="74">
        <f>tblData[[#This Row],[Outbound Logistics]]+tblData[[#This Row],[Direct Selling]]</f>
        <v>-19</v>
      </c>
      <c r="AK560" s="74">
        <f>tblData[[#This Row],[Gross Profit]]+tblData[[#This Row],[AP Spend]]+tblData[[#This Row],[Cost to Serve]]</f>
        <v>165</v>
      </c>
    </row>
    <row r="561" spans="2:37" x14ac:dyDescent="0.25">
      <c r="B561" s="71" t="s">
        <v>50</v>
      </c>
      <c r="C561" s="71">
        <v>2026</v>
      </c>
      <c r="D561" s="71">
        <v>2</v>
      </c>
      <c r="E561" s="71" t="s">
        <v>48</v>
      </c>
      <c r="F561" s="71" t="s">
        <v>43</v>
      </c>
      <c r="G561" s="72">
        <v>14.3</v>
      </c>
      <c r="H561" s="73">
        <v>257</v>
      </c>
      <c r="I561" s="73">
        <v>-23</v>
      </c>
      <c r="J561" s="73">
        <v>-3</v>
      </c>
      <c r="K561" s="73">
        <v>-70</v>
      </c>
      <c r="L561" s="73">
        <v>-18</v>
      </c>
      <c r="M561" s="73">
        <v>-10</v>
      </c>
      <c r="N561" s="73">
        <v>-23</v>
      </c>
      <c r="O561" s="73">
        <v>-13</v>
      </c>
      <c r="P561" s="73">
        <v>-8</v>
      </c>
      <c r="Q561" s="73">
        <v>-4</v>
      </c>
      <c r="R561" s="73">
        <v>0</v>
      </c>
      <c r="S561" s="73">
        <v>0</v>
      </c>
      <c r="T561" s="73">
        <v>0</v>
      </c>
      <c r="U561" s="73">
        <v>0</v>
      </c>
      <c r="V561" s="73">
        <v>0</v>
      </c>
      <c r="W561" s="73">
        <v>0</v>
      </c>
      <c r="X561" s="73">
        <v>0</v>
      </c>
      <c r="Y561" s="73">
        <v>0</v>
      </c>
      <c r="Z561" s="73">
        <v>525</v>
      </c>
      <c r="AA561" s="73">
        <v>380</v>
      </c>
      <c r="AB561" s="73">
        <v>0</v>
      </c>
      <c r="AC561" s="73">
        <v>0</v>
      </c>
      <c r="AD561" s="73">
        <v>0</v>
      </c>
      <c r="AE561" s="73">
        <v>0</v>
      </c>
      <c r="AF561" s="74">
        <f>tblData[[#This Row],[Gross Sales]]+tblData[[#This Row],[Trade Discounts]]+tblData[[#This Row],[Returns]]</f>
        <v>231</v>
      </c>
      <c r="AG561" s="74">
        <f>tblData[[#This Row],[Material Cost]]+tblData[[#This Row],[Conversion Cost]]+tblData[[#This Row],[Inbound Freight]]</f>
        <v>-98</v>
      </c>
      <c r="AH561" s="74">
        <f>tblData[[#This Row],[Net Revenue]]+tblData[[#This Row],[COGS]]</f>
        <v>133</v>
      </c>
      <c r="AI561" s="74">
        <f>tblData[[#This Row],[Advertising]]+tblData[[#This Row],[Promotions]]</f>
        <v>-36</v>
      </c>
      <c r="AJ561" s="74">
        <f>tblData[[#This Row],[Outbound Logistics]]+tblData[[#This Row],[Direct Selling]]</f>
        <v>-12</v>
      </c>
      <c r="AK561" s="74">
        <f>tblData[[#This Row],[Gross Profit]]+tblData[[#This Row],[AP Spend]]+tblData[[#This Row],[Cost to Serve]]</f>
        <v>85</v>
      </c>
    </row>
    <row r="562" spans="2:37" x14ac:dyDescent="0.25">
      <c r="B562" s="71" t="s">
        <v>50</v>
      </c>
      <c r="C562" s="71">
        <v>2026</v>
      </c>
      <c r="D562" s="71">
        <v>2</v>
      </c>
      <c r="E562" s="71" t="s">
        <v>49</v>
      </c>
      <c r="F562" s="71" t="s">
        <v>49</v>
      </c>
      <c r="G562" s="72">
        <v>0</v>
      </c>
      <c r="H562" s="73">
        <v>0</v>
      </c>
      <c r="I562" s="73">
        <v>0</v>
      </c>
      <c r="J562" s="73">
        <v>0</v>
      </c>
      <c r="K562" s="73">
        <v>0</v>
      </c>
      <c r="L562" s="73">
        <v>0</v>
      </c>
      <c r="M562" s="73">
        <v>0</v>
      </c>
      <c r="N562" s="73">
        <v>0</v>
      </c>
      <c r="O562" s="73">
        <v>0</v>
      </c>
      <c r="P562" s="73">
        <v>0</v>
      </c>
      <c r="Q562" s="73">
        <v>0</v>
      </c>
      <c r="R562" s="73">
        <v>-4167</v>
      </c>
      <c r="S562" s="73">
        <v>-1020</v>
      </c>
      <c r="T562" s="73">
        <v>-1320</v>
      </c>
      <c r="U562" s="73">
        <v>-1130</v>
      </c>
      <c r="V562" s="73">
        <v>-1480</v>
      </c>
      <c r="W562" s="73">
        <v>-712</v>
      </c>
      <c r="X562" s="73">
        <v>-996</v>
      </c>
      <c r="Y562" s="73">
        <v>-1097</v>
      </c>
      <c r="Z562" s="73">
        <v>0</v>
      </c>
      <c r="AA562" s="73">
        <v>0</v>
      </c>
      <c r="AB562" s="73">
        <v>29048</v>
      </c>
      <c r="AC562" s="73">
        <v>72552</v>
      </c>
      <c r="AD562" s="73">
        <v>190000</v>
      </c>
      <c r="AE562" s="73">
        <v>1184</v>
      </c>
      <c r="AF562" s="74">
        <f>tblData[[#This Row],[Gross Sales]]+tblData[[#This Row],[Trade Discounts]]+tblData[[#This Row],[Returns]]</f>
        <v>0</v>
      </c>
      <c r="AG562" s="74">
        <f>tblData[[#This Row],[Material Cost]]+tblData[[#This Row],[Conversion Cost]]+tblData[[#This Row],[Inbound Freight]]</f>
        <v>0</v>
      </c>
      <c r="AH562" s="74">
        <f>tblData[[#This Row],[Net Revenue]]+tblData[[#This Row],[COGS]]</f>
        <v>0</v>
      </c>
      <c r="AI562" s="74">
        <f>tblData[[#This Row],[Advertising]]+tblData[[#This Row],[Promotions]]</f>
        <v>0</v>
      </c>
      <c r="AJ562" s="74">
        <f>tblData[[#This Row],[Outbound Logistics]]+tblData[[#This Row],[Direct Selling]]</f>
        <v>0</v>
      </c>
      <c r="AK562" s="74">
        <f>tblData[[#This Row],[Gross Profit]]+tblData[[#This Row],[AP Spend]]+tblData[[#This Row],[Cost to Serve]]</f>
        <v>0</v>
      </c>
    </row>
    <row r="563" spans="2:37" x14ac:dyDescent="0.25">
      <c r="B563" s="71" t="s">
        <v>50</v>
      </c>
      <c r="C563" s="71">
        <v>2026</v>
      </c>
      <c r="D563" s="71">
        <v>3</v>
      </c>
      <c r="E563" s="71" t="s">
        <v>37</v>
      </c>
      <c r="F563" s="71" t="s">
        <v>38</v>
      </c>
      <c r="G563" s="72">
        <v>287.3</v>
      </c>
      <c r="H563" s="73">
        <v>4022</v>
      </c>
      <c r="I563" s="73">
        <v>-764</v>
      </c>
      <c r="J563" s="73">
        <v>-60</v>
      </c>
      <c r="K563" s="73">
        <v>-869</v>
      </c>
      <c r="L563" s="73">
        <v>-217</v>
      </c>
      <c r="M563" s="73">
        <v>-121</v>
      </c>
      <c r="N563" s="73">
        <v>-235</v>
      </c>
      <c r="O563" s="73">
        <v>-127</v>
      </c>
      <c r="P563" s="73">
        <v>-161</v>
      </c>
      <c r="Q563" s="73">
        <v>-121</v>
      </c>
      <c r="R563" s="73">
        <v>0</v>
      </c>
      <c r="S563" s="73">
        <v>0</v>
      </c>
      <c r="T563" s="73">
        <v>0</v>
      </c>
      <c r="U563" s="73">
        <v>0</v>
      </c>
      <c r="V563" s="73">
        <v>0</v>
      </c>
      <c r="W563" s="73">
        <v>0</v>
      </c>
      <c r="X563" s="73">
        <v>0</v>
      </c>
      <c r="Y563" s="73">
        <v>0</v>
      </c>
      <c r="Z563" s="73">
        <v>5328</v>
      </c>
      <c r="AA563" s="73">
        <v>3473</v>
      </c>
      <c r="AB563" s="73">
        <v>0</v>
      </c>
      <c r="AC563" s="73">
        <v>0</v>
      </c>
      <c r="AD563" s="73">
        <v>0</v>
      </c>
      <c r="AE563" s="73">
        <v>0</v>
      </c>
      <c r="AF563" s="74">
        <f>tblData[[#This Row],[Gross Sales]]+tblData[[#This Row],[Trade Discounts]]+tblData[[#This Row],[Returns]]</f>
        <v>3198</v>
      </c>
      <c r="AG563" s="74">
        <f>tblData[[#This Row],[Material Cost]]+tblData[[#This Row],[Conversion Cost]]+tblData[[#This Row],[Inbound Freight]]</f>
        <v>-1207</v>
      </c>
      <c r="AH563" s="74">
        <f>tblData[[#This Row],[Net Revenue]]+tblData[[#This Row],[COGS]]</f>
        <v>1991</v>
      </c>
      <c r="AI563" s="74">
        <f>tblData[[#This Row],[Advertising]]+tblData[[#This Row],[Promotions]]</f>
        <v>-362</v>
      </c>
      <c r="AJ563" s="74">
        <f>tblData[[#This Row],[Outbound Logistics]]+tblData[[#This Row],[Direct Selling]]</f>
        <v>-282</v>
      </c>
      <c r="AK563" s="74">
        <f>tblData[[#This Row],[Gross Profit]]+tblData[[#This Row],[AP Spend]]+tblData[[#This Row],[Cost to Serve]]</f>
        <v>1347</v>
      </c>
    </row>
    <row r="564" spans="2:37" x14ac:dyDescent="0.25">
      <c r="B564" s="71" t="s">
        <v>50</v>
      </c>
      <c r="C564" s="71">
        <v>2026</v>
      </c>
      <c r="D564" s="71">
        <v>3</v>
      </c>
      <c r="E564" s="71" t="s">
        <v>37</v>
      </c>
      <c r="F564" s="71" t="s">
        <v>39</v>
      </c>
      <c r="G564" s="72">
        <v>383</v>
      </c>
      <c r="H564" s="73">
        <v>3447</v>
      </c>
      <c r="I564" s="73">
        <v>-655</v>
      </c>
      <c r="J564" s="73">
        <v>-52</v>
      </c>
      <c r="K564" s="73">
        <v>-894</v>
      </c>
      <c r="L564" s="73">
        <v>-223</v>
      </c>
      <c r="M564" s="73">
        <v>-124</v>
      </c>
      <c r="N564" s="73">
        <v>-134</v>
      </c>
      <c r="O564" s="73">
        <v>-72</v>
      </c>
      <c r="P564" s="73">
        <v>-138</v>
      </c>
      <c r="Q564" s="73">
        <v>-103</v>
      </c>
      <c r="R564" s="73">
        <v>0</v>
      </c>
      <c r="S564" s="73">
        <v>0</v>
      </c>
      <c r="T564" s="73">
        <v>0</v>
      </c>
      <c r="U564" s="73">
        <v>0</v>
      </c>
      <c r="V564" s="73">
        <v>0</v>
      </c>
      <c r="W564" s="73">
        <v>0</v>
      </c>
      <c r="X564" s="73">
        <v>0</v>
      </c>
      <c r="Y564" s="73">
        <v>0</v>
      </c>
      <c r="Z564" s="73">
        <v>4567</v>
      </c>
      <c r="AA564" s="73">
        <v>3008</v>
      </c>
      <c r="AB564" s="73">
        <v>0</v>
      </c>
      <c r="AC564" s="73">
        <v>0</v>
      </c>
      <c r="AD564" s="73">
        <v>0</v>
      </c>
      <c r="AE564" s="73">
        <v>0</v>
      </c>
      <c r="AF564" s="74">
        <f>tblData[[#This Row],[Gross Sales]]+tblData[[#This Row],[Trade Discounts]]+tblData[[#This Row],[Returns]]</f>
        <v>2740</v>
      </c>
      <c r="AG564" s="74">
        <f>tblData[[#This Row],[Material Cost]]+tblData[[#This Row],[Conversion Cost]]+tblData[[#This Row],[Inbound Freight]]</f>
        <v>-1241</v>
      </c>
      <c r="AH564" s="74">
        <f>tblData[[#This Row],[Net Revenue]]+tblData[[#This Row],[COGS]]</f>
        <v>1499</v>
      </c>
      <c r="AI564" s="74">
        <f>tblData[[#This Row],[Advertising]]+tblData[[#This Row],[Promotions]]</f>
        <v>-206</v>
      </c>
      <c r="AJ564" s="74">
        <f>tblData[[#This Row],[Outbound Logistics]]+tblData[[#This Row],[Direct Selling]]</f>
        <v>-241</v>
      </c>
      <c r="AK564" s="74">
        <f>tblData[[#This Row],[Gross Profit]]+tblData[[#This Row],[AP Spend]]+tblData[[#This Row],[Cost to Serve]]</f>
        <v>1052</v>
      </c>
    </row>
    <row r="565" spans="2:37" x14ac:dyDescent="0.25">
      <c r="B565" s="71" t="s">
        <v>50</v>
      </c>
      <c r="C565" s="71">
        <v>2026</v>
      </c>
      <c r="D565" s="71">
        <v>3</v>
      </c>
      <c r="E565" s="71" t="s">
        <v>37</v>
      </c>
      <c r="F565" s="71" t="s">
        <v>40</v>
      </c>
      <c r="G565" s="72">
        <v>369.4</v>
      </c>
      <c r="H565" s="73">
        <v>2586</v>
      </c>
      <c r="I565" s="73">
        <v>-491</v>
      </c>
      <c r="J565" s="73">
        <v>-39</v>
      </c>
      <c r="K565" s="73">
        <v>-745</v>
      </c>
      <c r="L565" s="73">
        <v>-186</v>
      </c>
      <c r="M565" s="73">
        <v>-103</v>
      </c>
      <c r="N565" s="73">
        <v>-67</v>
      </c>
      <c r="O565" s="73">
        <v>-36</v>
      </c>
      <c r="P565" s="73">
        <v>-103</v>
      </c>
      <c r="Q565" s="73">
        <v>-78</v>
      </c>
      <c r="R565" s="73">
        <v>0</v>
      </c>
      <c r="S565" s="73">
        <v>0</v>
      </c>
      <c r="T565" s="73">
        <v>0</v>
      </c>
      <c r="U565" s="73">
        <v>0</v>
      </c>
      <c r="V565" s="73">
        <v>0</v>
      </c>
      <c r="W565" s="73">
        <v>0</v>
      </c>
      <c r="X565" s="73">
        <v>0</v>
      </c>
      <c r="Y565" s="73">
        <v>0</v>
      </c>
      <c r="Z565" s="73">
        <v>3425</v>
      </c>
      <c r="AA565" s="73">
        <v>2350</v>
      </c>
      <c r="AB565" s="73">
        <v>0</v>
      </c>
      <c r="AC565" s="73">
        <v>0</v>
      </c>
      <c r="AD565" s="73">
        <v>0</v>
      </c>
      <c r="AE565" s="73">
        <v>0</v>
      </c>
      <c r="AF565" s="74">
        <f>tblData[[#This Row],[Gross Sales]]+tblData[[#This Row],[Trade Discounts]]+tblData[[#This Row],[Returns]]</f>
        <v>2056</v>
      </c>
      <c r="AG565" s="74">
        <f>tblData[[#This Row],[Material Cost]]+tblData[[#This Row],[Conversion Cost]]+tblData[[#This Row],[Inbound Freight]]</f>
        <v>-1034</v>
      </c>
      <c r="AH565" s="74">
        <f>tblData[[#This Row],[Net Revenue]]+tblData[[#This Row],[COGS]]</f>
        <v>1022</v>
      </c>
      <c r="AI565" s="74">
        <f>tblData[[#This Row],[Advertising]]+tblData[[#This Row],[Promotions]]</f>
        <v>-103</v>
      </c>
      <c r="AJ565" s="74">
        <f>tblData[[#This Row],[Outbound Logistics]]+tblData[[#This Row],[Direct Selling]]</f>
        <v>-181</v>
      </c>
      <c r="AK565" s="74">
        <f>tblData[[#This Row],[Gross Profit]]+tblData[[#This Row],[AP Spend]]+tblData[[#This Row],[Cost to Serve]]</f>
        <v>738</v>
      </c>
    </row>
    <row r="566" spans="2:37" x14ac:dyDescent="0.25">
      <c r="B566" s="71" t="s">
        <v>50</v>
      </c>
      <c r="C566" s="71">
        <v>2026</v>
      </c>
      <c r="D566" s="71">
        <v>3</v>
      </c>
      <c r="E566" s="71" t="s">
        <v>37</v>
      </c>
      <c r="F566" s="71" t="s">
        <v>41</v>
      </c>
      <c r="G566" s="72">
        <v>182.8</v>
      </c>
      <c r="H566" s="73">
        <v>2011</v>
      </c>
      <c r="I566" s="73">
        <v>-382</v>
      </c>
      <c r="J566" s="73">
        <v>-30</v>
      </c>
      <c r="K566" s="73">
        <v>-478</v>
      </c>
      <c r="L566" s="73">
        <v>-119</v>
      </c>
      <c r="M566" s="73">
        <v>-66</v>
      </c>
      <c r="N566" s="73">
        <v>-144</v>
      </c>
      <c r="O566" s="73">
        <v>-77</v>
      </c>
      <c r="P566" s="73">
        <v>-80</v>
      </c>
      <c r="Q566" s="73">
        <v>-60</v>
      </c>
      <c r="R566" s="73">
        <v>0</v>
      </c>
      <c r="S566" s="73">
        <v>0</v>
      </c>
      <c r="T566" s="73">
        <v>0</v>
      </c>
      <c r="U566" s="73">
        <v>0</v>
      </c>
      <c r="V566" s="73">
        <v>0</v>
      </c>
      <c r="W566" s="73">
        <v>0</v>
      </c>
      <c r="X566" s="73">
        <v>0</v>
      </c>
      <c r="Y566" s="73">
        <v>0</v>
      </c>
      <c r="Z566" s="73">
        <v>2664</v>
      </c>
      <c r="AA566" s="73">
        <v>1810</v>
      </c>
      <c r="AB566" s="73">
        <v>0</v>
      </c>
      <c r="AC566" s="73">
        <v>0</v>
      </c>
      <c r="AD566" s="73">
        <v>0</v>
      </c>
      <c r="AE566" s="73">
        <v>0</v>
      </c>
      <c r="AF566" s="74">
        <f>tblData[[#This Row],[Gross Sales]]+tblData[[#This Row],[Trade Discounts]]+tblData[[#This Row],[Returns]]</f>
        <v>1599</v>
      </c>
      <c r="AG566" s="74">
        <f>tblData[[#This Row],[Material Cost]]+tblData[[#This Row],[Conversion Cost]]+tblData[[#This Row],[Inbound Freight]]</f>
        <v>-663</v>
      </c>
      <c r="AH566" s="74">
        <f>tblData[[#This Row],[Net Revenue]]+tblData[[#This Row],[COGS]]</f>
        <v>936</v>
      </c>
      <c r="AI566" s="74">
        <f>tblData[[#This Row],[Advertising]]+tblData[[#This Row],[Promotions]]</f>
        <v>-221</v>
      </c>
      <c r="AJ566" s="74">
        <f>tblData[[#This Row],[Outbound Logistics]]+tblData[[#This Row],[Direct Selling]]</f>
        <v>-140</v>
      </c>
      <c r="AK566" s="74">
        <f>tblData[[#This Row],[Gross Profit]]+tblData[[#This Row],[AP Spend]]+tblData[[#This Row],[Cost to Serve]]</f>
        <v>575</v>
      </c>
    </row>
    <row r="567" spans="2:37" x14ac:dyDescent="0.25">
      <c r="B567" s="71" t="s">
        <v>50</v>
      </c>
      <c r="C567" s="71">
        <v>2026</v>
      </c>
      <c r="D567" s="71">
        <v>3</v>
      </c>
      <c r="E567" s="71" t="s">
        <v>37</v>
      </c>
      <c r="F567" s="71" t="s">
        <v>42</v>
      </c>
      <c r="G567" s="72">
        <v>239.4</v>
      </c>
      <c r="H567" s="73">
        <v>1436</v>
      </c>
      <c r="I567" s="73">
        <v>-273</v>
      </c>
      <c r="J567" s="73">
        <v>-22</v>
      </c>
      <c r="K567" s="73">
        <v>-455</v>
      </c>
      <c r="L567" s="73">
        <v>-114</v>
      </c>
      <c r="M567" s="73">
        <v>-63</v>
      </c>
      <c r="N567" s="73">
        <v>-28</v>
      </c>
      <c r="O567" s="73">
        <v>-15</v>
      </c>
      <c r="P567" s="73">
        <v>-57</v>
      </c>
      <c r="Q567" s="73">
        <v>-43</v>
      </c>
      <c r="R567" s="73">
        <v>0</v>
      </c>
      <c r="S567" s="73">
        <v>0</v>
      </c>
      <c r="T567" s="73">
        <v>0</v>
      </c>
      <c r="U567" s="73">
        <v>0</v>
      </c>
      <c r="V567" s="73">
        <v>0</v>
      </c>
      <c r="W567" s="73">
        <v>0</v>
      </c>
      <c r="X567" s="73">
        <v>0</v>
      </c>
      <c r="Y567" s="73">
        <v>0</v>
      </c>
      <c r="Z567" s="73">
        <v>1903</v>
      </c>
      <c r="AA567" s="73">
        <v>2106</v>
      </c>
      <c r="AB567" s="73">
        <v>0</v>
      </c>
      <c r="AC567" s="73">
        <v>0</v>
      </c>
      <c r="AD567" s="73">
        <v>0</v>
      </c>
      <c r="AE567" s="73">
        <v>0</v>
      </c>
      <c r="AF567" s="74">
        <f>tblData[[#This Row],[Gross Sales]]+tblData[[#This Row],[Trade Discounts]]+tblData[[#This Row],[Returns]]</f>
        <v>1141</v>
      </c>
      <c r="AG567" s="74">
        <f>tblData[[#This Row],[Material Cost]]+tblData[[#This Row],[Conversion Cost]]+tblData[[#This Row],[Inbound Freight]]</f>
        <v>-632</v>
      </c>
      <c r="AH567" s="74">
        <f>tblData[[#This Row],[Net Revenue]]+tblData[[#This Row],[COGS]]</f>
        <v>509</v>
      </c>
      <c r="AI567" s="74">
        <f>tblData[[#This Row],[Advertising]]+tblData[[#This Row],[Promotions]]</f>
        <v>-43</v>
      </c>
      <c r="AJ567" s="74">
        <f>tblData[[#This Row],[Outbound Logistics]]+tblData[[#This Row],[Direct Selling]]</f>
        <v>-100</v>
      </c>
      <c r="AK567" s="74">
        <f>tblData[[#This Row],[Gross Profit]]+tblData[[#This Row],[AP Spend]]+tblData[[#This Row],[Cost to Serve]]</f>
        <v>366</v>
      </c>
    </row>
    <row r="568" spans="2:37" x14ac:dyDescent="0.25">
      <c r="B568" s="71" t="s">
        <v>50</v>
      </c>
      <c r="C568" s="71">
        <v>2026</v>
      </c>
      <c r="D568" s="71">
        <v>3</v>
      </c>
      <c r="E568" s="71" t="s">
        <v>37</v>
      </c>
      <c r="F568" s="71" t="s">
        <v>43</v>
      </c>
      <c r="G568" s="72">
        <v>47.9</v>
      </c>
      <c r="H568" s="73">
        <v>862</v>
      </c>
      <c r="I568" s="73">
        <v>-164</v>
      </c>
      <c r="J568" s="73">
        <v>-13</v>
      </c>
      <c r="K568" s="73">
        <v>-236</v>
      </c>
      <c r="L568" s="73">
        <v>-59</v>
      </c>
      <c r="M568" s="73">
        <v>-33</v>
      </c>
      <c r="N568" s="73">
        <v>-78</v>
      </c>
      <c r="O568" s="73">
        <v>-42</v>
      </c>
      <c r="P568" s="73">
        <v>-34</v>
      </c>
      <c r="Q568" s="73">
        <v>-26</v>
      </c>
      <c r="R568" s="73">
        <v>0</v>
      </c>
      <c r="S568" s="73">
        <v>0</v>
      </c>
      <c r="T568" s="73">
        <v>0</v>
      </c>
      <c r="U568" s="73">
        <v>0</v>
      </c>
      <c r="V568" s="73">
        <v>0</v>
      </c>
      <c r="W568" s="73">
        <v>0</v>
      </c>
      <c r="X568" s="73">
        <v>0</v>
      </c>
      <c r="Y568" s="73">
        <v>0</v>
      </c>
      <c r="Z568" s="73">
        <v>1142</v>
      </c>
      <c r="AA568" s="73">
        <v>1191</v>
      </c>
      <c r="AB568" s="73">
        <v>0</v>
      </c>
      <c r="AC568" s="73">
        <v>0</v>
      </c>
      <c r="AD568" s="73">
        <v>0</v>
      </c>
      <c r="AE568" s="73">
        <v>0</v>
      </c>
      <c r="AF568" s="74">
        <f>tblData[[#This Row],[Gross Sales]]+tblData[[#This Row],[Trade Discounts]]+tblData[[#This Row],[Returns]]</f>
        <v>685</v>
      </c>
      <c r="AG568" s="74">
        <f>tblData[[#This Row],[Material Cost]]+tblData[[#This Row],[Conversion Cost]]+tblData[[#This Row],[Inbound Freight]]</f>
        <v>-328</v>
      </c>
      <c r="AH568" s="74">
        <f>tblData[[#This Row],[Net Revenue]]+tblData[[#This Row],[COGS]]</f>
        <v>357</v>
      </c>
      <c r="AI568" s="74">
        <f>tblData[[#This Row],[Advertising]]+tblData[[#This Row],[Promotions]]</f>
        <v>-120</v>
      </c>
      <c r="AJ568" s="74">
        <f>tblData[[#This Row],[Outbound Logistics]]+tblData[[#This Row],[Direct Selling]]</f>
        <v>-60</v>
      </c>
      <c r="AK568" s="74">
        <f>tblData[[#This Row],[Gross Profit]]+tblData[[#This Row],[AP Spend]]+tblData[[#This Row],[Cost to Serve]]</f>
        <v>177</v>
      </c>
    </row>
    <row r="569" spans="2:37" x14ac:dyDescent="0.25">
      <c r="B569" s="71" t="s">
        <v>50</v>
      </c>
      <c r="C569" s="71">
        <v>2026</v>
      </c>
      <c r="D569" s="71">
        <v>3</v>
      </c>
      <c r="E569" s="71" t="s">
        <v>44</v>
      </c>
      <c r="F569" s="71" t="s">
        <v>38</v>
      </c>
      <c r="G569" s="72">
        <v>229.8</v>
      </c>
      <c r="H569" s="73">
        <v>3218</v>
      </c>
      <c r="I569" s="73">
        <v>-515</v>
      </c>
      <c r="J569" s="73">
        <v>-39</v>
      </c>
      <c r="K569" s="73">
        <v>-695</v>
      </c>
      <c r="L569" s="73">
        <v>-174</v>
      </c>
      <c r="M569" s="73">
        <v>-97</v>
      </c>
      <c r="N569" s="73">
        <v>-188</v>
      </c>
      <c r="O569" s="73">
        <v>-101</v>
      </c>
      <c r="P569" s="73">
        <v>-129</v>
      </c>
      <c r="Q569" s="73">
        <v>-97</v>
      </c>
      <c r="R569" s="73">
        <v>0</v>
      </c>
      <c r="S569" s="73">
        <v>0</v>
      </c>
      <c r="T569" s="73">
        <v>0</v>
      </c>
      <c r="U569" s="73">
        <v>0</v>
      </c>
      <c r="V569" s="73">
        <v>0</v>
      </c>
      <c r="W569" s="73">
        <v>0</v>
      </c>
      <c r="X569" s="73">
        <v>0</v>
      </c>
      <c r="Y569" s="73">
        <v>0</v>
      </c>
      <c r="Z569" s="73">
        <v>4036</v>
      </c>
      <c r="AA569" s="73">
        <v>2778</v>
      </c>
      <c r="AB569" s="73">
        <v>0</v>
      </c>
      <c r="AC569" s="73">
        <v>0</v>
      </c>
      <c r="AD569" s="73">
        <v>0</v>
      </c>
      <c r="AE569" s="73">
        <v>0</v>
      </c>
      <c r="AF569" s="74">
        <f>tblData[[#This Row],[Gross Sales]]+tblData[[#This Row],[Trade Discounts]]+tblData[[#This Row],[Returns]]</f>
        <v>2664</v>
      </c>
      <c r="AG569" s="74">
        <f>tblData[[#This Row],[Material Cost]]+tblData[[#This Row],[Conversion Cost]]+tblData[[#This Row],[Inbound Freight]]</f>
        <v>-966</v>
      </c>
      <c r="AH569" s="74">
        <f>tblData[[#This Row],[Net Revenue]]+tblData[[#This Row],[COGS]]</f>
        <v>1698</v>
      </c>
      <c r="AI569" s="74">
        <f>tblData[[#This Row],[Advertising]]+tblData[[#This Row],[Promotions]]</f>
        <v>-289</v>
      </c>
      <c r="AJ569" s="74">
        <f>tblData[[#This Row],[Outbound Logistics]]+tblData[[#This Row],[Direct Selling]]</f>
        <v>-226</v>
      </c>
      <c r="AK569" s="74">
        <f>tblData[[#This Row],[Gross Profit]]+tblData[[#This Row],[AP Spend]]+tblData[[#This Row],[Cost to Serve]]</f>
        <v>1183</v>
      </c>
    </row>
    <row r="570" spans="2:37" x14ac:dyDescent="0.25">
      <c r="B570" s="71" t="s">
        <v>50</v>
      </c>
      <c r="C570" s="71">
        <v>2026</v>
      </c>
      <c r="D570" s="71">
        <v>3</v>
      </c>
      <c r="E570" s="71" t="s">
        <v>44</v>
      </c>
      <c r="F570" s="71" t="s">
        <v>39</v>
      </c>
      <c r="G570" s="72">
        <v>306.39999999999998</v>
      </c>
      <c r="H570" s="73">
        <v>2758</v>
      </c>
      <c r="I570" s="73">
        <v>-441</v>
      </c>
      <c r="J570" s="73">
        <v>-33</v>
      </c>
      <c r="K570" s="73">
        <v>-715</v>
      </c>
      <c r="L570" s="73">
        <v>-179</v>
      </c>
      <c r="M570" s="73">
        <v>-99</v>
      </c>
      <c r="N570" s="73">
        <v>-108</v>
      </c>
      <c r="O570" s="73">
        <v>-58</v>
      </c>
      <c r="P570" s="73">
        <v>-110</v>
      </c>
      <c r="Q570" s="73">
        <v>-83</v>
      </c>
      <c r="R570" s="73">
        <v>0</v>
      </c>
      <c r="S570" s="73">
        <v>0</v>
      </c>
      <c r="T570" s="73">
        <v>0</v>
      </c>
      <c r="U570" s="73">
        <v>0</v>
      </c>
      <c r="V570" s="73">
        <v>0</v>
      </c>
      <c r="W570" s="73">
        <v>0</v>
      </c>
      <c r="X570" s="73">
        <v>0</v>
      </c>
      <c r="Y570" s="73">
        <v>0</v>
      </c>
      <c r="Z570" s="73">
        <v>3459</v>
      </c>
      <c r="AA570" s="73">
        <v>2406</v>
      </c>
      <c r="AB570" s="73">
        <v>0</v>
      </c>
      <c r="AC570" s="73">
        <v>0</v>
      </c>
      <c r="AD570" s="73">
        <v>0</v>
      </c>
      <c r="AE570" s="73">
        <v>0</v>
      </c>
      <c r="AF570" s="74">
        <f>tblData[[#This Row],[Gross Sales]]+tblData[[#This Row],[Trade Discounts]]+tblData[[#This Row],[Returns]]</f>
        <v>2284</v>
      </c>
      <c r="AG570" s="74">
        <f>tblData[[#This Row],[Material Cost]]+tblData[[#This Row],[Conversion Cost]]+tblData[[#This Row],[Inbound Freight]]</f>
        <v>-993</v>
      </c>
      <c r="AH570" s="74">
        <f>tblData[[#This Row],[Net Revenue]]+tblData[[#This Row],[COGS]]</f>
        <v>1291</v>
      </c>
      <c r="AI570" s="74">
        <f>tblData[[#This Row],[Advertising]]+tblData[[#This Row],[Promotions]]</f>
        <v>-166</v>
      </c>
      <c r="AJ570" s="74">
        <f>tblData[[#This Row],[Outbound Logistics]]+tblData[[#This Row],[Direct Selling]]</f>
        <v>-193</v>
      </c>
      <c r="AK570" s="74">
        <f>tblData[[#This Row],[Gross Profit]]+tblData[[#This Row],[AP Spend]]+tblData[[#This Row],[Cost to Serve]]</f>
        <v>932</v>
      </c>
    </row>
    <row r="571" spans="2:37" x14ac:dyDescent="0.25">
      <c r="B571" s="71" t="s">
        <v>50</v>
      </c>
      <c r="C571" s="71">
        <v>2026</v>
      </c>
      <c r="D571" s="71">
        <v>3</v>
      </c>
      <c r="E571" s="71" t="s">
        <v>44</v>
      </c>
      <c r="F571" s="71" t="s">
        <v>40</v>
      </c>
      <c r="G571" s="72">
        <v>295.5</v>
      </c>
      <c r="H571" s="73">
        <v>2068</v>
      </c>
      <c r="I571" s="73">
        <v>-331</v>
      </c>
      <c r="J571" s="73">
        <v>-25</v>
      </c>
      <c r="K571" s="73">
        <v>-596</v>
      </c>
      <c r="L571" s="73">
        <v>-149</v>
      </c>
      <c r="M571" s="73">
        <v>-83</v>
      </c>
      <c r="N571" s="73">
        <v>-54</v>
      </c>
      <c r="O571" s="73">
        <v>-29</v>
      </c>
      <c r="P571" s="73">
        <v>-83</v>
      </c>
      <c r="Q571" s="73">
        <v>-62</v>
      </c>
      <c r="R571" s="73">
        <v>0</v>
      </c>
      <c r="S571" s="73">
        <v>0</v>
      </c>
      <c r="T571" s="73">
        <v>0</v>
      </c>
      <c r="U571" s="73">
        <v>0</v>
      </c>
      <c r="V571" s="73">
        <v>0</v>
      </c>
      <c r="W571" s="73">
        <v>0</v>
      </c>
      <c r="X571" s="73">
        <v>0</v>
      </c>
      <c r="Y571" s="73">
        <v>0</v>
      </c>
      <c r="Z571" s="73">
        <v>2594</v>
      </c>
      <c r="AA571" s="73">
        <v>1880</v>
      </c>
      <c r="AB571" s="73">
        <v>0</v>
      </c>
      <c r="AC571" s="73">
        <v>0</v>
      </c>
      <c r="AD571" s="73">
        <v>0</v>
      </c>
      <c r="AE571" s="73">
        <v>0</v>
      </c>
      <c r="AF571" s="74">
        <f>tblData[[#This Row],[Gross Sales]]+tblData[[#This Row],[Trade Discounts]]+tblData[[#This Row],[Returns]]</f>
        <v>1712</v>
      </c>
      <c r="AG571" s="74">
        <f>tblData[[#This Row],[Material Cost]]+tblData[[#This Row],[Conversion Cost]]+tblData[[#This Row],[Inbound Freight]]</f>
        <v>-828</v>
      </c>
      <c r="AH571" s="74">
        <f>tblData[[#This Row],[Net Revenue]]+tblData[[#This Row],[COGS]]</f>
        <v>884</v>
      </c>
      <c r="AI571" s="74">
        <f>tblData[[#This Row],[Advertising]]+tblData[[#This Row],[Promotions]]</f>
        <v>-83</v>
      </c>
      <c r="AJ571" s="74">
        <f>tblData[[#This Row],[Outbound Logistics]]+tblData[[#This Row],[Direct Selling]]</f>
        <v>-145</v>
      </c>
      <c r="AK571" s="74">
        <f>tblData[[#This Row],[Gross Profit]]+tblData[[#This Row],[AP Spend]]+tblData[[#This Row],[Cost to Serve]]</f>
        <v>656</v>
      </c>
    </row>
    <row r="572" spans="2:37" x14ac:dyDescent="0.25">
      <c r="B572" s="71" t="s">
        <v>50</v>
      </c>
      <c r="C572" s="71">
        <v>2026</v>
      </c>
      <c r="D572" s="71">
        <v>3</v>
      </c>
      <c r="E572" s="71" t="s">
        <v>44</v>
      </c>
      <c r="F572" s="71" t="s">
        <v>41</v>
      </c>
      <c r="G572" s="72">
        <v>146.30000000000001</v>
      </c>
      <c r="H572" s="73">
        <v>1609</v>
      </c>
      <c r="I572" s="73">
        <v>-257</v>
      </c>
      <c r="J572" s="73">
        <v>-19</v>
      </c>
      <c r="K572" s="73">
        <v>-382</v>
      </c>
      <c r="L572" s="73">
        <v>-96</v>
      </c>
      <c r="M572" s="73">
        <v>-53</v>
      </c>
      <c r="N572" s="73">
        <v>-115</v>
      </c>
      <c r="O572" s="73">
        <v>-62</v>
      </c>
      <c r="P572" s="73">
        <v>-64</v>
      </c>
      <c r="Q572" s="73">
        <v>-48</v>
      </c>
      <c r="R572" s="73">
        <v>0</v>
      </c>
      <c r="S572" s="73">
        <v>0</v>
      </c>
      <c r="T572" s="73">
        <v>0</v>
      </c>
      <c r="U572" s="73">
        <v>0</v>
      </c>
      <c r="V572" s="73">
        <v>0</v>
      </c>
      <c r="W572" s="73">
        <v>0</v>
      </c>
      <c r="X572" s="73">
        <v>0</v>
      </c>
      <c r="Y572" s="73">
        <v>0</v>
      </c>
      <c r="Z572" s="73">
        <v>2018</v>
      </c>
      <c r="AA572" s="73">
        <v>1448</v>
      </c>
      <c r="AB572" s="73">
        <v>0</v>
      </c>
      <c r="AC572" s="73">
        <v>0</v>
      </c>
      <c r="AD572" s="73">
        <v>0</v>
      </c>
      <c r="AE572" s="73">
        <v>0</v>
      </c>
      <c r="AF572" s="74">
        <f>tblData[[#This Row],[Gross Sales]]+tblData[[#This Row],[Trade Discounts]]+tblData[[#This Row],[Returns]]</f>
        <v>1333</v>
      </c>
      <c r="AG572" s="74">
        <f>tblData[[#This Row],[Material Cost]]+tblData[[#This Row],[Conversion Cost]]+tblData[[#This Row],[Inbound Freight]]</f>
        <v>-531</v>
      </c>
      <c r="AH572" s="74">
        <f>tblData[[#This Row],[Net Revenue]]+tblData[[#This Row],[COGS]]</f>
        <v>802</v>
      </c>
      <c r="AI572" s="74">
        <f>tblData[[#This Row],[Advertising]]+tblData[[#This Row],[Promotions]]</f>
        <v>-177</v>
      </c>
      <c r="AJ572" s="74">
        <f>tblData[[#This Row],[Outbound Logistics]]+tblData[[#This Row],[Direct Selling]]</f>
        <v>-112</v>
      </c>
      <c r="AK572" s="74">
        <f>tblData[[#This Row],[Gross Profit]]+tblData[[#This Row],[AP Spend]]+tblData[[#This Row],[Cost to Serve]]</f>
        <v>513</v>
      </c>
    </row>
    <row r="573" spans="2:37" x14ac:dyDescent="0.25">
      <c r="B573" s="71" t="s">
        <v>50</v>
      </c>
      <c r="C573" s="71">
        <v>2026</v>
      </c>
      <c r="D573" s="71">
        <v>3</v>
      </c>
      <c r="E573" s="71" t="s">
        <v>44</v>
      </c>
      <c r="F573" s="71" t="s">
        <v>42</v>
      </c>
      <c r="G573" s="72">
        <v>191.5</v>
      </c>
      <c r="H573" s="73">
        <v>1149</v>
      </c>
      <c r="I573" s="73">
        <v>-184</v>
      </c>
      <c r="J573" s="73">
        <v>-14</v>
      </c>
      <c r="K573" s="73">
        <v>-364</v>
      </c>
      <c r="L573" s="73">
        <v>-91</v>
      </c>
      <c r="M573" s="73">
        <v>-51</v>
      </c>
      <c r="N573" s="73">
        <v>-22</v>
      </c>
      <c r="O573" s="73">
        <v>-12</v>
      </c>
      <c r="P573" s="73">
        <v>-46</v>
      </c>
      <c r="Q573" s="73">
        <v>-34</v>
      </c>
      <c r="R573" s="73">
        <v>0</v>
      </c>
      <c r="S573" s="73">
        <v>0</v>
      </c>
      <c r="T573" s="73">
        <v>0</v>
      </c>
      <c r="U573" s="73">
        <v>0</v>
      </c>
      <c r="V573" s="73">
        <v>0</v>
      </c>
      <c r="W573" s="73">
        <v>0</v>
      </c>
      <c r="X573" s="73">
        <v>0</v>
      </c>
      <c r="Y573" s="73">
        <v>0</v>
      </c>
      <c r="Z573" s="73">
        <v>1441</v>
      </c>
      <c r="AA573" s="73">
        <v>1685</v>
      </c>
      <c r="AB573" s="73">
        <v>0</v>
      </c>
      <c r="AC573" s="73">
        <v>0</v>
      </c>
      <c r="AD573" s="73">
        <v>0</v>
      </c>
      <c r="AE573" s="73">
        <v>0</v>
      </c>
      <c r="AF573" s="74">
        <f>tblData[[#This Row],[Gross Sales]]+tblData[[#This Row],[Trade Discounts]]+tblData[[#This Row],[Returns]]</f>
        <v>951</v>
      </c>
      <c r="AG573" s="74">
        <f>tblData[[#This Row],[Material Cost]]+tblData[[#This Row],[Conversion Cost]]+tblData[[#This Row],[Inbound Freight]]</f>
        <v>-506</v>
      </c>
      <c r="AH573" s="74">
        <f>tblData[[#This Row],[Net Revenue]]+tblData[[#This Row],[COGS]]</f>
        <v>445</v>
      </c>
      <c r="AI573" s="74">
        <f>tblData[[#This Row],[Advertising]]+tblData[[#This Row],[Promotions]]</f>
        <v>-34</v>
      </c>
      <c r="AJ573" s="74">
        <f>tblData[[#This Row],[Outbound Logistics]]+tblData[[#This Row],[Direct Selling]]</f>
        <v>-80</v>
      </c>
      <c r="AK573" s="74">
        <f>tblData[[#This Row],[Gross Profit]]+tblData[[#This Row],[AP Spend]]+tblData[[#This Row],[Cost to Serve]]</f>
        <v>331</v>
      </c>
    </row>
    <row r="574" spans="2:37" x14ac:dyDescent="0.25">
      <c r="B574" s="71" t="s">
        <v>50</v>
      </c>
      <c r="C574" s="71">
        <v>2026</v>
      </c>
      <c r="D574" s="71">
        <v>3</v>
      </c>
      <c r="E574" s="71" t="s">
        <v>44</v>
      </c>
      <c r="F574" s="71" t="s">
        <v>43</v>
      </c>
      <c r="G574" s="72">
        <v>38.299999999999997</v>
      </c>
      <c r="H574" s="73">
        <v>689</v>
      </c>
      <c r="I574" s="73">
        <v>-110</v>
      </c>
      <c r="J574" s="73">
        <v>-8</v>
      </c>
      <c r="K574" s="73">
        <v>-189</v>
      </c>
      <c r="L574" s="73">
        <v>-47</v>
      </c>
      <c r="M574" s="73">
        <v>-26</v>
      </c>
      <c r="N574" s="73">
        <v>-63</v>
      </c>
      <c r="O574" s="73">
        <v>-34</v>
      </c>
      <c r="P574" s="73">
        <v>-28</v>
      </c>
      <c r="Q574" s="73">
        <v>-21</v>
      </c>
      <c r="R574" s="73">
        <v>0</v>
      </c>
      <c r="S574" s="73">
        <v>0</v>
      </c>
      <c r="T574" s="73">
        <v>0</v>
      </c>
      <c r="U574" s="73">
        <v>0</v>
      </c>
      <c r="V574" s="73">
        <v>0</v>
      </c>
      <c r="W574" s="73">
        <v>0</v>
      </c>
      <c r="X574" s="73">
        <v>0</v>
      </c>
      <c r="Y574" s="73">
        <v>0</v>
      </c>
      <c r="Z574" s="73">
        <v>865</v>
      </c>
      <c r="AA574" s="73">
        <v>953</v>
      </c>
      <c r="AB574" s="73">
        <v>0</v>
      </c>
      <c r="AC574" s="73">
        <v>0</v>
      </c>
      <c r="AD574" s="73">
        <v>0</v>
      </c>
      <c r="AE574" s="73">
        <v>0</v>
      </c>
      <c r="AF574" s="74">
        <f>tblData[[#This Row],[Gross Sales]]+tblData[[#This Row],[Trade Discounts]]+tblData[[#This Row],[Returns]]</f>
        <v>571</v>
      </c>
      <c r="AG574" s="74">
        <f>tblData[[#This Row],[Material Cost]]+tblData[[#This Row],[Conversion Cost]]+tblData[[#This Row],[Inbound Freight]]</f>
        <v>-262</v>
      </c>
      <c r="AH574" s="74">
        <f>tblData[[#This Row],[Net Revenue]]+tblData[[#This Row],[COGS]]</f>
        <v>309</v>
      </c>
      <c r="AI574" s="74">
        <f>tblData[[#This Row],[Advertising]]+tblData[[#This Row],[Promotions]]</f>
        <v>-97</v>
      </c>
      <c r="AJ574" s="74">
        <f>tblData[[#This Row],[Outbound Logistics]]+tblData[[#This Row],[Direct Selling]]</f>
        <v>-49</v>
      </c>
      <c r="AK574" s="74">
        <f>tblData[[#This Row],[Gross Profit]]+tblData[[#This Row],[AP Spend]]+tblData[[#This Row],[Cost to Serve]]</f>
        <v>163</v>
      </c>
    </row>
    <row r="575" spans="2:37" x14ac:dyDescent="0.25">
      <c r="B575" s="71" t="s">
        <v>50</v>
      </c>
      <c r="C575" s="71">
        <v>2026</v>
      </c>
      <c r="D575" s="71">
        <v>3</v>
      </c>
      <c r="E575" s="71" t="s">
        <v>45</v>
      </c>
      <c r="F575" s="71" t="s">
        <v>38</v>
      </c>
      <c r="G575" s="72">
        <v>134.1</v>
      </c>
      <c r="H575" s="73">
        <v>1877</v>
      </c>
      <c r="I575" s="73">
        <v>-413</v>
      </c>
      <c r="J575" s="73">
        <v>-19</v>
      </c>
      <c r="K575" s="73">
        <v>-405</v>
      </c>
      <c r="L575" s="73">
        <v>-101</v>
      </c>
      <c r="M575" s="73">
        <v>-56</v>
      </c>
      <c r="N575" s="73">
        <v>-110</v>
      </c>
      <c r="O575" s="73">
        <v>-59</v>
      </c>
      <c r="P575" s="73">
        <v>-66</v>
      </c>
      <c r="Q575" s="73">
        <v>-38</v>
      </c>
      <c r="R575" s="73">
        <v>0</v>
      </c>
      <c r="S575" s="73">
        <v>0</v>
      </c>
      <c r="T575" s="73">
        <v>0</v>
      </c>
      <c r="U575" s="73">
        <v>0</v>
      </c>
      <c r="V575" s="73">
        <v>0</v>
      </c>
      <c r="W575" s="73">
        <v>0</v>
      </c>
      <c r="X575" s="73">
        <v>0</v>
      </c>
      <c r="Y575" s="73">
        <v>0</v>
      </c>
      <c r="Z575" s="73">
        <v>1970</v>
      </c>
      <c r="AA575" s="73">
        <v>1621</v>
      </c>
      <c r="AB575" s="73">
        <v>0</v>
      </c>
      <c r="AC575" s="73">
        <v>0</v>
      </c>
      <c r="AD575" s="73">
        <v>0</v>
      </c>
      <c r="AE575" s="73">
        <v>0</v>
      </c>
      <c r="AF575" s="74">
        <f>tblData[[#This Row],[Gross Sales]]+tblData[[#This Row],[Trade Discounts]]+tblData[[#This Row],[Returns]]</f>
        <v>1445</v>
      </c>
      <c r="AG575" s="74">
        <f>tblData[[#This Row],[Material Cost]]+tblData[[#This Row],[Conversion Cost]]+tblData[[#This Row],[Inbound Freight]]</f>
        <v>-562</v>
      </c>
      <c r="AH575" s="74">
        <f>tblData[[#This Row],[Net Revenue]]+tblData[[#This Row],[COGS]]</f>
        <v>883</v>
      </c>
      <c r="AI575" s="74">
        <f>tblData[[#This Row],[Advertising]]+tblData[[#This Row],[Promotions]]</f>
        <v>-169</v>
      </c>
      <c r="AJ575" s="74">
        <f>tblData[[#This Row],[Outbound Logistics]]+tblData[[#This Row],[Direct Selling]]</f>
        <v>-104</v>
      </c>
      <c r="AK575" s="74">
        <f>tblData[[#This Row],[Gross Profit]]+tblData[[#This Row],[AP Spend]]+tblData[[#This Row],[Cost to Serve]]</f>
        <v>610</v>
      </c>
    </row>
    <row r="576" spans="2:37" x14ac:dyDescent="0.25">
      <c r="B576" s="71" t="s">
        <v>50</v>
      </c>
      <c r="C576" s="71">
        <v>2026</v>
      </c>
      <c r="D576" s="71">
        <v>3</v>
      </c>
      <c r="E576" s="71" t="s">
        <v>45</v>
      </c>
      <c r="F576" s="71" t="s">
        <v>39</v>
      </c>
      <c r="G576" s="72">
        <v>178.8</v>
      </c>
      <c r="H576" s="73">
        <v>1609</v>
      </c>
      <c r="I576" s="73">
        <v>-354</v>
      </c>
      <c r="J576" s="73">
        <v>-16</v>
      </c>
      <c r="K576" s="73">
        <v>-417</v>
      </c>
      <c r="L576" s="73">
        <v>-104</v>
      </c>
      <c r="M576" s="73">
        <v>-58</v>
      </c>
      <c r="N576" s="73">
        <v>-63</v>
      </c>
      <c r="O576" s="73">
        <v>-34</v>
      </c>
      <c r="P576" s="73">
        <v>-56</v>
      </c>
      <c r="Q576" s="73">
        <v>-32</v>
      </c>
      <c r="R576" s="73">
        <v>0</v>
      </c>
      <c r="S576" s="73">
        <v>0</v>
      </c>
      <c r="T576" s="73">
        <v>0</v>
      </c>
      <c r="U576" s="73">
        <v>0</v>
      </c>
      <c r="V576" s="73">
        <v>0</v>
      </c>
      <c r="W576" s="73">
        <v>0</v>
      </c>
      <c r="X576" s="73">
        <v>0</v>
      </c>
      <c r="Y576" s="73">
        <v>0</v>
      </c>
      <c r="Z576" s="73">
        <v>1689</v>
      </c>
      <c r="AA576" s="73">
        <v>1404</v>
      </c>
      <c r="AB576" s="73">
        <v>0</v>
      </c>
      <c r="AC576" s="73">
        <v>0</v>
      </c>
      <c r="AD576" s="73">
        <v>0</v>
      </c>
      <c r="AE576" s="73">
        <v>0</v>
      </c>
      <c r="AF576" s="74">
        <f>tblData[[#This Row],[Gross Sales]]+tblData[[#This Row],[Trade Discounts]]+tblData[[#This Row],[Returns]]</f>
        <v>1239</v>
      </c>
      <c r="AG576" s="74">
        <f>tblData[[#This Row],[Material Cost]]+tblData[[#This Row],[Conversion Cost]]+tblData[[#This Row],[Inbound Freight]]</f>
        <v>-579</v>
      </c>
      <c r="AH576" s="74">
        <f>tblData[[#This Row],[Net Revenue]]+tblData[[#This Row],[COGS]]</f>
        <v>660</v>
      </c>
      <c r="AI576" s="74">
        <f>tblData[[#This Row],[Advertising]]+tblData[[#This Row],[Promotions]]</f>
        <v>-97</v>
      </c>
      <c r="AJ576" s="74">
        <f>tblData[[#This Row],[Outbound Logistics]]+tblData[[#This Row],[Direct Selling]]</f>
        <v>-88</v>
      </c>
      <c r="AK576" s="74">
        <f>tblData[[#This Row],[Gross Profit]]+tblData[[#This Row],[AP Spend]]+tblData[[#This Row],[Cost to Serve]]</f>
        <v>475</v>
      </c>
    </row>
    <row r="577" spans="2:37" x14ac:dyDescent="0.25">
      <c r="B577" s="71" t="s">
        <v>50</v>
      </c>
      <c r="C577" s="71">
        <v>2026</v>
      </c>
      <c r="D577" s="71">
        <v>3</v>
      </c>
      <c r="E577" s="71" t="s">
        <v>45</v>
      </c>
      <c r="F577" s="71" t="s">
        <v>40</v>
      </c>
      <c r="G577" s="72">
        <v>172.4</v>
      </c>
      <c r="H577" s="73">
        <v>1207</v>
      </c>
      <c r="I577" s="73">
        <v>-265</v>
      </c>
      <c r="J577" s="73">
        <v>-12</v>
      </c>
      <c r="K577" s="73">
        <v>-347</v>
      </c>
      <c r="L577" s="73">
        <v>-87</v>
      </c>
      <c r="M577" s="73">
        <v>-48</v>
      </c>
      <c r="N577" s="73">
        <v>-31</v>
      </c>
      <c r="O577" s="73">
        <v>-17</v>
      </c>
      <c r="P577" s="73">
        <v>-42</v>
      </c>
      <c r="Q577" s="73">
        <v>-24</v>
      </c>
      <c r="R577" s="73">
        <v>0</v>
      </c>
      <c r="S577" s="73">
        <v>0</v>
      </c>
      <c r="T577" s="73">
        <v>0</v>
      </c>
      <c r="U577" s="73">
        <v>0</v>
      </c>
      <c r="V577" s="73">
        <v>0</v>
      </c>
      <c r="W577" s="73">
        <v>0</v>
      </c>
      <c r="X577" s="73">
        <v>0</v>
      </c>
      <c r="Y577" s="73">
        <v>0</v>
      </c>
      <c r="Z577" s="73">
        <v>1267</v>
      </c>
      <c r="AA577" s="73">
        <v>1097</v>
      </c>
      <c r="AB577" s="73">
        <v>0</v>
      </c>
      <c r="AC577" s="73">
        <v>0</v>
      </c>
      <c r="AD577" s="73">
        <v>0</v>
      </c>
      <c r="AE577" s="73">
        <v>0</v>
      </c>
      <c r="AF577" s="74">
        <f>tblData[[#This Row],[Gross Sales]]+tblData[[#This Row],[Trade Discounts]]+tblData[[#This Row],[Returns]]</f>
        <v>930</v>
      </c>
      <c r="AG577" s="74">
        <f>tblData[[#This Row],[Material Cost]]+tblData[[#This Row],[Conversion Cost]]+tblData[[#This Row],[Inbound Freight]]</f>
        <v>-482</v>
      </c>
      <c r="AH577" s="74">
        <f>tblData[[#This Row],[Net Revenue]]+tblData[[#This Row],[COGS]]</f>
        <v>448</v>
      </c>
      <c r="AI577" s="74">
        <f>tblData[[#This Row],[Advertising]]+tblData[[#This Row],[Promotions]]</f>
        <v>-48</v>
      </c>
      <c r="AJ577" s="74">
        <f>tblData[[#This Row],[Outbound Logistics]]+tblData[[#This Row],[Direct Selling]]</f>
        <v>-66</v>
      </c>
      <c r="AK577" s="74">
        <f>tblData[[#This Row],[Gross Profit]]+tblData[[#This Row],[AP Spend]]+tblData[[#This Row],[Cost to Serve]]</f>
        <v>334</v>
      </c>
    </row>
    <row r="578" spans="2:37" x14ac:dyDescent="0.25">
      <c r="B578" s="71" t="s">
        <v>50</v>
      </c>
      <c r="C578" s="71">
        <v>2026</v>
      </c>
      <c r="D578" s="71">
        <v>3</v>
      </c>
      <c r="E578" s="71" t="s">
        <v>45</v>
      </c>
      <c r="F578" s="71" t="s">
        <v>41</v>
      </c>
      <c r="G578" s="72">
        <v>85.3</v>
      </c>
      <c r="H578" s="73">
        <v>938</v>
      </c>
      <c r="I578" s="73">
        <v>-206</v>
      </c>
      <c r="J578" s="73">
        <v>-9</v>
      </c>
      <c r="K578" s="73">
        <v>-223</v>
      </c>
      <c r="L578" s="73">
        <v>-56</v>
      </c>
      <c r="M578" s="73">
        <v>-31</v>
      </c>
      <c r="N578" s="73">
        <v>-67</v>
      </c>
      <c r="O578" s="73">
        <v>-36</v>
      </c>
      <c r="P578" s="73">
        <v>-33</v>
      </c>
      <c r="Q578" s="73">
        <v>-19</v>
      </c>
      <c r="R578" s="73">
        <v>0</v>
      </c>
      <c r="S578" s="73">
        <v>0</v>
      </c>
      <c r="T578" s="73">
        <v>0</v>
      </c>
      <c r="U578" s="73">
        <v>0</v>
      </c>
      <c r="V578" s="73">
        <v>0</v>
      </c>
      <c r="W578" s="73">
        <v>0</v>
      </c>
      <c r="X578" s="73">
        <v>0</v>
      </c>
      <c r="Y578" s="73">
        <v>0</v>
      </c>
      <c r="Z578" s="73">
        <v>985</v>
      </c>
      <c r="AA578" s="73">
        <v>844</v>
      </c>
      <c r="AB578" s="73">
        <v>0</v>
      </c>
      <c r="AC578" s="73">
        <v>0</v>
      </c>
      <c r="AD578" s="73">
        <v>0</v>
      </c>
      <c r="AE578" s="73">
        <v>0</v>
      </c>
      <c r="AF578" s="74">
        <f>tblData[[#This Row],[Gross Sales]]+tblData[[#This Row],[Trade Discounts]]+tblData[[#This Row],[Returns]]</f>
        <v>723</v>
      </c>
      <c r="AG578" s="74">
        <f>tblData[[#This Row],[Material Cost]]+tblData[[#This Row],[Conversion Cost]]+tblData[[#This Row],[Inbound Freight]]</f>
        <v>-310</v>
      </c>
      <c r="AH578" s="74">
        <f>tblData[[#This Row],[Net Revenue]]+tblData[[#This Row],[COGS]]</f>
        <v>413</v>
      </c>
      <c r="AI578" s="74">
        <f>tblData[[#This Row],[Advertising]]+tblData[[#This Row],[Promotions]]</f>
        <v>-103</v>
      </c>
      <c r="AJ578" s="74">
        <f>tblData[[#This Row],[Outbound Logistics]]+tblData[[#This Row],[Direct Selling]]</f>
        <v>-52</v>
      </c>
      <c r="AK578" s="74">
        <f>tblData[[#This Row],[Gross Profit]]+tblData[[#This Row],[AP Spend]]+tblData[[#This Row],[Cost to Serve]]</f>
        <v>258</v>
      </c>
    </row>
    <row r="579" spans="2:37" x14ac:dyDescent="0.25">
      <c r="B579" s="71" t="s">
        <v>50</v>
      </c>
      <c r="C579" s="71">
        <v>2026</v>
      </c>
      <c r="D579" s="71">
        <v>3</v>
      </c>
      <c r="E579" s="71" t="s">
        <v>45</v>
      </c>
      <c r="F579" s="71" t="s">
        <v>42</v>
      </c>
      <c r="G579" s="72">
        <v>111.7</v>
      </c>
      <c r="H579" s="73">
        <v>670</v>
      </c>
      <c r="I579" s="73">
        <v>-147</v>
      </c>
      <c r="J579" s="73">
        <v>-7</v>
      </c>
      <c r="K579" s="73">
        <v>-212</v>
      </c>
      <c r="L579" s="73">
        <v>-53</v>
      </c>
      <c r="M579" s="73">
        <v>-29</v>
      </c>
      <c r="N579" s="73">
        <v>-13</v>
      </c>
      <c r="O579" s="73">
        <v>-7</v>
      </c>
      <c r="P579" s="73">
        <v>-23</v>
      </c>
      <c r="Q579" s="73">
        <v>-13</v>
      </c>
      <c r="R579" s="73">
        <v>0</v>
      </c>
      <c r="S579" s="73">
        <v>0</v>
      </c>
      <c r="T579" s="73">
        <v>0</v>
      </c>
      <c r="U579" s="73">
        <v>0</v>
      </c>
      <c r="V579" s="73">
        <v>0</v>
      </c>
      <c r="W579" s="73">
        <v>0</v>
      </c>
      <c r="X579" s="73">
        <v>0</v>
      </c>
      <c r="Y579" s="73">
        <v>0</v>
      </c>
      <c r="Z579" s="73">
        <v>704</v>
      </c>
      <c r="AA579" s="73">
        <v>983</v>
      </c>
      <c r="AB579" s="73">
        <v>0</v>
      </c>
      <c r="AC579" s="73">
        <v>0</v>
      </c>
      <c r="AD579" s="73">
        <v>0</v>
      </c>
      <c r="AE579" s="73">
        <v>0</v>
      </c>
      <c r="AF579" s="74">
        <f>tblData[[#This Row],[Gross Sales]]+tblData[[#This Row],[Trade Discounts]]+tblData[[#This Row],[Returns]]</f>
        <v>516</v>
      </c>
      <c r="AG579" s="74">
        <f>tblData[[#This Row],[Material Cost]]+tblData[[#This Row],[Conversion Cost]]+tblData[[#This Row],[Inbound Freight]]</f>
        <v>-294</v>
      </c>
      <c r="AH579" s="74">
        <f>tblData[[#This Row],[Net Revenue]]+tblData[[#This Row],[COGS]]</f>
        <v>222</v>
      </c>
      <c r="AI579" s="74">
        <f>tblData[[#This Row],[Advertising]]+tblData[[#This Row],[Promotions]]</f>
        <v>-20</v>
      </c>
      <c r="AJ579" s="74">
        <f>tblData[[#This Row],[Outbound Logistics]]+tblData[[#This Row],[Direct Selling]]</f>
        <v>-36</v>
      </c>
      <c r="AK579" s="74">
        <f>tblData[[#This Row],[Gross Profit]]+tblData[[#This Row],[AP Spend]]+tblData[[#This Row],[Cost to Serve]]</f>
        <v>166</v>
      </c>
    </row>
    <row r="580" spans="2:37" x14ac:dyDescent="0.25">
      <c r="B580" s="71" t="s">
        <v>50</v>
      </c>
      <c r="C580" s="71">
        <v>2026</v>
      </c>
      <c r="D580" s="71">
        <v>3</v>
      </c>
      <c r="E580" s="71" t="s">
        <v>45</v>
      </c>
      <c r="F580" s="71" t="s">
        <v>43</v>
      </c>
      <c r="G580" s="72">
        <v>22.3</v>
      </c>
      <c r="H580" s="73">
        <v>402</v>
      </c>
      <c r="I580" s="73">
        <v>-88</v>
      </c>
      <c r="J580" s="73">
        <v>-4</v>
      </c>
      <c r="K580" s="73">
        <v>-110</v>
      </c>
      <c r="L580" s="73">
        <v>-28</v>
      </c>
      <c r="M580" s="73">
        <v>-15</v>
      </c>
      <c r="N580" s="73">
        <v>-37</v>
      </c>
      <c r="O580" s="73">
        <v>-20</v>
      </c>
      <c r="P580" s="73">
        <v>-14</v>
      </c>
      <c r="Q580" s="73">
        <v>-8</v>
      </c>
      <c r="R580" s="73">
        <v>0</v>
      </c>
      <c r="S580" s="73">
        <v>0</v>
      </c>
      <c r="T580" s="73">
        <v>0</v>
      </c>
      <c r="U580" s="73">
        <v>0</v>
      </c>
      <c r="V580" s="73">
        <v>0</v>
      </c>
      <c r="W580" s="73">
        <v>0</v>
      </c>
      <c r="X580" s="73">
        <v>0</v>
      </c>
      <c r="Y580" s="73">
        <v>0</v>
      </c>
      <c r="Z580" s="73">
        <v>422</v>
      </c>
      <c r="AA580" s="73">
        <v>556</v>
      </c>
      <c r="AB580" s="73">
        <v>0</v>
      </c>
      <c r="AC580" s="73">
        <v>0</v>
      </c>
      <c r="AD580" s="73">
        <v>0</v>
      </c>
      <c r="AE580" s="73">
        <v>0</v>
      </c>
      <c r="AF580" s="74">
        <f>tblData[[#This Row],[Gross Sales]]+tblData[[#This Row],[Trade Discounts]]+tblData[[#This Row],[Returns]]</f>
        <v>310</v>
      </c>
      <c r="AG580" s="74">
        <f>tblData[[#This Row],[Material Cost]]+tblData[[#This Row],[Conversion Cost]]+tblData[[#This Row],[Inbound Freight]]</f>
        <v>-153</v>
      </c>
      <c r="AH580" s="74">
        <f>tblData[[#This Row],[Net Revenue]]+tblData[[#This Row],[COGS]]</f>
        <v>157</v>
      </c>
      <c r="AI580" s="74">
        <f>tblData[[#This Row],[Advertising]]+tblData[[#This Row],[Promotions]]</f>
        <v>-57</v>
      </c>
      <c r="AJ580" s="74">
        <f>tblData[[#This Row],[Outbound Logistics]]+tblData[[#This Row],[Direct Selling]]</f>
        <v>-22</v>
      </c>
      <c r="AK580" s="74">
        <f>tblData[[#This Row],[Gross Profit]]+tblData[[#This Row],[AP Spend]]+tblData[[#This Row],[Cost to Serve]]</f>
        <v>78</v>
      </c>
    </row>
    <row r="581" spans="2:37" x14ac:dyDescent="0.25">
      <c r="B581" s="71" t="s">
        <v>50</v>
      </c>
      <c r="C581" s="71">
        <v>2026</v>
      </c>
      <c r="D581" s="71">
        <v>3</v>
      </c>
      <c r="E581" s="71" t="s">
        <v>46</v>
      </c>
      <c r="F581" s="71" t="s">
        <v>38</v>
      </c>
      <c r="G581" s="72">
        <v>153.19999999999999</v>
      </c>
      <c r="H581" s="73">
        <v>2145</v>
      </c>
      <c r="I581" s="73">
        <v>-236</v>
      </c>
      <c r="J581" s="73">
        <v>-86</v>
      </c>
      <c r="K581" s="73">
        <v>-463</v>
      </c>
      <c r="L581" s="73">
        <v>-116</v>
      </c>
      <c r="M581" s="73">
        <v>-64</v>
      </c>
      <c r="N581" s="73">
        <v>-125</v>
      </c>
      <c r="O581" s="73">
        <v>-68</v>
      </c>
      <c r="P581" s="73">
        <v>-161</v>
      </c>
      <c r="Q581" s="73">
        <v>-43</v>
      </c>
      <c r="R581" s="73">
        <v>0</v>
      </c>
      <c r="S581" s="73">
        <v>0</v>
      </c>
      <c r="T581" s="73">
        <v>0</v>
      </c>
      <c r="U581" s="73">
        <v>0</v>
      </c>
      <c r="V581" s="73">
        <v>0</v>
      </c>
      <c r="W581" s="73">
        <v>0</v>
      </c>
      <c r="X581" s="73">
        <v>0</v>
      </c>
      <c r="Y581" s="73">
        <v>0</v>
      </c>
      <c r="Z581" s="73">
        <v>1381</v>
      </c>
      <c r="AA581" s="73">
        <v>1852</v>
      </c>
      <c r="AB581" s="73">
        <v>0</v>
      </c>
      <c r="AC581" s="73">
        <v>0</v>
      </c>
      <c r="AD581" s="73">
        <v>0</v>
      </c>
      <c r="AE581" s="73">
        <v>0</v>
      </c>
      <c r="AF581" s="74">
        <f>tblData[[#This Row],[Gross Sales]]+tblData[[#This Row],[Trade Discounts]]+tblData[[#This Row],[Returns]]</f>
        <v>1823</v>
      </c>
      <c r="AG581" s="74">
        <f>tblData[[#This Row],[Material Cost]]+tblData[[#This Row],[Conversion Cost]]+tblData[[#This Row],[Inbound Freight]]</f>
        <v>-643</v>
      </c>
      <c r="AH581" s="74">
        <f>tblData[[#This Row],[Net Revenue]]+tblData[[#This Row],[COGS]]</f>
        <v>1180</v>
      </c>
      <c r="AI581" s="74">
        <f>tblData[[#This Row],[Advertising]]+tblData[[#This Row],[Promotions]]</f>
        <v>-193</v>
      </c>
      <c r="AJ581" s="74">
        <f>tblData[[#This Row],[Outbound Logistics]]+tblData[[#This Row],[Direct Selling]]</f>
        <v>-204</v>
      </c>
      <c r="AK581" s="74">
        <f>tblData[[#This Row],[Gross Profit]]+tblData[[#This Row],[AP Spend]]+tblData[[#This Row],[Cost to Serve]]</f>
        <v>783</v>
      </c>
    </row>
    <row r="582" spans="2:37" x14ac:dyDescent="0.25">
      <c r="B582" s="71" t="s">
        <v>50</v>
      </c>
      <c r="C582" s="71">
        <v>2026</v>
      </c>
      <c r="D582" s="71">
        <v>3</v>
      </c>
      <c r="E582" s="71" t="s">
        <v>46</v>
      </c>
      <c r="F582" s="71" t="s">
        <v>39</v>
      </c>
      <c r="G582" s="72">
        <v>204.3</v>
      </c>
      <c r="H582" s="73">
        <v>1839</v>
      </c>
      <c r="I582" s="73">
        <v>-202</v>
      </c>
      <c r="J582" s="73">
        <v>-74</v>
      </c>
      <c r="K582" s="73">
        <v>-477</v>
      </c>
      <c r="L582" s="73">
        <v>-119</v>
      </c>
      <c r="M582" s="73">
        <v>-66</v>
      </c>
      <c r="N582" s="73">
        <v>-72</v>
      </c>
      <c r="O582" s="73">
        <v>-39</v>
      </c>
      <c r="P582" s="73">
        <v>-138</v>
      </c>
      <c r="Q582" s="73">
        <v>-37</v>
      </c>
      <c r="R582" s="73">
        <v>0</v>
      </c>
      <c r="S582" s="73">
        <v>0</v>
      </c>
      <c r="T582" s="73">
        <v>0</v>
      </c>
      <c r="U582" s="73">
        <v>0</v>
      </c>
      <c r="V582" s="73">
        <v>0</v>
      </c>
      <c r="W582" s="73">
        <v>0</v>
      </c>
      <c r="X582" s="73">
        <v>0</v>
      </c>
      <c r="Y582" s="73">
        <v>0</v>
      </c>
      <c r="Z582" s="73">
        <v>1184</v>
      </c>
      <c r="AA582" s="73">
        <v>1604</v>
      </c>
      <c r="AB582" s="73">
        <v>0</v>
      </c>
      <c r="AC582" s="73">
        <v>0</v>
      </c>
      <c r="AD582" s="73">
        <v>0</v>
      </c>
      <c r="AE582" s="73">
        <v>0</v>
      </c>
      <c r="AF582" s="74">
        <f>tblData[[#This Row],[Gross Sales]]+tblData[[#This Row],[Trade Discounts]]+tblData[[#This Row],[Returns]]</f>
        <v>1563</v>
      </c>
      <c r="AG582" s="74">
        <f>tblData[[#This Row],[Material Cost]]+tblData[[#This Row],[Conversion Cost]]+tblData[[#This Row],[Inbound Freight]]</f>
        <v>-662</v>
      </c>
      <c r="AH582" s="74">
        <f>tblData[[#This Row],[Net Revenue]]+tblData[[#This Row],[COGS]]</f>
        <v>901</v>
      </c>
      <c r="AI582" s="74">
        <f>tblData[[#This Row],[Advertising]]+tblData[[#This Row],[Promotions]]</f>
        <v>-111</v>
      </c>
      <c r="AJ582" s="74">
        <f>tblData[[#This Row],[Outbound Logistics]]+tblData[[#This Row],[Direct Selling]]</f>
        <v>-175</v>
      </c>
      <c r="AK582" s="74">
        <f>tblData[[#This Row],[Gross Profit]]+tblData[[#This Row],[AP Spend]]+tblData[[#This Row],[Cost to Serve]]</f>
        <v>615</v>
      </c>
    </row>
    <row r="583" spans="2:37" x14ac:dyDescent="0.25">
      <c r="B583" s="71" t="s">
        <v>50</v>
      </c>
      <c r="C583" s="71">
        <v>2026</v>
      </c>
      <c r="D583" s="71">
        <v>3</v>
      </c>
      <c r="E583" s="71" t="s">
        <v>46</v>
      </c>
      <c r="F583" s="71" t="s">
        <v>40</v>
      </c>
      <c r="G583" s="72">
        <v>197</v>
      </c>
      <c r="H583" s="73">
        <v>1379</v>
      </c>
      <c r="I583" s="73">
        <v>-152</v>
      </c>
      <c r="J583" s="73">
        <v>-55</v>
      </c>
      <c r="K583" s="73">
        <v>-397</v>
      </c>
      <c r="L583" s="73">
        <v>-99</v>
      </c>
      <c r="M583" s="73">
        <v>-55</v>
      </c>
      <c r="N583" s="73">
        <v>-36</v>
      </c>
      <c r="O583" s="73">
        <v>-19</v>
      </c>
      <c r="P583" s="73">
        <v>-103</v>
      </c>
      <c r="Q583" s="73">
        <v>-28</v>
      </c>
      <c r="R583" s="73">
        <v>0</v>
      </c>
      <c r="S583" s="73">
        <v>0</v>
      </c>
      <c r="T583" s="73">
        <v>0</v>
      </c>
      <c r="U583" s="73">
        <v>0</v>
      </c>
      <c r="V583" s="73">
        <v>0</v>
      </c>
      <c r="W583" s="73">
        <v>0</v>
      </c>
      <c r="X583" s="73">
        <v>0</v>
      </c>
      <c r="Y583" s="73">
        <v>0</v>
      </c>
      <c r="Z583" s="73">
        <v>888</v>
      </c>
      <c r="AA583" s="73">
        <v>1253</v>
      </c>
      <c r="AB583" s="73">
        <v>0</v>
      </c>
      <c r="AC583" s="73">
        <v>0</v>
      </c>
      <c r="AD583" s="73">
        <v>0</v>
      </c>
      <c r="AE583" s="73">
        <v>0</v>
      </c>
      <c r="AF583" s="74">
        <f>tblData[[#This Row],[Gross Sales]]+tblData[[#This Row],[Trade Discounts]]+tblData[[#This Row],[Returns]]</f>
        <v>1172</v>
      </c>
      <c r="AG583" s="74">
        <f>tblData[[#This Row],[Material Cost]]+tblData[[#This Row],[Conversion Cost]]+tblData[[#This Row],[Inbound Freight]]</f>
        <v>-551</v>
      </c>
      <c r="AH583" s="74">
        <f>tblData[[#This Row],[Net Revenue]]+tblData[[#This Row],[COGS]]</f>
        <v>621</v>
      </c>
      <c r="AI583" s="74">
        <f>tblData[[#This Row],[Advertising]]+tblData[[#This Row],[Promotions]]</f>
        <v>-55</v>
      </c>
      <c r="AJ583" s="74">
        <f>tblData[[#This Row],[Outbound Logistics]]+tblData[[#This Row],[Direct Selling]]</f>
        <v>-131</v>
      </c>
      <c r="AK583" s="74">
        <f>tblData[[#This Row],[Gross Profit]]+tblData[[#This Row],[AP Spend]]+tblData[[#This Row],[Cost to Serve]]</f>
        <v>435</v>
      </c>
    </row>
    <row r="584" spans="2:37" x14ac:dyDescent="0.25">
      <c r="B584" s="71" t="s">
        <v>50</v>
      </c>
      <c r="C584" s="71">
        <v>2026</v>
      </c>
      <c r="D584" s="71">
        <v>3</v>
      </c>
      <c r="E584" s="71" t="s">
        <v>46</v>
      </c>
      <c r="F584" s="71" t="s">
        <v>41</v>
      </c>
      <c r="G584" s="72">
        <v>97.5</v>
      </c>
      <c r="H584" s="73">
        <v>1073</v>
      </c>
      <c r="I584" s="73">
        <v>-118</v>
      </c>
      <c r="J584" s="73">
        <v>-43</v>
      </c>
      <c r="K584" s="73">
        <v>-255</v>
      </c>
      <c r="L584" s="73">
        <v>-64</v>
      </c>
      <c r="M584" s="73">
        <v>-35</v>
      </c>
      <c r="N584" s="73">
        <v>-77</v>
      </c>
      <c r="O584" s="73">
        <v>-41</v>
      </c>
      <c r="P584" s="73">
        <v>-80</v>
      </c>
      <c r="Q584" s="73">
        <v>-21</v>
      </c>
      <c r="R584" s="73">
        <v>0</v>
      </c>
      <c r="S584" s="73">
        <v>0</v>
      </c>
      <c r="T584" s="73">
        <v>0</v>
      </c>
      <c r="U584" s="73">
        <v>0</v>
      </c>
      <c r="V584" s="73">
        <v>0</v>
      </c>
      <c r="W584" s="73">
        <v>0</v>
      </c>
      <c r="X584" s="73">
        <v>0</v>
      </c>
      <c r="Y584" s="73">
        <v>0</v>
      </c>
      <c r="Z584" s="73">
        <v>691</v>
      </c>
      <c r="AA584" s="73">
        <v>965</v>
      </c>
      <c r="AB584" s="73">
        <v>0</v>
      </c>
      <c r="AC584" s="73">
        <v>0</v>
      </c>
      <c r="AD584" s="73">
        <v>0</v>
      </c>
      <c r="AE584" s="73">
        <v>0</v>
      </c>
      <c r="AF584" s="74">
        <f>tblData[[#This Row],[Gross Sales]]+tblData[[#This Row],[Trade Discounts]]+tblData[[#This Row],[Returns]]</f>
        <v>912</v>
      </c>
      <c r="AG584" s="74">
        <f>tblData[[#This Row],[Material Cost]]+tblData[[#This Row],[Conversion Cost]]+tblData[[#This Row],[Inbound Freight]]</f>
        <v>-354</v>
      </c>
      <c r="AH584" s="74">
        <f>tblData[[#This Row],[Net Revenue]]+tblData[[#This Row],[COGS]]</f>
        <v>558</v>
      </c>
      <c r="AI584" s="74">
        <f>tblData[[#This Row],[Advertising]]+tblData[[#This Row],[Promotions]]</f>
        <v>-118</v>
      </c>
      <c r="AJ584" s="74">
        <f>tblData[[#This Row],[Outbound Logistics]]+tblData[[#This Row],[Direct Selling]]</f>
        <v>-101</v>
      </c>
      <c r="AK584" s="74">
        <f>tblData[[#This Row],[Gross Profit]]+tblData[[#This Row],[AP Spend]]+tblData[[#This Row],[Cost to Serve]]</f>
        <v>339</v>
      </c>
    </row>
    <row r="585" spans="2:37" x14ac:dyDescent="0.25">
      <c r="B585" s="71" t="s">
        <v>50</v>
      </c>
      <c r="C585" s="71">
        <v>2026</v>
      </c>
      <c r="D585" s="71">
        <v>3</v>
      </c>
      <c r="E585" s="71" t="s">
        <v>46</v>
      </c>
      <c r="F585" s="71" t="s">
        <v>42</v>
      </c>
      <c r="G585" s="72">
        <v>127.7</v>
      </c>
      <c r="H585" s="73">
        <v>766</v>
      </c>
      <c r="I585" s="73">
        <v>-84</v>
      </c>
      <c r="J585" s="73">
        <v>-31</v>
      </c>
      <c r="K585" s="73">
        <v>-243</v>
      </c>
      <c r="L585" s="73">
        <v>-61</v>
      </c>
      <c r="M585" s="73">
        <v>-34</v>
      </c>
      <c r="N585" s="73">
        <v>-15</v>
      </c>
      <c r="O585" s="73">
        <v>-8</v>
      </c>
      <c r="P585" s="73">
        <v>-57</v>
      </c>
      <c r="Q585" s="73">
        <v>-15</v>
      </c>
      <c r="R585" s="73">
        <v>0</v>
      </c>
      <c r="S585" s="73">
        <v>0</v>
      </c>
      <c r="T585" s="73">
        <v>0</v>
      </c>
      <c r="U585" s="73">
        <v>0</v>
      </c>
      <c r="V585" s="73">
        <v>0</v>
      </c>
      <c r="W585" s="73">
        <v>0</v>
      </c>
      <c r="X585" s="73">
        <v>0</v>
      </c>
      <c r="Y585" s="73">
        <v>0</v>
      </c>
      <c r="Z585" s="73">
        <v>493</v>
      </c>
      <c r="AA585" s="73">
        <v>1123</v>
      </c>
      <c r="AB585" s="73">
        <v>0</v>
      </c>
      <c r="AC585" s="73">
        <v>0</v>
      </c>
      <c r="AD585" s="73">
        <v>0</v>
      </c>
      <c r="AE585" s="73">
        <v>0</v>
      </c>
      <c r="AF585" s="74">
        <f>tblData[[#This Row],[Gross Sales]]+tblData[[#This Row],[Trade Discounts]]+tblData[[#This Row],[Returns]]</f>
        <v>651</v>
      </c>
      <c r="AG585" s="74">
        <f>tblData[[#This Row],[Material Cost]]+tblData[[#This Row],[Conversion Cost]]+tblData[[#This Row],[Inbound Freight]]</f>
        <v>-338</v>
      </c>
      <c r="AH585" s="74">
        <f>tblData[[#This Row],[Net Revenue]]+tblData[[#This Row],[COGS]]</f>
        <v>313</v>
      </c>
      <c r="AI585" s="74">
        <f>tblData[[#This Row],[Advertising]]+tblData[[#This Row],[Promotions]]</f>
        <v>-23</v>
      </c>
      <c r="AJ585" s="74">
        <f>tblData[[#This Row],[Outbound Logistics]]+tblData[[#This Row],[Direct Selling]]</f>
        <v>-72</v>
      </c>
      <c r="AK585" s="74">
        <f>tblData[[#This Row],[Gross Profit]]+tblData[[#This Row],[AP Spend]]+tblData[[#This Row],[Cost to Serve]]</f>
        <v>218</v>
      </c>
    </row>
    <row r="586" spans="2:37" x14ac:dyDescent="0.25">
      <c r="B586" s="71" t="s">
        <v>50</v>
      </c>
      <c r="C586" s="71">
        <v>2026</v>
      </c>
      <c r="D586" s="71">
        <v>3</v>
      </c>
      <c r="E586" s="71" t="s">
        <v>46</v>
      </c>
      <c r="F586" s="71" t="s">
        <v>43</v>
      </c>
      <c r="G586" s="72">
        <v>25.5</v>
      </c>
      <c r="H586" s="73">
        <v>460</v>
      </c>
      <c r="I586" s="73">
        <v>-51</v>
      </c>
      <c r="J586" s="73">
        <v>-18</v>
      </c>
      <c r="K586" s="73">
        <v>-126</v>
      </c>
      <c r="L586" s="73">
        <v>-31</v>
      </c>
      <c r="M586" s="73">
        <v>-17</v>
      </c>
      <c r="N586" s="73">
        <v>-42</v>
      </c>
      <c r="O586" s="73">
        <v>-23</v>
      </c>
      <c r="P586" s="73">
        <v>-34</v>
      </c>
      <c r="Q586" s="73">
        <v>-9</v>
      </c>
      <c r="R586" s="73">
        <v>0</v>
      </c>
      <c r="S586" s="73">
        <v>0</v>
      </c>
      <c r="T586" s="73">
        <v>0</v>
      </c>
      <c r="U586" s="73">
        <v>0</v>
      </c>
      <c r="V586" s="73">
        <v>0</v>
      </c>
      <c r="W586" s="73">
        <v>0</v>
      </c>
      <c r="X586" s="73">
        <v>0</v>
      </c>
      <c r="Y586" s="73">
        <v>0</v>
      </c>
      <c r="Z586" s="73">
        <v>296</v>
      </c>
      <c r="AA586" s="73">
        <v>635</v>
      </c>
      <c r="AB586" s="73">
        <v>0</v>
      </c>
      <c r="AC586" s="73">
        <v>0</v>
      </c>
      <c r="AD586" s="73">
        <v>0</v>
      </c>
      <c r="AE586" s="73">
        <v>0</v>
      </c>
      <c r="AF586" s="74">
        <f>tblData[[#This Row],[Gross Sales]]+tblData[[#This Row],[Trade Discounts]]+tblData[[#This Row],[Returns]]</f>
        <v>391</v>
      </c>
      <c r="AG586" s="74">
        <f>tblData[[#This Row],[Material Cost]]+tblData[[#This Row],[Conversion Cost]]+tblData[[#This Row],[Inbound Freight]]</f>
        <v>-174</v>
      </c>
      <c r="AH586" s="74">
        <f>tblData[[#This Row],[Net Revenue]]+tblData[[#This Row],[COGS]]</f>
        <v>217</v>
      </c>
      <c r="AI586" s="74">
        <f>tblData[[#This Row],[Advertising]]+tblData[[#This Row],[Promotions]]</f>
        <v>-65</v>
      </c>
      <c r="AJ586" s="74">
        <f>tblData[[#This Row],[Outbound Logistics]]+tblData[[#This Row],[Direct Selling]]</f>
        <v>-43</v>
      </c>
      <c r="AK586" s="74">
        <f>tblData[[#This Row],[Gross Profit]]+tblData[[#This Row],[AP Spend]]+tblData[[#This Row],[Cost to Serve]]</f>
        <v>109</v>
      </c>
    </row>
    <row r="587" spans="2:37" x14ac:dyDescent="0.25">
      <c r="B587" s="71" t="s">
        <v>50</v>
      </c>
      <c r="C587" s="71">
        <v>2026</v>
      </c>
      <c r="D587" s="71">
        <v>3</v>
      </c>
      <c r="E587" s="71" t="s">
        <v>47</v>
      </c>
      <c r="F587" s="71" t="s">
        <v>38</v>
      </c>
      <c r="G587" s="72">
        <v>57.5</v>
      </c>
      <c r="H587" s="73">
        <v>804</v>
      </c>
      <c r="I587" s="73">
        <v>-24</v>
      </c>
      <c r="J587" s="73">
        <v>-40</v>
      </c>
      <c r="K587" s="73">
        <v>-174</v>
      </c>
      <c r="L587" s="73">
        <v>-43</v>
      </c>
      <c r="M587" s="73">
        <v>-24</v>
      </c>
      <c r="N587" s="73">
        <v>-47</v>
      </c>
      <c r="O587" s="73">
        <v>-25</v>
      </c>
      <c r="P587" s="73">
        <v>-97</v>
      </c>
      <c r="Q587" s="73">
        <v>-32</v>
      </c>
      <c r="R587" s="73">
        <v>0</v>
      </c>
      <c r="S587" s="73">
        <v>0</v>
      </c>
      <c r="T587" s="73">
        <v>0</v>
      </c>
      <c r="U587" s="73">
        <v>0</v>
      </c>
      <c r="V587" s="73">
        <v>0</v>
      </c>
      <c r="W587" s="73">
        <v>0</v>
      </c>
      <c r="X587" s="73">
        <v>0</v>
      </c>
      <c r="Y587" s="73">
        <v>0</v>
      </c>
      <c r="Z587" s="73">
        <v>67</v>
      </c>
      <c r="AA587" s="73">
        <v>695</v>
      </c>
      <c r="AB587" s="73">
        <v>0</v>
      </c>
      <c r="AC587" s="73">
        <v>0</v>
      </c>
      <c r="AD587" s="73">
        <v>0</v>
      </c>
      <c r="AE587" s="73">
        <v>0</v>
      </c>
      <c r="AF587" s="74">
        <f>tblData[[#This Row],[Gross Sales]]+tblData[[#This Row],[Trade Discounts]]+tblData[[#This Row],[Returns]]</f>
        <v>740</v>
      </c>
      <c r="AG587" s="74">
        <f>tblData[[#This Row],[Material Cost]]+tblData[[#This Row],[Conversion Cost]]+tblData[[#This Row],[Inbound Freight]]</f>
        <v>-241</v>
      </c>
      <c r="AH587" s="74">
        <f>tblData[[#This Row],[Net Revenue]]+tblData[[#This Row],[COGS]]</f>
        <v>499</v>
      </c>
      <c r="AI587" s="74">
        <f>tblData[[#This Row],[Advertising]]+tblData[[#This Row],[Promotions]]</f>
        <v>-72</v>
      </c>
      <c r="AJ587" s="74">
        <f>tblData[[#This Row],[Outbound Logistics]]+tblData[[#This Row],[Direct Selling]]</f>
        <v>-129</v>
      </c>
      <c r="AK587" s="74">
        <f>tblData[[#This Row],[Gross Profit]]+tblData[[#This Row],[AP Spend]]+tblData[[#This Row],[Cost to Serve]]</f>
        <v>298</v>
      </c>
    </row>
    <row r="588" spans="2:37" x14ac:dyDescent="0.25">
      <c r="B588" s="71" t="s">
        <v>50</v>
      </c>
      <c r="C588" s="71">
        <v>2026</v>
      </c>
      <c r="D588" s="71">
        <v>3</v>
      </c>
      <c r="E588" s="71" t="s">
        <v>47</v>
      </c>
      <c r="F588" s="71" t="s">
        <v>39</v>
      </c>
      <c r="G588" s="72">
        <v>76.599999999999994</v>
      </c>
      <c r="H588" s="73">
        <v>689</v>
      </c>
      <c r="I588" s="73">
        <v>-21</v>
      </c>
      <c r="J588" s="73">
        <v>-34</v>
      </c>
      <c r="K588" s="73">
        <v>-179</v>
      </c>
      <c r="L588" s="73">
        <v>-45</v>
      </c>
      <c r="M588" s="73">
        <v>-25</v>
      </c>
      <c r="N588" s="73">
        <v>-27</v>
      </c>
      <c r="O588" s="73">
        <v>-14</v>
      </c>
      <c r="P588" s="73">
        <v>-83</v>
      </c>
      <c r="Q588" s="73">
        <v>-28</v>
      </c>
      <c r="R588" s="73">
        <v>0</v>
      </c>
      <c r="S588" s="73">
        <v>0</v>
      </c>
      <c r="T588" s="73">
        <v>0</v>
      </c>
      <c r="U588" s="73">
        <v>0</v>
      </c>
      <c r="V588" s="73">
        <v>0</v>
      </c>
      <c r="W588" s="73">
        <v>0</v>
      </c>
      <c r="X588" s="73">
        <v>0</v>
      </c>
      <c r="Y588" s="73">
        <v>0</v>
      </c>
      <c r="Z588" s="73">
        <v>58</v>
      </c>
      <c r="AA588" s="73">
        <v>602</v>
      </c>
      <c r="AB588" s="73">
        <v>0</v>
      </c>
      <c r="AC588" s="73">
        <v>0</v>
      </c>
      <c r="AD588" s="73">
        <v>0</v>
      </c>
      <c r="AE588" s="73">
        <v>0</v>
      </c>
      <c r="AF588" s="74">
        <f>tblData[[#This Row],[Gross Sales]]+tblData[[#This Row],[Trade Discounts]]+tblData[[#This Row],[Returns]]</f>
        <v>634</v>
      </c>
      <c r="AG588" s="74">
        <f>tblData[[#This Row],[Material Cost]]+tblData[[#This Row],[Conversion Cost]]+tblData[[#This Row],[Inbound Freight]]</f>
        <v>-249</v>
      </c>
      <c r="AH588" s="74">
        <f>tblData[[#This Row],[Net Revenue]]+tblData[[#This Row],[COGS]]</f>
        <v>385</v>
      </c>
      <c r="AI588" s="74">
        <f>tblData[[#This Row],[Advertising]]+tblData[[#This Row],[Promotions]]</f>
        <v>-41</v>
      </c>
      <c r="AJ588" s="74">
        <f>tblData[[#This Row],[Outbound Logistics]]+tblData[[#This Row],[Direct Selling]]</f>
        <v>-111</v>
      </c>
      <c r="AK588" s="74">
        <f>tblData[[#This Row],[Gross Profit]]+tblData[[#This Row],[AP Spend]]+tblData[[#This Row],[Cost to Serve]]</f>
        <v>233</v>
      </c>
    </row>
    <row r="589" spans="2:37" x14ac:dyDescent="0.25">
      <c r="B589" s="71" t="s">
        <v>50</v>
      </c>
      <c r="C589" s="71">
        <v>2026</v>
      </c>
      <c r="D589" s="71">
        <v>3</v>
      </c>
      <c r="E589" s="71" t="s">
        <v>47</v>
      </c>
      <c r="F589" s="71" t="s">
        <v>40</v>
      </c>
      <c r="G589" s="72">
        <v>73.900000000000006</v>
      </c>
      <c r="H589" s="73">
        <v>517</v>
      </c>
      <c r="I589" s="73">
        <v>-16</v>
      </c>
      <c r="J589" s="73">
        <v>-26</v>
      </c>
      <c r="K589" s="73">
        <v>-149</v>
      </c>
      <c r="L589" s="73">
        <v>-37</v>
      </c>
      <c r="M589" s="73">
        <v>-21</v>
      </c>
      <c r="N589" s="73">
        <v>-13</v>
      </c>
      <c r="O589" s="73">
        <v>-7</v>
      </c>
      <c r="P589" s="73">
        <v>-62</v>
      </c>
      <c r="Q589" s="73">
        <v>-21</v>
      </c>
      <c r="R589" s="73">
        <v>0</v>
      </c>
      <c r="S589" s="73">
        <v>0</v>
      </c>
      <c r="T589" s="73">
        <v>0</v>
      </c>
      <c r="U589" s="73">
        <v>0</v>
      </c>
      <c r="V589" s="73">
        <v>0</v>
      </c>
      <c r="W589" s="73">
        <v>0</v>
      </c>
      <c r="X589" s="73">
        <v>0</v>
      </c>
      <c r="Y589" s="73">
        <v>0</v>
      </c>
      <c r="Z589" s="73">
        <v>43</v>
      </c>
      <c r="AA589" s="73">
        <v>470</v>
      </c>
      <c r="AB589" s="73">
        <v>0</v>
      </c>
      <c r="AC589" s="73">
        <v>0</v>
      </c>
      <c r="AD589" s="73">
        <v>0</v>
      </c>
      <c r="AE589" s="73">
        <v>0</v>
      </c>
      <c r="AF589" s="74">
        <f>tblData[[#This Row],[Gross Sales]]+tblData[[#This Row],[Trade Discounts]]+tblData[[#This Row],[Returns]]</f>
        <v>475</v>
      </c>
      <c r="AG589" s="74">
        <f>tblData[[#This Row],[Material Cost]]+tblData[[#This Row],[Conversion Cost]]+tblData[[#This Row],[Inbound Freight]]</f>
        <v>-207</v>
      </c>
      <c r="AH589" s="74">
        <f>tblData[[#This Row],[Net Revenue]]+tblData[[#This Row],[COGS]]</f>
        <v>268</v>
      </c>
      <c r="AI589" s="74">
        <f>tblData[[#This Row],[Advertising]]+tblData[[#This Row],[Promotions]]</f>
        <v>-20</v>
      </c>
      <c r="AJ589" s="74">
        <f>tblData[[#This Row],[Outbound Logistics]]+tblData[[#This Row],[Direct Selling]]</f>
        <v>-83</v>
      </c>
      <c r="AK589" s="74">
        <f>tblData[[#This Row],[Gross Profit]]+tblData[[#This Row],[AP Spend]]+tblData[[#This Row],[Cost to Serve]]</f>
        <v>165</v>
      </c>
    </row>
    <row r="590" spans="2:37" x14ac:dyDescent="0.25">
      <c r="B590" s="71" t="s">
        <v>50</v>
      </c>
      <c r="C590" s="71">
        <v>2026</v>
      </c>
      <c r="D590" s="71">
        <v>3</v>
      </c>
      <c r="E590" s="71" t="s">
        <v>47</v>
      </c>
      <c r="F590" s="71" t="s">
        <v>41</v>
      </c>
      <c r="G590" s="72">
        <v>36.6</v>
      </c>
      <c r="H590" s="73">
        <v>402</v>
      </c>
      <c r="I590" s="73">
        <v>-12</v>
      </c>
      <c r="J590" s="73">
        <v>-20</v>
      </c>
      <c r="K590" s="73">
        <v>-96</v>
      </c>
      <c r="L590" s="73">
        <v>-24</v>
      </c>
      <c r="M590" s="73">
        <v>-13</v>
      </c>
      <c r="N590" s="73">
        <v>-29</v>
      </c>
      <c r="O590" s="73">
        <v>-15</v>
      </c>
      <c r="P590" s="73">
        <v>-48</v>
      </c>
      <c r="Q590" s="73">
        <v>-16</v>
      </c>
      <c r="R590" s="73">
        <v>0</v>
      </c>
      <c r="S590" s="73">
        <v>0</v>
      </c>
      <c r="T590" s="73">
        <v>0</v>
      </c>
      <c r="U590" s="73">
        <v>0</v>
      </c>
      <c r="V590" s="73">
        <v>0</v>
      </c>
      <c r="W590" s="73">
        <v>0</v>
      </c>
      <c r="X590" s="73">
        <v>0</v>
      </c>
      <c r="Y590" s="73">
        <v>0</v>
      </c>
      <c r="Z590" s="73">
        <v>34</v>
      </c>
      <c r="AA590" s="73">
        <v>362</v>
      </c>
      <c r="AB590" s="73">
        <v>0</v>
      </c>
      <c r="AC590" s="73">
        <v>0</v>
      </c>
      <c r="AD590" s="73">
        <v>0</v>
      </c>
      <c r="AE590" s="73">
        <v>0</v>
      </c>
      <c r="AF590" s="74">
        <f>tblData[[#This Row],[Gross Sales]]+tblData[[#This Row],[Trade Discounts]]+tblData[[#This Row],[Returns]]</f>
        <v>370</v>
      </c>
      <c r="AG590" s="74">
        <f>tblData[[#This Row],[Material Cost]]+tblData[[#This Row],[Conversion Cost]]+tblData[[#This Row],[Inbound Freight]]</f>
        <v>-133</v>
      </c>
      <c r="AH590" s="74">
        <f>tblData[[#This Row],[Net Revenue]]+tblData[[#This Row],[COGS]]</f>
        <v>237</v>
      </c>
      <c r="AI590" s="74">
        <f>tblData[[#This Row],[Advertising]]+tblData[[#This Row],[Promotions]]</f>
        <v>-44</v>
      </c>
      <c r="AJ590" s="74">
        <f>tblData[[#This Row],[Outbound Logistics]]+tblData[[#This Row],[Direct Selling]]</f>
        <v>-64</v>
      </c>
      <c r="AK590" s="74">
        <f>tblData[[#This Row],[Gross Profit]]+tblData[[#This Row],[AP Spend]]+tblData[[#This Row],[Cost to Serve]]</f>
        <v>129</v>
      </c>
    </row>
    <row r="591" spans="2:37" x14ac:dyDescent="0.25">
      <c r="B591" s="71" t="s">
        <v>50</v>
      </c>
      <c r="C591" s="71">
        <v>2026</v>
      </c>
      <c r="D591" s="71">
        <v>3</v>
      </c>
      <c r="E591" s="71" t="s">
        <v>47</v>
      </c>
      <c r="F591" s="71" t="s">
        <v>42</v>
      </c>
      <c r="G591" s="72">
        <v>47.9</v>
      </c>
      <c r="H591" s="73">
        <v>287</v>
      </c>
      <c r="I591" s="73">
        <v>-9</v>
      </c>
      <c r="J591" s="73">
        <v>-14</v>
      </c>
      <c r="K591" s="73">
        <v>-91</v>
      </c>
      <c r="L591" s="73">
        <v>-23</v>
      </c>
      <c r="M591" s="73">
        <v>-13</v>
      </c>
      <c r="N591" s="73">
        <v>-6</v>
      </c>
      <c r="O591" s="73">
        <v>-3</v>
      </c>
      <c r="P591" s="73">
        <v>-34</v>
      </c>
      <c r="Q591" s="73">
        <v>-11</v>
      </c>
      <c r="R591" s="73">
        <v>0</v>
      </c>
      <c r="S591" s="73">
        <v>0</v>
      </c>
      <c r="T591" s="73">
        <v>0</v>
      </c>
      <c r="U591" s="73">
        <v>0</v>
      </c>
      <c r="V591" s="73">
        <v>0</v>
      </c>
      <c r="W591" s="73">
        <v>0</v>
      </c>
      <c r="X591" s="73">
        <v>0</v>
      </c>
      <c r="Y591" s="73">
        <v>0</v>
      </c>
      <c r="Z591" s="73">
        <v>24</v>
      </c>
      <c r="AA591" s="73">
        <v>421</v>
      </c>
      <c r="AB591" s="73">
        <v>0</v>
      </c>
      <c r="AC591" s="73">
        <v>0</v>
      </c>
      <c r="AD591" s="73">
        <v>0</v>
      </c>
      <c r="AE591" s="73">
        <v>0</v>
      </c>
      <c r="AF591" s="74">
        <f>tblData[[#This Row],[Gross Sales]]+tblData[[#This Row],[Trade Discounts]]+tblData[[#This Row],[Returns]]</f>
        <v>264</v>
      </c>
      <c r="AG591" s="74">
        <f>tblData[[#This Row],[Material Cost]]+tblData[[#This Row],[Conversion Cost]]+tblData[[#This Row],[Inbound Freight]]</f>
        <v>-127</v>
      </c>
      <c r="AH591" s="74">
        <f>tblData[[#This Row],[Net Revenue]]+tblData[[#This Row],[COGS]]</f>
        <v>137</v>
      </c>
      <c r="AI591" s="74">
        <f>tblData[[#This Row],[Advertising]]+tblData[[#This Row],[Promotions]]</f>
        <v>-9</v>
      </c>
      <c r="AJ591" s="74">
        <f>tblData[[#This Row],[Outbound Logistics]]+tblData[[#This Row],[Direct Selling]]</f>
        <v>-45</v>
      </c>
      <c r="AK591" s="74">
        <f>tblData[[#This Row],[Gross Profit]]+tblData[[#This Row],[AP Spend]]+tblData[[#This Row],[Cost to Serve]]</f>
        <v>83</v>
      </c>
    </row>
    <row r="592" spans="2:37" x14ac:dyDescent="0.25">
      <c r="B592" s="71" t="s">
        <v>50</v>
      </c>
      <c r="C592" s="71">
        <v>2026</v>
      </c>
      <c r="D592" s="71">
        <v>3</v>
      </c>
      <c r="E592" s="71" t="s">
        <v>47</v>
      </c>
      <c r="F592" s="71" t="s">
        <v>43</v>
      </c>
      <c r="G592" s="72">
        <v>9.6</v>
      </c>
      <c r="H592" s="73">
        <v>172</v>
      </c>
      <c r="I592" s="73">
        <v>-5</v>
      </c>
      <c r="J592" s="73">
        <v>-9</v>
      </c>
      <c r="K592" s="73">
        <v>-47</v>
      </c>
      <c r="L592" s="73">
        <v>-12</v>
      </c>
      <c r="M592" s="73">
        <v>-7</v>
      </c>
      <c r="N592" s="73">
        <v>-16</v>
      </c>
      <c r="O592" s="73">
        <v>-8</v>
      </c>
      <c r="P592" s="73">
        <v>-21</v>
      </c>
      <c r="Q592" s="73">
        <v>-7</v>
      </c>
      <c r="R592" s="73">
        <v>0</v>
      </c>
      <c r="S592" s="73">
        <v>0</v>
      </c>
      <c r="T592" s="73">
        <v>0</v>
      </c>
      <c r="U592" s="73">
        <v>0</v>
      </c>
      <c r="V592" s="73">
        <v>0</v>
      </c>
      <c r="W592" s="73">
        <v>0</v>
      </c>
      <c r="X592" s="73">
        <v>0</v>
      </c>
      <c r="Y592" s="73">
        <v>0</v>
      </c>
      <c r="Z592" s="73">
        <v>14</v>
      </c>
      <c r="AA592" s="73">
        <v>238</v>
      </c>
      <c r="AB592" s="73">
        <v>0</v>
      </c>
      <c r="AC592" s="73">
        <v>0</v>
      </c>
      <c r="AD592" s="73">
        <v>0</v>
      </c>
      <c r="AE592" s="73">
        <v>0</v>
      </c>
      <c r="AF592" s="74">
        <f>tblData[[#This Row],[Gross Sales]]+tblData[[#This Row],[Trade Discounts]]+tblData[[#This Row],[Returns]]</f>
        <v>158</v>
      </c>
      <c r="AG592" s="74">
        <f>tblData[[#This Row],[Material Cost]]+tblData[[#This Row],[Conversion Cost]]+tblData[[#This Row],[Inbound Freight]]</f>
        <v>-66</v>
      </c>
      <c r="AH592" s="74">
        <f>tblData[[#This Row],[Net Revenue]]+tblData[[#This Row],[COGS]]</f>
        <v>92</v>
      </c>
      <c r="AI592" s="74">
        <f>tblData[[#This Row],[Advertising]]+tblData[[#This Row],[Promotions]]</f>
        <v>-24</v>
      </c>
      <c r="AJ592" s="74">
        <f>tblData[[#This Row],[Outbound Logistics]]+tblData[[#This Row],[Direct Selling]]</f>
        <v>-28</v>
      </c>
      <c r="AK592" s="74">
        <f>tblData[[#This Row],[Gross Profit]]+tblData[[#This Row],[AP Spend]]+tblData[[#This Row],[Cost to Serve]]</f>
        <v>40</v>
      </c>
    </row>
    <row r="593" spans="2:37" x14ac:dyDescent="0.25">
      <c r="B593" s="71" t="s">
        <v>50</v>
      </c>
      <c r="C593" s="71">
        <v>2026</v>
      </c>
      <c r="D593" s="71">
        <v>3</v>
      </c>
      <c r="E593" s="71" t="s">
        <v>48</v>
      </c>
      <c r="F593" s="71" t="s">
        <v>38</v>
      </c>
      <c r="G593" s="72">
        <v>95.8</v>
      </c>
      <c r="H593" s="73">
        <v>1341</v>
      </c>
      <c r="I593" s="73">
        <v>-121</v>
      </c>
      <c r="J593" s="73">
        <v>-13</v>
      </c>
      <c r="K593" s="73">
        <v>-290</v>
      </c>
      <c r="L593" s="73">
        <v>-72</v>
      </c>
      <c r="M593" s="73">
        <v>-40</v>
      </c>
      <c r="N593" s="73">
        <v>-78</v>
      </c>
      <c r="O593" s="73">
        <v>-42</v>
      </c>
      <c r="P593" s="73">
        <v>-40</v>
      </c>
      <c r="Q593" s="73">
        <v>-20</v>
      </c>
      <c r="R593" s="73">
        <v>0</v>
      </c>
      <c r="S593" s="73">
        <v>0</v>
      </c>
      <c r="T593" s="73">
        <v>0</v>
      </c>
      <c r="U593" s="73">
        <v>0</v>
      </c>
      <c r="V593" s="73">
        <v>0</v>
      </c>
      <c r="W593" s="73">
        <v>0</v>
      </c>
      <c r="X593" s="73">
        <v>0</v>
      </c>
      <c r="Y593" s="73">
        <v>0</v>
      </c>
      <c r="Z593" s="73">
        <v>2559</v>
      </c>
      <c r="AA593" s="73">
        <v>1158</v>
      </c>
      <c r="AB593" s="73">
        <v>0</v>
      </c>
      <c r="AC593" s="73">
        <v>0</v>
      </c>
      <c r="AD593" s="73">
        <v>0</v>
      </c>
      <c r="AE593" s="73">
        <v>0</v>
      </c>
      <c r="AF593" s="74">
        <f>tblData[[#This Row],[Gross Sales]]+tblData[[#This Row],[Trade Discounts]]+tblData[[#This Row],[Returns]]</f>
        <v>1207</v>
      </c>
      <c r="AG593" s="74">
        <f>tblData[[#This Row],[Material Cost]]+tblData[[#This Row],[Conversion Cost]]+tblData[[#This Row],[Inbound Freight]]</f>
        <v>-402</v>
      </c>
      <c r="AH593" s="74">
        <f>tblData[[#This Row],[Net Revenue]]+tblData[[#This Row],[COGS]]</f>
        <v>805</v>
      </c>
      <c r="AI593" s="74">
        <f>tblData[[#This Row],[Advertising]]+tblData[[#This Row],[Promotions]]</f>
        <v>-120</v>
      </c>
      <c r="AJ593" s="74">
        <f>tblData[[#This Row],[Outbound Logistics]]+tblData[[#This Row],[Direct Selling]]</f>
        <v>-60</v>
      </c>
      <c r="AK593" s="74">
        <f>tblData[[#This Row],[Gross Profit]]+tblData[[#This Row],[AP Spend]]+tblData[[#This Row],[Cost to Serve]]</f>
        <v>625</v>
      </c>
    </row>
    <row r="594" spans="2:37" x14ac:dyDescent="0.25">
      <c r="B594" s="71" t="s">
        <v>50</v>
      </c>
      <c r="C594" s="71">
        <v>2026</v>
      </c>
      <c r="D594" s="71">
        <v>3</v>
      </c>
      <c r="E594" s="71" t="s">
        <v>48</v>
      </c>
      <c r="F594" s="71" t="s">
        <v>39</v>
      </c>
      <c r="G594" s="72">
        <v>127.7</v>
      </c>
      <c r="H594" s="73">
        <v>1149</v>
      </c>
      <c r="I594" s="73">
        <v>-103</v>
      </c>
      <c r="J594" s="73">
        <v>-11</v>
      </c>
      <c r="K594" s="73">
        <v>-298</v>
      </c>
      <c r="L594" s="73">
        <v>-74</v>
      </c>
      <c r="M594" s="73">
        <v>-41</v>
      </c>
      <c r="N594" s="73">
        <v>-45</v>
      </c>
      <c r="O594" s="73">
        <v>-24</v>
      </c>
      <c r="P594" s="73">
        <v>-34</v>
      </c>
      <c r="Q594" s="73">
        <v>-17</v>
      </c>
      <c r="R594" s="73">
        <v>0</v>
      </c>
      <c r="S594" s="73">
        <v>0</v>
      </c>
      <c r="T594" s="73">
        <v>0</v>
      </c>
      <c r="U594" s="73">
        <v>0</v>
      </c>
      <c r="V594" s="73">
        <v>0</v>
      </c>
      <c r="W594" s="73">
        <v>0</v>
      </c>
      <c r="X594" s="73">
        <v>0</v>
      </c>
      <c r="Y594" s="73">
        <v>0</v>
      </c>
      <c r="Z594" s="73">
        <v>2193</v>
      </c>
      <c r="AA594" s="73">
        <v>1003</v>
      </c>
      <c r="AB594" s="73">
        <v>0</v>
      </c>
      <c r="AC594" s="73">
        <v>0</v>
      </c>
      <c r="AD594" s="73">
        <v>0</v>
      </c>
      <c r="AE594" s="73">
        <v>0</v>
      </c>
      <c r="AF594" s="74">
        <f>tblData[[#This Row],[Gross Sales]]+tblData[[#This Row],[Trade Discounts]]+tblData[[#This Row],[Returns]]</f>
        <v>1035</v>
      </c>
      <c r="AG594" s="74">
        <f>tblData[[#This Row],[Material Cost]]+tblData[[#This Row],[Conversion Cost]]+tblData[[#This Row],[Inbound Freight]]</f>
        <v>-413</v>
      </c>
      <c r="AH594" s="74">
        <f>tblData[[#This Row],[Net Revenue]]+tblData[[#This Row],[COGS]]</f>
        <v>622</v>
      </c>
      <c r="AI594" s="74">
        <f>tblData[[#This Row],[Advertising]]+tblData[[#This Row],[Promotions]]</f>
        <v>-69</v>
      </c>
      <c r="AJ594" s="74">
        <f>tblData[[#This Row],[Outbound Logistics]]+tblData[[#This Row],[Direct Selling]]</f>
        <v>-51</v>
      </c>
      <c r="AK594" s="74">
        <f>tblData[[#This Row],[Gross Profit]]+tblData[[#This Row],[AP Spend]]+tblData[[#This Row],[Cost to Serve]]</f>
        <v>502</v>
      </c>
    </row>
    <row r="595" spans="2:37" x14ac:dyDescent="0.25">
      <c r="B595" s="71" t="s">
        <v>50</v>
      </c>
      <c r="C595" s="71">
        <v>2026</v>
      </c>
      <c r="D595" s="71">
        <v>3</v>
      </c>
      <c r="E595" s="71" t="s">
        <v>48</v>
      </c>
      <c r="F595" s="71" t="s">
        <v>40</v>
      </c>
      <c r="G595" s="72">
        <v>123.1</v>
      </c>
      <c r="H595" s="73">
        <v>862</v>
      </c>
      <c r="I595" s="73">
        <v>-78</v>
      </c>
      <c r="J595" s="73">
        <v>-9</v>
      </c>
      <c r="K595" s="73">
        <v>-248</v>
      </c>
      <c r="L595" s="73">
        <v>-62</v>
      </c>
      <c r="M595" s="73">
        <v>-34</v>
      </c>
      <c r="N595" s="73">
        <v>-22</v>
      </c>
      <c r="O595" s="73">
        <v>-12</v>
      </c>
      <c r="P595" s="73">
        <v>-26</v>
      </c>
      <c r="Q595" s="73">
        <v>-13</v>
      </c>
      <c r="R595" s="73">
        <v>0</v>
      </c>
      <c r="S595" s="73">
        <v>0</v>
      </c>
      <c r="T595" s="73">
        <v>0</v>
      </c>
      <c r="U595" s="73">
        <v>0</v>
      </c>
      <c r="V595" s="73">
        <v>0</v>
      </c>
      <c r="W595" s="73">
        <v>0</v>
      </c>
      <c r="X595" s="73">
        <v>0</v>
      </c>
      <c r="Y595" s="73">
        <v>0</v>
      </c>
      <c r="Z595" s="73">
        <v>1645</v>
      </c>
      <c r="AA595" s="73">
        <v>783</v>
      </c>
      <c r="AB595" s="73">
        <v>0</v>
      </c>
      <c r="AC595" s="73">
        <v>0</v>
      </c>
      <c r="AD595" s="73">
        <v>0</v>
      </c>
      <c r="AE595" s="73">
        <v>0</v>
      </c>
      <c r="AF595" s="74">
        <f>tblData[[#This Row],[Gross Sales]]+tblData[[#This Row],[Trade Discounts]]+tblData[[#This Row],[Returns]]</f>
        <v>775</v>
      </c>
      <c r="AG595" s="74">
        <f>tblData[[#This Row],[Material Cost]]+tblData[[#This Row],[Conversion Cost]]+tblData[[#This Row],[Inbound Freight]]</f>
        <v>-344</v>
      </c>
      <c r="AH595" s="74">
        <f>tblData[[#This Row],[Net Revenue]]+tblData[[#This Row],[COGS]]</f>
        <v>431</v>
      </c>
      <c r="AI595" s="74">
        <f>tblData[[#This Row],[Advertising]]+tblData[[#This Row],[Promotions]]</f>
        <v>-34</v>
      </c>
      <c r="AJ595" s="74">
        <f>tblData[[#This Row],[Outbound Logistics]]+tblData[[#This Row],[Direct Selling]]</f>
        <v>-39</v>
      </c>
      <c r="AK595" s="74">
        <f>tblData[[#This Row],[Gross Profit]]+tblData[[#This Row],[AP Spend]]+tblData[[#This Row],[Cost to Serve]]</f>
        <v>358</v>
      </c>
    </row>
    <row r="596" spans="2:37" x14ac:dyDescent="0.25">
      <c r="B596" s="71" t="s">
        <v>50</v>
      </c>
      <c r="C596" s="71">
        <v>2026</v>
      </c>
      <c r="D596" s="71">
        <v>3</v>
      </c>
      <c r="E596" s="71" t="s">
        <v>48</v>
      </c>
      <c r="F596" s="71" t="s">
        <v>41</v>
      </c>
      <c r="G596" s="72">
        <v>60.9</v>
      </c>
      <c r="H596" s="73">
        <v>670</v>
      </c>
      <c r="I596" s="73">
        <v>-60</v>
      </c>
      <c r="J596" s="73">
        <v>-7</v>
      </c>
      <c r="K596" s="73">
        <v>-159</v>
      </c>
      <c r="L596" s="73">
        <v>-40</v>
      </c>
      <c r="M596" s="73">
        <v>-22</v>
      </c>
      <c r="N596" s="73">
        <v>-48</v>
      </c>
      <c r="O596" s="73">
        <v>-26</v>
      </c>
      <c r="P596" s="73">
        <v>-20</v>
      </c>
      <c r="Q596" s="73">
        <v>-10</v>
      </c>
      <c r="R596" s="73">
        <v>0</v>
      </c>
      <c r="S596" s="73">
        <v>0</v>
      </c>
      <c r="T596" s="73">
        <v>0</v>
      </c>
      <c r="U596" s="73">
        <v>0</v>
      </c>
      <c r="V596" s="73">
        <v>0</v>
      </c>
      <c r="W596" s="73">
        <v>0</v>
      </c>
      <c r="X596" s="73">
        <v>0</v>
      </c>
      <c r="Y596" s="73">
        <v>0</v>
      </c>
      <c r="Z596" s="73">
        <v>1279</v>
      </c>
      <c r="AA596" s="73">
        <v>603</v>
      </c>
      <c r="AB596" s="73">
        <v>0</v>
      </c>
      <c r="AC596" s="73">
        <v>0</v>
      </c>
      <c r="AD596" s="73">
        <v>0</v>
      </c>
      <c r="AE596" s="73">
        <v>0</v>
      </c>
      <c r="AF596" s="74">
        <f>tblData[[#This Row],[Gross Sales]]+tblData[[#This Row],[Trade Discounts]]+tblData[[#This Row],[Returns]]</f>
        <v>603</v>
      </c>
      <c r="AG596" s="74">
        <f>tblData[[#This Row],[Material Cost]]+tblData[[#This Row],[Conversion Cost]]+tblData[[#This Row],[Inbound Freight]]</f>
        <v>-221</v>
      </c>
      <c r="AH596" s="74">
        <f>tblData[[#This Row],[Net Revenue]]+tblData[[#This Row],[COGS]]</f>
        <v>382</v>
      </c>
      <c r="AI596" s="74">
        <f>tblData[[#This Row],[Advertising]]+tblData[[#This Row],[Promotions]]</f>
        <v>-74</v>
      </c>
      <c r="AJ596" s="74">
        <f>tblData[[#This Row],[Outbound Logistics]]+tblData[[#This Row],[Direct Selling]]</f>
        <v>-30</v>
      </c>
      <c r="AK596" s="74">
        <f>tblData[[#This Row],[Gross Profit]]+tblData[[#This Row],[AP Spend]]+tblData[[#This Row],[Cost to Serve]]</f>
        <v>278</v>
      </c>
    </row>
    <row r="597" spans="2:37" x14ac:dyDescent="0.25">
      <c r="B597" s="71" t="s">
        <v>50</v>
      </c>
      <c r="C597" s="71">
        <v>2026</v>
      </c>
      <c r="D597" s="71">
        <v>3</v>
      </c>
      <c r="E597" s="71" t="s">
        <v>48</v>
      </c>
      <c r="F597" s="71" t="s">
        <v>42</v>
      </c>
      <c r="G597" s="72">
        <v>79.8</v>
      </c>
      <c r="H597" s="73">
        <v>479</v>
      </c>
      <c r="I597" s="73">
        <v>-43</v>
      </c>
      <c r="J597" s="73">
        <v>-5</v>
      </c>
      <c r="K597" s="73">
        <v>-152</v>
      </c>
      <c r="L597" s="73">
        <v>-38</v>
      </c>
      <c r="M597" s="73">
        <v>-21</v>
      </c>
      <c r="N597" s="73">
        <v>-9</v>
      </c>
      <c r="O597" s="73">
        <v>-5</v>
      </c>
      <c r="P597" s="73">
        <v>-14</v>
      </c>
      <c r="Q597" s="73">
        <v>-7</v>
      </c>
      <c r="R597" s="73">
        <v>0</v>
      </c>
      <c r="S597" s="73">
        <v>0</v>
      </c>
      <c r="T597" s="73">
        <v>0</v>
      </c>
      <c r="U597" s="73">
        <v>0</v>
      </c>
      <c r="V597" s="73">
        <v>0</v>
      </c>
      <c r="W597" s="73">
        <v>0</v>
      </c>
      <c r="X597" s="73">
        <v>0</v>
      </c>
      <c r="Y597" s="73">
        <v>0</v>
      </c>
      <c r="Z597" s="73">
        <v>914</v>
      </c>
      <c r="AA597" s="73">
        <v>702</v>
      </c>
      <c r="AB597" s="73">
        <v>0</v>
      </c>
      <c r="AC597" s="73">
        <v>0</v>
      </c>
      <c r="AD597" s="73">
        <v>0</v>
      </c>
      <c r="AE597" s="73">
        <v>0</v>
      </c>
      <c r="AF597" s="74">
        <f>tblData[[#This Row],[Gross Sales]]+tblData[[#This Row],[Trade Discounts]]+tblData[[#This Row],[Returns]]</f>
        <v>431</v>
      </c>
      <c r="AG597" s="74">
        <f>tblData[[#This Row],[Material Cost]]+tblData[[#This Row],[Conversion Cost]]+tblData[[#This Row],[Inbound Freight]]</f>
        <v>-211</v>
      </c>
      <c r="AH597" s="74">
        <f>tblData[[#This Row],[Net Revenue]]+tblData[[#This Row],[COGS]]</f>
        <v>220</v>
      </c>
      <c r="AI597" s="74">
        <f>tblData[[#This Row],[Advertising]]+tblData[[#This Row],[Promotions]]</f>
        <v>-14</v>
      </c>
      <c r="AJ597" s="74">
        <f>tblData[[#This Row],[Outbound Logistics]]+tblData[[#This Row],[Direct Selling]]</f>
        <v>-21</v>
      </c>
      <c r="AK597" s="74">
        <f>tblData[[#This Row],[Gross Profit]]+tblData[[#This Row],[AP Spend]]+tblData[[#This Row],[Cost to Serve]]</f>
        <v>185</v>
      </c>
    </row>
    <row r="598" spans="2:37" x14ac:dyDescent="0.25">
      <c r="B598" s="71" t="s">
        <v>50</v>
      </c>
      <c r="C598" s="71">
        <v>2026</v>
      </c>
      <c r="D598" s="71">
        <v>3</v>
      </c>
      <c r="E598" s="71" t="s">
        <v>48</v>
      </c>
      <c r="F598" s="71" t="s">
        <v>43</v>
      </c>
      <c r="G598" s="72">
        <v>16</v>
      </c>
      <c r="H598" s="73">
        <v>287</v>
      </c>
      <c r="I598" s="73">
        <v>-26</v>
      </c>
      <c r="J598" s="73">
        <v>-3</v>
      </c>
      <c r="K598" s="73">
        <v>-79</v>
      </c>
      <c r="L598" s="73">
        <v>-20</v>
      </c>
      <c r="M598" s="73">
        <v>-11</v>
      </c>
      <c r="N598" s="73">
        <v>-26</v>
      </c>
      <c r="O598" s="73">
        <v>-14</v>
      </c>
      <c r="P598" s="73">
        <v>-9</v>
      </c>
      <c r="Q598" s="73">
        <v>-4</v>
      </c>
      <c r="R598" s="73">
        <v>0</v>
      </c>
      <c r="S598" s="73">
        <v>0</v>
      </c>
      <c r="T598" s="73">
        <v>0</v>
      </c>
      <c r="U598" s="73">
        <v>0</v>
      </c>
      <c r="V598" s="73">
        <v>0</v>
      </c>
      <c r="W598" s="73">
        <v>0</v>
      </c>
      <c r="X598" s="73">
        <v>0</v>
      </c>
      <c r="Y598" s="73">
        <v>0</v>
      </c>
      <c r="Z598" s="73">
        <v>548</v>
      </c>
      <c r="AA598" s="73">
        <v>397</v>
      </c>
      <c r="AB598" s="73">
        <v>0</v>
      </c>
      <c r="AC598" s="73">
        <v>0</v>
      </c>
      <c r="AD598" s="73">
        <v>0</v>
      </c>
      <c r="AE598" s="73">
        <v>0</v>
      </c>
      <c r="AF598" s="74">
        <f>tblData[[#This Row],[Gross Sales]]+tblData[[#This Row],[Trade Discounts]]+tblData[[#This Row],[Returns]]</f>
        <v>258</v>
      </c>
      <c r="AG598" s="74">
        <f>tblData[[#This Row],[Material Cost]]+tblData[[#This Row],[Conversion Cost]]+tblData[[#This Row],[Inbound Freight]]</f>
        <v>-110</v>
      </c>
      <c r="AH598" s="74">
        <f>tblData[[#This Row],[Net Revenue]]+tblData[[#This Row],[COGS]]</f>
        <v>148</v>
      </c>
      <c r="AI598" s="74">
        <f>tblData[[#This Row],[Advertising]]+tblData[[#This Row],[Promotions]]</f>
        <v>-40</v>
      </c>
      <c r="AJ598" s="74">
        <f>tblData[[#This Row],[Outbound Logistics]]+tblData[[#This Row],[Direct Selling]]</f>
        <v>-13</v>
      </c>
      <c r="AK598" s="74">
        <f>tblData[[#This Row],[Gross Profit]]+tblData[[#This Row],[AP Spend]]+tblData[[#This Row],[Cost to Serve]]</f>
        <v>95</v>
      </c>
    </row>
    <row r="599" spans="2:37" x14ac:dyDescent="0.25">
      <c r="B599" s="71" t="s">
        <v>50</v>
      </c>
      <c r="C599" s="71">
        <v>2026</v>
      </c>
      <c r="D599" s="71">
        <v>3</v>
      </c>
      <c r="E599" s="71" t="s">
        <v>49</v>
      </c>
      <c r="F599" s="71" t="s">
        <v>49</v>
      </c>
      <c r="G599" s="72">
        <v>0</v>
      </c>
      <c r="H599" s="73">
        <v>0</v>
      </c>
      <c r="I599" s="73">
        <v>0</v>
      </c>
      <c r="J599" s="73">
        <v>0</v>
      </c>
      <c r="K599" s="73">
        <v>0</v>
      </c>
      <c r="L599" s="73">
        <v>0</v>
      </c>
      <c r="M599" s="73">
        <v>0</v>
      </c>
      <c r="N599" s="73">
        <v>0</v>
      </c>
      <c r="O599" s="73">
        <v>0</v>
      </c>
      <c r="P599" s="73">
        <v>0</v>
      </c>
      <c r="Q599" s="73">
        <v>0</v>
      </c>
      <c r="R599" s="73">
        <v>-4183</v>
      </c>
      <c r="S599" s="73">
        <v>-1020</v>
      </c>
      <c r="T599" s="73">
        <v>-1320</v>
      </c>
      <c r="U599" s="73">
        <v>-1130</v>
      </c>
      <c r="V599" s="73">
        <v>-1480</v>
      </c>
      <c r="W599" s="73">
        <v>-712</v>
      </c>
      <c r="X599" s="73">
        <v>-1398</v>
      </c>
      <c r="Y599" s="73">
        <v>-1226</v>
      </c>
      <c r="Z599" s="73">
        <v>0</v>
      </c>
      <c r="AA599" s="73">
        <v>0</v>
      </c>
      <c r="AB599" s="73">
        <v>32466</v>
      </c>
      <c r="AC599" s="73">
        <v>73577</v>
      </c>
      <c r="AD599" s="73">
        <v>187500</v>
      </c>
      <c r="AE599" s="73">
        <v>1185</v>
      </c>
      <c r="AF599" s="74">
        <f>tblData[[#This Row],[Gross Sales]]+tblData[[#This Row],[Trade Discounts]]+tblData[[#This Row],[Returns]]</f>
        <v>0</v>
      </c>
      <c r="AG599" s="74">
        <f>tblData[[#This Row],[Material Cost]]+tblData[[#This Row],[Conversion Cost]]+tblData[[#This Row],[Inbound Freight]]</f>
        <v>0</v>
      </c>
      <c r="AH599" s="74">
        <f>tblData[[#This Row],[Net Revenue]]+tblData[[#This Row],[COGS]]</f>
        <v>0</v>
      </c>
      <c r="AI599" s="74">
        <f>tblData[[#This Row],[Advertising]]+tblData[[#This Row],[Promotions]]</f>
        <v>0</v>
      </c>
      <c r="AJ599" s="74">
        <f>tblData[[#This Row],[Outbound Logistics]]+tblData[[#This Row],[Direct Selling]]</f>
        <v>0</v>
      </c>
      <c r="AK599" s="74">
        <f>tblData[[#This Row],[Gross Profit]]+tblData[[#This Row],[AP Spend]]+tblData[[#This Row],[Cost to Serve]]</f>
        <v>0</v>
      </c>
    </row>
    <row r="600" spans="2:37" x14ac:dyDescent="0.25">
      <c r="B600" s="71" t="s">
        <v>50</v>
      </c>
      <c r="C600" s="71">
        <v>2026</v>
      </c>
      <c r="D600" s="71">
        <v>4</v>
      </c>
      <c r="E600" s="71" t="s">
        <v>37</v>
      </c>
      <c r="F600" s="71" t="s">
        <v>38</v>
      </c>
      <c r="G600" s="72">
        <v>294.8</v>
      </c>
      <c r="H600" s="73">
        <v>4128</v>
      </c>
      <c r="I600" s="73">
        <v>-784</v>
      </c>
      <c r="J600" s="73">
        <v>-62</v>
      </c>
      <c r="K600" s="73">
        <v>-892</v>
      </c>
      <c r="L600" s="73">
        <v>-223</v>
      </c>
      <c r="M600" s="73">
        <v>-124</v>
      </c>
      <c r="N600" s="73">
        <v>-241</v>
      </c>
      <c r="O600" s="73">
        <v>-130</v>
      </c>
      <c r="P600" s="73">
        <v>-165</v>
      </c>
      <c r="Q600" s="73">
        <v>-124</v>
      </c>
      <c r="R600" s="73">
        <v>0</v>
      </c>
      <c r="S600" s="73">
        <v>0</v>
      </c>
      <c r="T600" s="73">
        <v>0</v>
      </c>
      <c r="U600" s="73">
        <v>0</v>
      </c>
      <c r="V600" s="73">
        <v>0</v>
      </c>
      <c r="W600" s="73">
        <v>0</v>
      </c>
      <c r="X600" s="73">
        <v>0</v>
      </c>
      <c r="Y600" s="73">
        <v>0</v>
      </c>
      <c r="Z600" s="73">
        <v>5633</v>
      </c>
      <c r="AA600" s="73">
        <v>3671</v>
      </c>
      <c r="AB600" s="73">
        <v>0</v>
      </c>
      <c r="AC600" s="73">
        <v>0</v>
      </c>
      <c r="AD600" s="73">
        <v>0</v>
      </c>
      <c r="AE600" s="73">
        <v>0</v>
      </c>
      <c r="AF600" s="74">
        <f>tblData[[#This Row],[Gross Sales]]+tblData[[#This Row],[Trade Discounts]]+tblData[[#This Row],[Returns]]</f>
        <v>3282</v>
      </c>
      <c r="AG600" s="74">
        <f>tblData[[#This Row],[Material Cost]]+tblData[[#This Row],[Conversion Cost]]+tblData[[#This Row],[Inbound Freight]]</f>
        <v>-1239</v>
      </c>
      <c r="AH600" s="74">
        <f>tblData[[#This Row],[Net Revenue]]+tblData[[#This Row],[COGS]]</f>
        <v>2043</v>
      </c>
      <c r="AI600" s="74">
        <f>tblData[[#This Row],[Advertising]]+tblData[[#This Row],[Promotions]]</f>
        <v>-371</v>
      </c>
      <c r="AJ600" s="74">
        <f>tblData[[#This Row],[Outbound Logistics]]+tblData[[#This Row],[Direct Selling]]</f>
        <v>-289</v>
      </c>
      <c r="AK600" s="74">
        <f>tblData[[#This Row],[Gross Profit]]+tblData[[#This Row],[AP Spend]]+tblData[[#This Row],[Cost to Serve]]</f>
        <v>1383</v>
      </c>
    </row>
    <row r="601" spans="2:37" x14ac:dyDescent="0.25">
      <c r="B601" s="71" t="s">
        <v>50</v>
      </c>
      <c r="C601" s="71">
        <v>2026</v>
      </c>
      <c r="D601" s="71">
        <v>4</v>
      </c>
      <c r="E601" s="71" t="s">
        <v>37</v>
      </c>
      <c r="F601" s="71" t="s">
        <v>39</v>
      </c>
      <c r="G601" s="72">
        <v>393.1</v>
      </c>
      <c r="H601" s="73">
        <v>3538</v>
      </c>
      <c r="I601" s="73">
        <v>-672</v>
      </c>
      <c r="J601" s="73">
        <v>-53</v>
      </c>
      <c r="K601" s="73">
        <v>-917</v>
      </c>
      <c r="L601" s="73">
        <v>-229</v>
      </c>
      <c r="M601" s="73">
        <v>-127</v>
      </c>
      <c r="N601" s="73">
        <v>-138</v>
      </c>
      <c r="O601" s="73">
        <v>-74</v>
      </c>
      <c r="P601" s="73">
        <v>-142</v>
      </c>
      <c r="Q601" s="73">
        <v>-106</v>
      </c>
      <c r="R601" s="73">
        <v>0</v>
      </c>
      <c r="S601" s="73">
        <v>0</v>
      </c>
      <c r="T601" s="73">
        <v>0</v>
      </c>
      <c r="U601" s="73">
        <v>0</v>
      </c>
      <c r="V601" s="73">
        <v>0</v>
      </c>
      <c r="W601" s="73">
        <v>0</v>
      </c>
      <c r="X601" s="73">
        <v>0</v>
      </c>
      <c r="Y601" s="73">
        <v>0</v>
      </c>
      <c r="Z601" s="73">
        <v>4828</v>
      </c>
      <c r="AA601" s="73">
        <v>3180</v>
      </c>
      <c r="AB601" s="73">
        <v>0</v>
      </c>
      <c r="AC601" s="73">
        <v>0</v>
      </c>
      <c r="AD601" s="73">
        <v>0</v>
      </c>
      <c r="AE601" s="73">
        <v>0</v>
      </c>
      <c r="AF601" s="74">
        <f>tblData[[#This Row],[Gross Sales]]+tblData[[#This Row],[Trade Discounts]]+tblData[[#This Row],[Returns]]</f>
        <v>2813</v>
      </c>
      <c r="AG601" s="74">
        <f>tblData[[#This Row],[Material Cost]]+tblData[[#This Row],[Conversion Cost]]+tblData[[#This Row],[Inbound Freight]]</f>
        <v>-1273</v>
      </c>
      <c r="AH601" s="74">
        <f>tblData[[#This Row],[Net Revenue]]+tblData[[#This Row],[COGS]]</f>
        <v>1540</v>
      </c>
      <c r="AI601" s="74">
        <f>tblData[[#This Row],[Advertising]]+tblData[[#This Row],[Promotions]]</f>
        <v>-212</v>
      </c>
      <c r="AJ601" s="74">
        <f>tblData[[#This Row],[Outbound Logistics]]+tblData[[#This Row],[Direct Selling]]</f>
        <v>-248</v>
      </c>
      <c r="AK601" s="74">
        <f>tblData[[#This Row],[Gross Profit]]+tblData[[#This Row],[AP Spend]]+tblData[[#This Row],[Cost to Serve]]</f>
        <v>1080</v>
      </c>
    </row>
    <row r="602" spans="2:37" x14ac:dyDescent="0.25">
      <c r="B602" s="71" t="s">
        <v>50</v>
      </c>
      <c r="C602" s="71">
        <v>2026</v>
      </c>
      <c r="D602" s="71">
        <v>4</v>
      </c>
      <c r="E602" s="71" t="s">
        <v>37</v>
      </c>
      <c r="F602" s="71" t="s">
        <v>40</v>
      </c>
      <c r="G602" s="72">
        <v>379.1</v>
      </c>
      <c r="H602" s="73">
        <v>2654</v>
      </c>
      <c r="I602" s="73">
        <v>-504</v>
      </c>
      <c r="J602" s="73">
        <v>-40</v>
      </c>
      <c r="K602" s="73">
        <v>-764</v>
      </c>
      <c r="L602" s="73">
        <v>-191</v>
      </c>
      <c r="M602" s="73">
        <v>-106</v>
      </c>
      <c r="N602" s="73">
        <v>-69</v>
      </c>
      <c r="O602" s="73">
        <v>-37</v>
      </c>
      <c r="P602" s="73">
        <v>-106</v>
      </c>
      <c r="Q602" s="73">
        <v>-80</v>
      </c>
      <c r="R602" s="73">
        <v>0</v>
      </c>
      <c r="S602" s="73">
        <v>0</v>
      </c>
      <c r="T602" s="73">
        <v>0</v>
      </c>
      <c r="U602" s="73">
        <v>0</v>
      </c>
      <c r="V602" s="73">
        <v>0</v>
      </c>
      <c r="W602" s="73">
        <v>0</v>
      </c>
      <c r="X602" s="73">
        <v>0</v>
      </c>
      <c r="Y602" s="73">
        <v>0</v>
      </c>
      <c r="Z602" s="73">
        <v>3621</v>
      </c>
      <c r="AA602" s="73">
        <v>2484</v>
      </c>
      <c r="AB602" s="73">
        <v>0</v>
      </c>
      <c r="AC602" s="73">
        <v>0</v>
      </c>
      <c r="AD602" s="73">
        <v>0</v>
      </c>
      <c r="AE602" s="73">
        <v>0</v>
      </c>
      <c r="AF602" s="74">
        <f>tblData[[#This Row],[Gross Sales]]+tblData[[#This Row],[Trade Discounts]]+tblData[[#This Row],[Returns]]</f>
        <v>2110</v>
      </c>
      <c r="AG602" s="74">
        <f>tblData[[#This Row],[Material Cost]]+tblData[[#This Row],[Conversion Cost]]+tblData[[#This Row],[Inbound Freight]]</f>
        <v>-1061</v>
      </c>
      <c r="AH602" s="74">
        <f>tblData[[#This Row],[Net Revenue]]+tblData[[#This Row],[COGS]]</f>
        <v>1049</v>
      </c>
      <c r="AI602" s="74">
        <f>tblData[[#This Row],[Advertising]]+tblData[[#This Row],[Promotions]]</f>
        <v>-106</v>
      </c>
      <c r="AJ602" s="74">
        <f>tblData[[#This Row],[Outbound Logistics]]+tblData[[#This Row],[Direct Selling]]</f>
        <v>-186</v>
      </c>
      <c r="AK602" s="74">
        <f>tblData[[#This Row],[Gross Profit]]+tblData[[#This Row],[AP Spend]]+tblData[[#This Row],[Cost to Serve]]</f>
        <v>757</v>
      </c>
    </row>
    <row r="603" spans="2:37" x14ac:dyDescent="0.25">
      <c r="B603" s="71" t="s">
        <v>50</v>
      </c>
      <c r="C603" s="71">
        <v>2026</v>
      </c>
      <c r="D603" s="71">
        <v>4</v>
      </c>
      <c r="E603" s="71" t="s">
        <v>37</v>
      </c>
      <c r="F603" s="71" t="s">
        <v>41</v>
      </c>
      <c r="G603" s="72">
        <v>187.6</v>
      </c>
      <c r="H603" s="73">
        <v>2064</v>
      </c>
      <c r="I603" s="73">
        <v>-392</v>
      </c>
      <c r="J603" s="73">
        <v>-31</v>
      </c>
      <c r="K603" s="73">
        <v>-490</v>
      </c>
      <c r="L603" s="73">
        <v>-123</v>
      </c>
      <c r="M603" s="73">
        <v>-68</v>
      </c>
      <c r="N603" s="73">
        <v>-148</v>
      </c>
      <c r="O603" s="73">
        <v>-79</v>
      </c>
      <c r="P603" s="73">
        <v>-83</v>
      </c>
      <c r="Q603" s="73">
        <v>-62</v>
      </c>
      <c r="R603" s="73">
        <v>0</v>
      </c>
      <c r="S603" s="73">
        <v>0</v>
      </c>
      <c r="T603" s="73">
        <v>0</v>
      </c>
      <c r="U603" s="73">
        <v>0</v>
      </c>
      <c r="V603" s="73">
        <v>0</v>
      </c>
      <c r="W603" s="73">
        <v>0</v>
      </c>
      <c r="X603" s="73">
        <v>0</v>
      </c>
      <c r="Y603" s="73">
        <v>0</v>
      </c>
      <c r="Z603" s="73">
        <v>2816</v>
      </c>
      <c r="AA603" s="73">
        <v>1913</v>
      </c>
      <c r="AB603" s="73">
        <v>0</v>
      </c>
      <c r="AC603" s="73">
        <v>0</v>
      </c>
      <c r="AD603" s="73">
        <v>0</v>
      </c>
      <c r="AE603" s="73">
        <v>0</v>
      </c>
      <c r="AF603" s="74">
        <f>tblData[[#This Row],[Gross Sales]]+tblData[[#This Row],[Trade Discounts]]+tblData[[#This Row],[Returns]]</f>
        <v>1641</v>
      </c>
      <c r="AG603" s="74">
        <f>tblData[[#This Row],[Material Cost]]+tblData[[#This Row],[Conversion Cost]]+tblData[[#This Row],[Inbound Freight]]</f>
        <v>-681</v>
      </c>
      <c r="AH603" s="74">
        <f>tblData[[#This Row],[Net Revenue]]+tblData[[#This Row],[COGS]]</f>
        <v>960</v>
      </c>
      <c r="AI603" s="74">
        <f>tblData[[#This Row],[Advertising]]+tblData[[#This Row],[Promotions]]</f>
        <v>-227</v>
      </c>
      <c r="AJ603" s="74">
        <f>tblData[[#This Row],[Outbound Logistics]]+tblData[[#This Row],[Direct Selling]]</f>
        <v>-145</v>
      </c>
      <c r="AK603" s="74">
        <f>tblData[[#This Row],[Gross Profit]]+tblData[[#This Row],[AP Spend]]+tblData[[#This Row],[Cost to Serve]]</f>
        <v>588</v>
      </c>
    </row>
    <row r="604" spans="2:37" x14ac:dyDescent="0.25">
      <c r="B604" s="71" t="s">
        <v>50</v>
      </c>
      <c r="C604" s="71">
        <v>2026</v>
      </c>
      <c r="D604" s="71">
        <v>4</v>
      </c>
      <c r="E604" s="71" t="s">
        <v>37</v>
      </c>
      <c r="F604" s="71" t="s">
        <v>42</v>
      </c>
      <c r="G604" s="72">
        <v>245.7</v>
      </c>
      <c r="H604" s="73">
        <v>1474</v>
      </c>
      <c r="I604" s="73">
        <v>-280</v>
      </c>
      <c r="J604" s="73">
        <v>-22</v>
      </c>
      <c r="K604" s="73">
        <v>-467</v>
      </c>
      <c r="L604" s="73">
        <v>-117</v>
      </c>
      <c r="M604" s="73">
        <v>-65</v>
      </c>
      <c r="N604" s="73">
        <v>-29</v>
      </c>
      <c r="O604" s="73">
        <v>-15</v>
      </c>
      <c r="P604" s="73">
        <v>-59</v>
      </c>
      <c r="Q604" s="73">
        <v>-44</v>
      </c>
      <c r="R604" s="73">
        <v>0</v>
      </c>
      <c r="S604" s="73">
        <v>0</v>
      </c>
      <c r="T604" s="73">
        <v>0</v>
      </c>
      <c r="U604" s="73">
        <v>0</v>
      </c>
      <c r="V604" s="73">
        <v>0</v>
      </c>
      <c r="W604" s="73">
        <v>0</v>
      </c>
      <c r="X604" s="73">
        <v>0</v>
      </c>
      <c r="Y604" s="73">
        <v>0</v>
      </c>
      <c r="Z604" s="73">
        <v>2012</v>
      </c>
      <c r="AA604" s="73">
        <v>2227</v>
      </c>
      <c r="AB604" s="73">
        <v>0</v>
      </c>
      <c r="AC604" s="73">
        <v>0</v>
      </c>
      <c r="AD604" s="73">
        <v>0</v>
      </c>
      <c r="AE604" s="73">
        <v>0</v>
      </c>
      <c r="AF604" s="74">
        <f>tblData[[#This Row],[Gross Sales]]+tblData[[#This Row],[Trade Discounts]]+tblData[[#This Row],[Returns]]</f>
        <v>1172</v>
      </c>
      <c r="AG604" s="74">
        <f>tblData[[#This Row],[Material Cost]]+tblData[[#This Row],[Conversion Cost]]+tblData[[#This Row],[Inbound Freight]]</f>
        <v>-649</v>
      </c>
      <c r="AH604" s="74">
        <f>tblData[[#This Row],[Net Revenue]]+tblData[[#This Row],[COGS]]</f>
        <v>523</v>
      </c>
      <c r="AI604" s="74">
        <f>tblData[[#This Row],[Advertising]]+tblData[[#This Row],[Promotions]]</f>
        <v>-44</v>
      </c>
      <c r="AJ604" s="74">
        <f>tblData[[#This Row],[Outbound Logistics]]+tblData[[#This Row],[Direct Selling]]</f>
        <v>-103</v>
      </c>
      <c r="AK604" s="74">
        <f>tblData[[#This Row],[Gross Profit]]+tblData[[#This Row],[AP Spend]]+tblData[[#This Row],[Cost to Serve]]</f>
        <v>376</v>
      </c>
    </row>
    <row r="605" spans="2:37" x14ac:dyDescent="0.25">
      <c r="B605" s="71" t="s">
        <v>50</v>
      </c>
      <c r="C605" s="71">
        <v>2026</v>
      </c>
      <c r="D605" s="71">
        <v>4</v>
      </c>
      <c r="E605" s="71" t="s">
        <v>37</v>
      </c>
      <c r="F605" s="71" t="s">
        <v>43</v>
      </c>
      <c r="G605" s="72">
        <v>49.1</v>
      </c>
      <c r="H605" s="73">
        <v>885</v>
      </c>
      <c r="I605" s="73">
        <v>-168</v>
      </c>
      <c r="J605" s="73">
        <v>-13</v>
      </c>
      <c r="K605" s="73">
        <v>-242</v>
      </c>
      <c r="L605" s="73">
        <v>-61</v>
      </c>
      <c r="M605" s="73">
        <v>-34</v>
      </c>
      <c r="N605" s="73">
        <v>-80</v>
      </c>
      <c r="O605" s="73">
        <v>-43</v>
      </c>
      <c r="P605" s="73">
        <v>-35</v>
      </c>
      <c r="Q605" s="73">
        <v>-27</v>
      </c>
      <c r="R605" s="73">
        <v>0</v>
      </c>
      <c r="S605" s="73">
        <v>0</v>
      </c>
      <c r="T605" s="73">
        <v>0</v>
      </c>
      <c r="U605" s="73">
        <v>0</v>
      </c>
      <c r="V605" s="73">
        <v>0</v>
      </c>
      <c r="W605" s="73">
        <v>0</v>
      </c>
      <c r="X605" s="73">
        <v>0</v>
      </c>
      <c r="Y605" s="73">
        <v>0</v>
      </c>
      <c r="Z605" s="73">
        <v>1207</v>
      </c>
      <c r="AA605" s="73">
        <v>1259</v>
      </c>
      <c r="AB605" s="73">
        <v>0</v>
      </c>
      <c r="AC605" s="73">
        <v>0</v>
      </c>
      <c r="AD605" s="73">
        <v>0</v>
      </c>
      <c r="AE605" s="73">
        <v>0</v>
      </c>
      <c r="AF605" s="74">
        <f>tblData[[#This Row],[Gross Sales]]+tblData[[#This Row],[Trade Discounts]]+tblData[[#This Row],[Returns]]</f>
        <v>704</v>
      </c>
      <c r="AG605" s="74">
        <f>tblData[[#This Row],[Material Cost]]+tblData[[#This Row],[Conversion Cost]]+tblData[[#This Row],[Inbound Freight]]</f>
        <v>-337</v>
      </c>
      <c r="AH605" s="74">
        <f>tblData[[#This Row],[Net Revenue]]+tblData[[#This Row],[COGS]]</f>
        <v>367</v>
      </c>
      <c r="AI605" s="74">
        <f>tblData[[#This Row],[Advertising]]+tblData[[#This Row],[Promotions]]</f>
        <v>-123</v>
      </c>
      <c r="AJ605" s="74">
        <f>tblData[[#This Row],[Outbound Logistics]]+tblData[[#This Row],[Direct Selling]]</f>
        <v>-62</v>
      </c>
      <c r="AK605" s="74">
        <f>tblData[[#This Row],[Gross Profit]]+tblData[[#This Row],[AP Spend]]+tblData[[#This Row],[Cost to Serve]]</f>
        <v>182</v>
      </c>
    </row>
    <row r="606" spans="2:37" x14ac:dyDescent="0.25">
      <c r="B606" s="71" t="s">
        <v>50</v>
      </c>
      <c r="C606" s="71">
        <v>2026</v>
      </c>
      <c r="D606" s="71">
        <v>4</v>
      </c>
      <c r="E606" s="71" t="s">
        <v>44</v>
      </c>
      <c r="F606" s="71" t="s">
        <v>38</v>
      </c>
      <c r="G606" s="72">
        <v>235.9</v>
      </c>
      <c r="H606" s="73">
        <v>3302</v>
      </c>
      <c r="I606" s="73">
        <v>-528</v>
      </c>
      <c r="J606" s="73">
        <v>-40</v>
      </c>
      <c r="K606" s="73">
        <v>-713</v>
      </c>
      <c r="L606" s="73">
        <v>-178</v>
      </c>
      <c r="M606" s="73">
        <v>-99</v>
      </c>
      <c r="N606" s="73">
        <v>-193</v>
      </c>
      <c r="O606" s="73">
        <v>-104</v>
      </c>
      <c r="P606" s="73">
        <v>-132</v>
      </c>
      <c r="Q606" s="73">
        <v>-99</v>
      </c>
      <c r="R606" s="73">
        <v>0</v>
      </c>
      <c r="S606" s="73">
        <v>0</v>
      </c>
      <c r="T606" s="73">
        <v>0</v>
      </c>
      <c r="U606" s="73">
        <v>0</v>
      </c>
      <c r="V606" s="73">
        <v>0</v>
      </c>
      <c r="W606" s="73">
        <v>0</v>
      </c>
      <c r="X606" s="73">
        <v>0</v>
      </c>
      <c r="Y606" s="73">
        <v>0</v>
      </c>
      <c r="Z606" s="73">
        <v>4266</v>
      </c>
      <c r="AA606" s="73">
        <v>2937</v>
      </c>
      <c r="AB606" s="73">
        <v>0</v>
      </c>
      <c r="AC606" s="73">
        <v>0</v>
      </c>
      <c r="AD606" s="73">
        <v>0</v>
      </c>
      <c r="AE606" s="73">
        <v>0</v>
      </c>
      <c r="AF606" s="74">
        <f>tblData[[#This Row],[Gross Sales]]+tblData[[#This Row],[Trade Discounts]]+tblData[[#This Row],[Returns]]</f>
        <v>2734</v>
      </c>
      <c r="AG606" s="74">
        <f>tblData[[#This Row],[Material Cost]]+tblData[[#This Row],[Conversion Cost]]+tblData[[#This Row],[Inbound Freight]]</f>
        <v>-990</v>
      </c>
      <c r="AH606" s="74">
        <f>tblData[[#This Row],[Net Revenue]]+tblData[[#This Row],[COGS]]</f>
        <v>1744</v>
      </c>
      <c r="AI606" s="74">
        <f>tblData[[#This Row],[Advertising]]+tblData[[#This Row],[Promotions]]</f>
        <v>-297</v>
      </c>
      <c r="AJ606" s="74">
        <f>tblData[[#This Row],[Outbound Logistics]]+tblData[[#This Row],[Direct Selling]]</f>
        <v>-231</v>
      </c>
      <c r="AK606" s="74">
        <f>tblData[[#This Row],[Gross Profit]]+tblData[[#This Row],[AP Spend]]+tblData[[#This Row],[Cost to Serve]]</f>
        <v>1216</v>
      </c>
    </row>
    <row r="607" spans="2:37" x14ac:dyDescent="0.25">
      <c r="B607" s="71" t="s">
        <v>50</v>
      </c>
      <c r="C607" s="71">
        <v>2026</v>
      </c>
      <c r="D607" s="71">
        <v>4</v>
      </c>
      <c r="E607" s="71" t="s">
        <v>44</v>
      </c>
      <c r="F607" s="71" t="s">
        <v>39</v>
      </c>
      <c r="G607" s="72">
        <v>314.5</v>
      </c>
      <c r="H607" s="73">
        <v>2830</v>
      </c>
      <c r="I607" s="73">
        <v>-453</v>
      </c>
      <c r="J607" s="73">
        <v>-34</v>
      </c>
      <c r="K607" s="73">
        <v>-734</v>
      </c>
      <c r="L607" s="73">
        <v>-183</v>
      </c>
      <c r="M607" s="73">
        <v>-102</v>
      </c>
      <c r="N607" s="73">
        <v>-110</v>
      </c>
      <c r="O607" s="73">
        <v>-59</v>
      </c>
      <c r="P607" s="73">
        <v>-113</v>
      </c>
      <c r="Q607" s="73">
        <v>-85</v>
      </c>
      <c r="R607" s="73">
        <v>0</v>
      </c>
      <c r="S607" s="73">
        <v>0</v>
      </c>
      <c r="T607" s="73">
        <v>0</v>
      </c>
      <c r="U607" s="73">
        <v>0</v>
      </c>
      <c r="V607" s="73">
        <v>0</v>
      </c>
      <c r="W607" s="73">
        <v>0</v>
      </c>
      <c r="X607" s="73">
        <v>0</v>
      </c>
      <c r="Y607" s="73">
        <v>0</v>
      </c>
      <c r="Z607" s="73">
        <v>3657</v>
      </c>
      <c r="AA607" s="73">
        <v>2544</v>
      </c>
      <c r="AB607" s="73">
        <v>0</v>
      </c>
      <c r="AC607" s="73">
        <v>0</v>
      </c>
      <c r="AD607" s="73">
        <v>0</v>
      </c>
      <c r="AE607" s="73">
        <v>0</v>
      </c>
      <c r="AF607" s="74">
        <f>tblData[[#This Row],[Gross Sales]]+tblData[[#This Row],[Trade Discounts]]+tblData[[#This Row],[Returns]]</f>
        <v>2343</v>
      </c>
      <c r="AG607" s="74">
        <f>tblData[[#This Row],[Material Cost]]+tblData[[#This Row],[Conversion Cost]]+tblData[[#This Row],[Inbound Freight]]</f>
        <v>-1019</v>
      </c>
      <c r="AH607" s="74">
        <f>tblData[[#This Row],[Net Revenue]]+tblData[[#This Row],[COGS]]</f>
        <v>1324</v>
      </c>
      <c r="AI607" s="74">
        <f>tblData[[#This Row],[Advertising]]+tblData[[#This Row],[Promotions]]</f>
        <v>-169</v>
      </c>
      <c r="AJ607" s="74">
        <f>tblData[[#This Row],[Outbound Logistics]]+tblData[[#This Row],[Direct Selling]]</f>
        <v>-198</v>
      </c>
      <c r="AK607" s="74">
        <f>tblData[[#This Row],[Gross Profit]]+tblData[[#This Row],[AP Spend]]+tblData[[#This Row],[Cost to Serve]]</f>
        <v>957</v>
      </c>
    </row>
    <row r="608" spans="2:37" x14ac:dyDescent="0.25">
      <c r="B608" s="71" t="s">
        <v>50</v>
      </c>
      <c r="C608" s="71">
        <v>2026</v>
      </c>
      <c r="D608" s="71">
        <v>4</v>
      </c>
      <c r="E608" s="71" t="s">
        <v>44</v>
      </c>
      <c r="F608" s="71" t="s">
        <v>40</v>
      </c>
      <c r="G608" s="72">
        <v>303.3</v>
      </c>
      <c r="H608" s="73">
        <v>2123</v>
      </c>
      <c r="I608" s="73">
        <v>-340</v>
      </c>
      <c r="J608" s="73">
        <v>-25</v>
      </c>
      <c r="K608" s="73">
        <v>-611</v>
      </c>
      <c r="L608" s="73">
        <v>-153</v>
      </c>
      <c r="M608" s="73">
        <v>-85</v>
      </c>
      <c r="N608" s="73">
        <v>-55</v>
      </c>
      <c r="O608" s="73">
        <v>-30</v>
      </c>
      <c r="P608" s="73">
        <v>-85</v>
      </c>
      <c r="Q608" s="73">
        <v>-64</v>
      </c>
      <c r="R608" s="73">
        <v>0</v>
      </c>
      <c r="S608" s="73">
        <v>0</v>
      </c>
      <c r="T608" s="73">
        <v>0</v>
      </c>
      <c r="U608" s="73">
        <v>0</v>
      </c>
      <c r="V608" s="73">
        <v>0</v>
      </c>
      <c r="W608" s="73">
        <v>0</v>
      </c>
      <c r="X608" s="73">
        <v>0</v>
      </c>
      <c r="Y608" s="73">
        <v>0</v>
      </c>
      <c r="Z608" s="73">
        <v>2743</v>
      </c>
      <c r="AA608" s="73">
        <v>1987</v>
      </c>
      <c r="AB608" s="73">
        <v>0</v>
      </c>
      <c r="AC608" s="73">
        <v>0</v>
      </c>
      <c r="AD608" s="73">
        <v>0</v>
      </c>
      <c r="AE608" s="73">
        <v>0</v>
      </c>
      <c r="AF608" s="74">
        <f>tblData[[#This Row],[Gross Sales]]+tblData[[#This Row],[Trade Discounts]]+tblData[[#This Row],[Returns]]</f>
        <v>1758</v>
      </c>
      <c r="AG608" s="74">
        <f>tblData[[#This Row],[Material Cost]]+tblData[[#This Row],[Conversion Cost]]+tblData[[#This Row],[Inbound Freight]]</f>
        <v>-849</v>
      </c>
      <c r="AH608" s="74">
        <f>tblData[[#This Row],[Net Revenue]]+tblData[[#This Row],[COGS]]</f>
        <v>909</v>
      </c>
      <c r="AI608" s="74">
        <f>tblData[[#This Row],[Advertising]]+tblData[[#This Row],[Promotions]]</f>
        <v>-85</v>
      </c>
      <c r="AJ608" s="74">
        <f>tblData[[#This Row],[Outbound Logistics]]+tblData[[#This Row],[Direct Selling]]</f>
        <v>-149</v>
      </c>
      <c r="AK608" s="74">
        <f>tblData[[#This Row],[Gross Profit]]+tblData[[#This Row],[AP Spend]]+tblData[[#This Row],[Cost to Serve]]</f>
        <v>675</v>
      </c>
    </row>
    <row r="609" spans="2:37" x14ac:dyDescent="0.25">
      <c r="B609" s="71" t="s">
        <v>50</v>
      </c>
      <c r="C609" s="71">
        <v>2026</v>
      </c>
      <c r="D609" s="71">
        <v>4</v>
      </c>
      <c r="E609" s="71" t="s">
        <v>44</v>
      </c>
      <c r="F609" s="71" t="s">
        <v>41</v>
      </c>
      <c r="G609" s="72">
        <v>150.1</v>
      </c>
      <c r="H609" s="73">
        <v>1651</v>
      </c>
      <c r="I609" s="73">
        <v>-264</v>
      </c>
      <c r="J609" s="73">
        <v>-20</v>
      </c>
      <c r="K609" s="73">
        <v>-392</v>
      </c>
      <c r="L609" s="73">
        <v>-98</v>
      </c>
      <c r="M609" s="73">
        <v>-54</v>
      </c>
      <c r="N609" s="73">
        <v>-118</v>
      </c>
      <c r="O609" s="73">
        <v>-64</v>
      </c>
      <c r="P609" s="73">
        <v>-66</v>
      </c>
      <c r="Q609" s="73">
        <v>-50</v>
      </c>
      <c r="R609" s="73">
        <v>0</v>
      </c>
      <c r="S609" s="73">
        <v>0</v>
      </c>
      <c r="T609" s="73">
        <v>0</v>
      </c>
      <c r="U609" s="73">
        <v>0</v>
      </c>
      <c r="V609" s="73">
        <v>0</v>
      </c>
      <c r="W609" s="73">
        <v>0</v>
      </c>
      <c r="X609" s="73">
        <v>0</v>
      </c>
      <c r="Y609" s="73">
        <v>0</v>
      </c>
      <c r="Z609" s="73">
        <v>2133</v>
      </c>
      <c r="AA609" s="73">
        <v>1530</v>
      </c>
      <c r="AB609" s="73">
        <v>0</v>
      </c>
      <c r="AC609" s="73">
        <v>0</v>
      </c>
      <c r="AD609" s="73">
        <v>0</v>
      </c>
      <c r="AE609" s="73">
        <v>0</v>
      </c>
      <c r="AF609" s="74">
        <f>tblData[[#This Row],[Gross Sales]]+tblData[[#This Row],[Trade Discounts]]+tblData[[#This Row],[Returns]]</f>
        <v>1367</v>
      </c>
      <c r="AG609" s="74">
        <f>tblData[[#This Row],[Material Cost]]+tblData[[#This Row],[Conversion Cost]]+tblData[[#This Row],[Inbound Freight]]</f>
        <v>-544</v>
      </c>
      <c r="AH609" s="74">
        <f>tblData[[#This Row],[Net Revenue]]+tblData[[#This Row],[COGS]]</f>
        <v>823</v>
      </c>
      <c r="AI609" s="74">
        <f>tblData[[#This Row],[Advertising]]+tblData[[#This Row],[Promotions]]</f>
        <v>-182</v>
      </c>
      <c r="AJ609" s="74">
        <f>tblData[[#This Row],[Outbound Logistics]]+tblData[[#This Row],[Direct Selling]]</f>
        <v>-116</v>
      </c>
      <c r="AK609" s="74">
        <f>tblData[[#This Row],[Gross Profit]]+tblData[[#This Row],[AP Spend]]+tblData[[#This Row],[Cost to Serve]]</f>
        <v>525</v>
      </c>
    </row>
    <row r="610" spans="2:37" x14ac:dyDescent="0.25">
      <c r="B610" s="71" t="s">
        <v>50</v>
      </c>
      <c r="C610" s="71">
        <v>2026</v>
      </c>
      <c r="D610" s="71">
        <v>4</v>
      </c>
      <c r="E610" s="71" t="s">
        <v>44</v>
      </c>
      <c r="F610" s="71" t="s">
        <v>42</v>
      </c>
      <c r="G610" s="72">
        <v>196.6</v>
      </c>
      <c r="H610" s="73">
        <v>1179</v>
      </c>
      <c r="I610" s="73">
        <v>-189</v>
      </c>
      <c r="J610" s="73">
        <v>-14</v>
      </c>
      <c r="K610" s="73">
        <v>-374</v>
      </c>
      <c r="L610" s="73">
        <v>-93</v>
      </c>
      <c r="M610" s="73">
        <v>-52</v>
      </c>
      <c r="N610" s="73">
        <v>-23</v>
      </c>
      <c r="O610" s="73">
        <v>-12</v>
      </c>
      <c r="P610" s="73">
        <v>-47</v>
      </c>
      <c r="Q610" s="73">
        <v>-35</v>
      </c>
      <c r="R610" s="73">
        <v>0</v>
      </c>
      <c r="S610" s="73">
        <v>0</v>
      </c>
      <c r="T610" s="73">
        <v>0</v>
      </c>
      <c r="U610" s="73">
        <v>0</v>
      </c>
      <c r="V610" s="73">
        <v>0</v>
      </c>
      <c r="W610" s="73">
        <v>0</v>
      </c>
      <c r="X610" s="73">
        <v>0</v>
      </c>
      <c r="Y610" s="73">
        <v>0</v>
      </c>
      <c r="Z610" s="73">
        <v>1524</v>
      </c>
      <c r="AA610" s="73">
        <v>1781</v>
      </c>
      <c r="AB610" s="73">
        <v>0</v>
      </c>
      <c r="AC610" s="73">
        <v>0</v>
      </c>
      <c r="AD610" s="73">
        <v>0</v>
      </c>
      <c r="AE610" s="73">
        <v>0</v>
      </c>
      <c r="AF610" s="74">
        <f>tblData[[#This Row],[Gross Sales]]+tblData[[#This Row],[Trade Discounts]]+tblData[[#This Row],[Returns]]</f>
        <v>976</v>
      </c>
      <c r="AG610" s="74">
        <f>tblData[[#This Row],[Material Cost]]+tblData[[#This Row],[Conversion Cost]]+tblData[[#This Row],[Inbound Freight]]</f>
        <v>-519</v>
      </c>
      <c r="AH610" s="74">
        <f>tblData[[#This Row],[Net Revenue]]+tblData[[#This Row],[COGS]]</f>
        <v>457</v>
      </c>
      <c r="AI610" s="74">
        <f>tblData[[#This Row],[Advertising]]+tblData[[#This Row],[Promotions]]</f>
        <v>-35</v>
      </c>
      <c r="AJ610" s="74">
        <f>tblData[[#This Row],[Outbound Logistics]]+tblData[[#This Row],[Direct Selling]]</f>
        <v>-82</v>
      </c>
      <c r="AK610" s="74">
        <f>tblData[[#This Row],[Gross Profit]]+tblData[[#This Row],[AP Spend]]+tblData[[#This Row],[Cost to Serve]]</f>
        <v>340</v>
      </c>
    </row>
    <row r="611" spans="2:37" x14ac:dyDescent="0.25">
      <c r="B611" s="71" t="s">
        <v>50</v>
      </c>
      <c r="C611" s="71">
        <v>2026</v>
      </c>
      <c r="D611" s="71">
        <v>4</v>
      </c>
      <c r="E611" s="71" t="s">
        <v>44</v>
      </c>
      <c r="F611" s="71" t="s">
        <v>43</v>
      </c>
      <c r="G611" s="72">
        <v>39.299999999999997</v>
      </c>
      <c r="H611" s="73">
        <v>708</v>
      </c>
      <c r="I611" s="73">
        <v>-113</v>
      </c>
      <c r="J611" s="73">
        <v>-8</v>
      </c>
      <c r="K611" s="73">
        <v>-194</v>
      </c>
      <c r="L611" s="73">
        <v>-48</v>
      </c>
      <c r="M611" s="73">
        <v>-27</v>
      </c>
      <c r="N611" s="73">
        <v>-64</v>
      </c>
      <c r="O611" s="73">
        <v>-35</v>
      </c>
      <c r="P611" s="73">
        <v>-28</v>
      </c>
      <c r="Q611" s="73">
        <v>-21</v>
      </c>
      <c r="R611" s="73">
        <v>0</v>
      </c>
      <c r="S611" s="73">
        <v>0</v>
      </c>
      <c r="T611" s="73">
        <v>0</v>
      </c>
      <c r="U611" s="73">
        <v>0</v>
      </c>
      <c r="V611" s="73">
        <v>0</v>
      </c>
      <c r="W611" s="73">
        <v>0</v>
      </c>
      <c r="X611" s="73">
        <v>0</v>
      </c>
      <c r="Y611" s="73">
        <v>0</v>
      </c>
      <c r="Z611" s="73">
        <v>914</v>
      </c>
      <c r="AA611" s="73">
        <v>1007</v>
      </c>
      <c r="AB611" s="73">
        <v>0</v>
      </c>
      <c r="AC611" s="73">
        <v>0</v>
      </c>
      <c r="AD611" s="73">
        <v>0</v>
      </c>
      <c r="AE611" s="73">
        <v>0</v>
      </c>
      <c r="AF611" s="74">
        <f>tblData[[#This Row],[Gross Sales]]+tblData[[#This Row],[Trade Discounts]]+tblData[[#This Row],[Returns]]</f>
        <v>587</v>
      </c>
      <c r="AG611" s="74">
        <f>tblData[[#This Row],[Material Cost]]+tblData[[#This Row],[Conversion Cost]]+tblData[[#This Row],[Inbound Freight]]</f>
        <v>-269</v>
      </c>
      <c r="AH611" s="74">
        <f>tblData[[#This Row],[Net Revenue]]+tblData[[#This Row],[COGS]]</f>
        <v>318</v>
      </c>
      <c r="AI611" s="74">
        <f>tblData[[#This Row],[Advertising]]+tblData[[#This Row],[Promotions]]</f>
        <v>-99</v>
      </c>
      <c r="AJ611" s="74">
        <f>tblData[[#This Row],[Outbound Logistics]]+tblData[[#This Row],[Direct Selling]]</f>
        <v>-49</v>
      </c>
      <c r="AK611" s="74">
        <f>tblData[[#This Row],[Gross Profit]]+tblData[[#This Row],[AP Spend]]+tblData[[#This Row],[Cost to Serve]]</f>
        <v>170</v>
      </c>
    </row>
    <row r="612" spans="2:37" x14ac:dyDescent="0.25">
      <c r="B612" s="71" t="s">
        <v>50</v>
      </c>
      <c r="C612" s="71">
        <v>2026</v>
      </c>
      <c r="D612" s="71">
        <v>4</v>
      </c>
      <c r="E612" s="71" t="s">
        <v>45</v>
      </c>
      <c r="F612" s="71" t="s">
        <v>38</v>
      </c>
      <c r="G612" s="72">
        <v>137.6</v>
      </c>
      <c r="H612" s="73">
        <v>1926</v>
      </c>
      <c r="I612" s="73">
        <v>-424</v>
      </c>
      <c r="J612" s="73">
        <v>-19</v>
      </c>
      <c r="K612" s="73">
        <v>-416</v>
      </c>
      <c r="L612" s="73">
        <v>-104</v>
      </c>
      <c r="M612" s="73">
        <v>-58</v>
      </c>
      <c r="N612" s="73">
        <v>-113</v>
      </c>
      <c r="O612" s="73">
        <v>-61</v>
      </c>
      <c r="P612" s="73">
        <v>-67</v>
      </c>
      <c r="Q612" s="73">
        <v>-39</v>
      </c>
      <c r="R612" s="73">
        <v>0</v>
      </c>
      <c r="S612" s="73">
        <v>0</v>
      </c>
      <c r="T612" s="73">
        <v>0</v>
      </c>
      <c r="U612" s="73">
        <v>0</v>
      </c>
      <c r="V612" s="73">
        <v>0</v>
      </c>
      <c r="W612" s="73">
        <v>0</v>
      </c>
      <c r="X612" s="73">
        <v>0</v>
      </c>
      <c r="Y612" s="73">
        <v>0</v>
      </c>
      <c r="Z612" s="73">
        <v>2083</v>
      </c>
      <c r="AA612" s="73">
        <v>1713</v>
      </c>
      <c r="AB612" s="73">
        <v>0</v>
      </c>
      <c r="AC612" s="73">
        <v>0</v>
      </c>
      <c r="AD612" s="73">
        <v>0</v>
      </c>
      <c r="AE612" s="73">
        <v>0</v>
      </c>
      <c r="AF612" s="74">
        <f>tblData[[#This Row],[Gross Sales]]+tblData[[#This Row],[Trade Discounts]]+tblData[[#This Row],[Returns]]</f>
        <v>1483</v>
      </c>
      <c r="AG612" s="74">
        <f>tblData[[#This Row],[Material Cost]]+tblData[[#This Row],[Conversion Cost]]+tblData[[#This Row],[Inbound Freight]]</f>
        <v>-578</v>
      </c>
      <c r="AH612" s="74">
        <f>tblData[[#This Row],[Net Revenue]]+tblData[[#This Row],[COGS]]</f>
        <v>905</v>
      </c>
      <c r="AI612" s="74">
        <f>tblData[[#This Row],[Advertising]]+tblData[[#This Row],[Promotions]]</f>
        <v>-174</v>
      </c>
      <c r="AJ612" s="74">
        <f>tblData[[#This Row],[Outbound Logistics]]+tblData[[#This Row],[Direct Selling]]</f>
        <v>-106</v>
      </c>
      <c r="AK612" s="74">
        <f>tblData[[#This Row],[Gross Profit]]+tblData[[#This Row],[AP Spend]]+tblData[[#This Row],[Cost to Serve]]</f>
        <v>625</v>
      </c>
    </row>
    <row r="613" spans="2:37" x14ac:dyDescent="0.25">
      <c r="B613" s="71" t="s">
        <v>50</v>
      </c>
      <c r="C613" s="71">
        <v>2026</v>
      </c>
      <c r="D613" s="71">
        <v>4</v>
      </c>
      <c r="E613" s="71" t="s">
        <v>45</v>
      </c>
      <c r="F613" s="71" t="s">
        <v>39</v>
      </c>
      <c r="G613" s="72">
        <v>183.5</v>
      </c>
      <c r="H613" s="73">
        <v>1651</v>
      </c>
      <c r="I613" s="73">
        <v>-363</v>
      </c>
      <c r="J613" s="73">
        <v>-17</v>
      </c>
      <c r="K613" s="73">
        <v>-428</v>
      </c>
      <c r="L613" s="73">
        <v>-107</v>
      </c>
      <c r="M613" s="73">
        <v>-59</v>
      </c>
      <c r="N613" s="73">
        <v>-64</v>
      </c>
      <c r="O613" s="73">
        <v>-35</v>
      </c>
      <c r="P613" s="73">
        <v>-58</v>
      </c>
      <c r="Q613" s="73">
        <v>-33</v>
      </c>
      <c r="R613" s="73">
        <v>0</v>
      </c>
      <c r="S613" s="73">
        <v>0</v>
      </c>
      <c r="T613" s="73">
        <v>0</v>
      </c>
      <c r="U613" s="73">
        <v>0</v>
      </c>
      <c r="V613" s="73">
        <v>0</v>
      </c>
      <c r="W613" s="73">
        <v>0</v>
      </c>
      <c r="X613" s="73">
        <v>0</v>
      </c>
      <c r="Y613" s="73">
        <v>0</v>
      </c>
      <c r="Z613" s="73">
        <v>1785</v>
      </c>
      <c r="AA613" s="73">
        <v>1484</v>
      </c>
      <c r="AB613" s="73">
        <v>0</v>
      </c>
      <c r="AC613" s="73">
        <v>0</v>
      </c>
      <c r="AD613" s="73">
        <v>0</v>
      </c>
      <c r="AE613" s="73">
        <v>0</v>
      </c>
      <c r="AF613" s="74">
        <f>tblData[[#This Row],[Gross Sales]]+tblData[[#This Row],[Trade Discounts]]+tblData[[#This Row],[Returns]]</f>
        <v>1271</v>
      </c>
      <c r="AG613" s="74">
        <f>tblData[[#This Row],[Material Cost]]+tblData[[#This Row],[Conversion Cost]]+tblData[[#This Row],[Inbound Freight]]</f>
        <v>-594</v>
      </c>
      <c r="AH613" s="74">
        <f>tblData[[#This Row],[Net Revenue]]+tblData[[#This Row],[COGS]]</f>
        <v>677</v>
      </c>
      <c r="AI613" s="74">
        <f>tblData[[#This Row],[Advertising]]+tblData[[#This Row],[Promotions]]</f>
        <v>-99</v>
      </c>
      <c r="AJ613" s="74">
        <f>tblData[[#This Row],[Outbound Logistics]]+tblData[[#This Row],[Direct Selling]]</f>
        <v>-91</v>
      </c>
      <c r="AK613" s="74">
        <f>tblData[[#This Row],[Gross Profit]]+tblData[[#This Row],[AP Spend]]+tblData[[#This Row],[Cost to Serve]]</f>
        <v>487</v>
      </c>
    </row>
    <row r="614" spans="2:37" x14ac:dyDescent="0.25">
      <c r="B614" s="71" t="s">
        <v>50</v>
      </c>
      <c r="C614" s="71">
        <v>2026</v>
      </c>
      <c r="D614" s="71">
        <v>4</v>
      </c>
      <c r="E614" s="71" t="s">
        <v>45</v>
      </c>
      <c r="F614" s="71" t="s">
        <v>40</v>
      </c>
      <c r="G614" s="72">
        <v>176.9</v>
      </c>
      <c r="H614" s="73">
        <v>1238</v>
      </c>
      <c r="I614" s="73">
        <v>-272</v>
      </c>
      <c r="J614" s="73">
        <v>-12</v>
      </c>
      <c r="K614" s="73">
        <v>-357</v>
      </c>
      <c r="L614" s="73">
        <v>-89</v>
      </c>
      <c r="M614" s="73">
        <v>-50</v>
      </c>
      <c r="N614" s="73">
        <v>-32</v>
      </c>
      <c r="O614" s="73">
        <v>-17</v>
      </c>
      <c r="P614" s="73">
        <v>-43</v>
      </c>
      <c r="Q614" s="73">
        <v>-25</v>
      </c>
      <c r="R614" s="73">
        <v>0</v>
      </c>
      <c r="S614" s="73">
        <v>0</v>
      </c>
      <c r="T614" s="73">
        <v>0</v>
      </c>
      <c r="U614" s="73">
        <v>0</v>
      </c>
      <c r="V614" s="73">
        <v>0</v>
      </c>
      <c r="W614" s="73">
        <v>0</v>
      </c>
      <c r="X614" s="73">
        <v>0</v>
      </c>
      <c r="Y614" s="73">
        <v>0</v>
      </c>
      <c r="Z614" s="73">
        <v>1339</v>
      </c>
      <c r="AA614" s="73">
        <v>1159</v>
      </c>
      <c r="AB614" s="73">
        <v>0</v>
      </c>
      <c r="AC614" s="73">
        <v>0</v>
      </c>
      <c r="AD614" s="73">
        <v>0</v>
      </c>
      <c r="AE614" s="73">
        <v>0</v>
      </c>
      <c r="AF614" s="74">
        <f>tblData[[#This Row],[Gross Sales]]+tblData[[#This Row],[Trade Discounts]]+tblData[[#This Row],[Returns]]</f>
        <v>954</v>
      </c>
      <c r="AG614" s="74">
        <f>tblData[[#This Row],[Material Cost]]+tblData[[#This Row],[Conversion Cost]]+tblData[[#This Row],[Inbound Freight]]</f>
        <v>-496</v>
      </c>
      <c r="AH614" s="74">
        <f>tblData[[#This Row],[Net Revenue]]+tblData[[#This Row],[COGS]]</f>
        <v>458</v>
      </c>
      <c r="AI614" s="74">
        <f>tblData[[#This Row],[Advertising]]+tblData[[#This Row],[Promotions]]</f>
        <v>-49</v>
      </c>
      <c r="AJ614" s="74">
        <f>tblData[[#This Row],[Outbound Logistics]]+tblData[[#This Row],[Direct Selling]]</f>
        <v>-68</v>
      </c>
      <c r="AK614" s="74">
        <f>tblData[[#This Row],[Gross Profit]]+tblData[[#This Row],[AP Spend]]+tblData[[#This Row],[Cost to Serve]]</f>
        <v>341</v>
      </c>
    </row>
    <row r="615" spans="2:37" x14ac:dyDescent="0.25">
      <c r="B615" s="71" t="s">
        <v>50</v>
      </c>
      <c r="C615" s="71">
        <v>2026</v>
      </c>
      <c r="D615" s="71">
        <v>4</v>
      </c>
      <c r="E615" s="71" t="s">
        <v>45</v>
      </c>
      <c r="F615" s="71" t="s">
        <v>41</v>
      </c>
      <c r="G615" s="72">
        <v>87.6</v>
      </c>
      <c r="H615" s="73">
        <v>963</v>
      </c>
      <c r="I615" s="73">
        <v>-212</v>
      </c>
      <c r="J615" s="73">
        <v>-10</v>
      </c>
      <c r="K615" s="73">
        <v>-229</v>
      </c>
      <c r="L615" s="73">
        <v>-57</v>
      </c>
      <c r="M615" s="73">
        <v>-32</v>
      </c>
      <c r="N615" s="73">
        <v>-69</v>
      </c>
      <c r="O615" s="73">
        <v>-37</v>
      </c>
      <c r="P615" s="73">
        <v>-34</v>
      </c>
      <c r="Q615" s="73">
        <v>-19</v>
      </c>
      <c r="R615" s="73">
        <v>0</v>
      </c>
      <c r="S615" s="73">
        <v>0</v>
      </c>
      <c r="T615" s="73">
        <v>0</v>
      </c>
      <c r="U615" s="73">
        <v>0</v>
      </c>
      <c r="V615" s="73">
        <v>0</v>
      </c>
      <c r="W615" s="73">
        <v>0</v>
      </c>
      <c r="X615" s="73">
        <v>0</v>
      </c>
      <c r="Y615" s="73">
        <v>0</v>
      </c>
      <c r="Z615" s="73">
        <v>1041</v>
      </c>
      <c r="AA615" s="73">
        <v>893</v>
      </c>
      <c r="AB615" s="73">
        <v>0</v>
      </c>
      <c r="AC615" s="73">
        <v>0</v>
      </c>
      <c r="AD615" s="73">
        <v>0</v>
      </c>
      <c r="AE615" s="73">
        <v>0</v>
      </c>
      <c r="AF615" s="74">
        <f>tblData[[#This Row],[Gross Sales]]+tblData[[#This Row],[Trade Discounts]]+tblData[[#This Row],[Returns]]</f>
        <v>741</v>
      </c>
      <c r="AG615" s="74">
        <f>tblData[[#This Row],[Material Cost]]+tblData[[#This Row],[Conversion Cost]]+tblData[[#This Row],[Inbound Freight]]</f>
        <v>-318</v>
      </c>
      <c r="AH615" s="74">
        <f>tblData[[#This Row],[Net Revenue]]+tblData[[#This Row],[COGS]]</f>
        <v>423</v>
      </c>
      <c r="AI615" s="74">
        <f>tblData[[#This Row],[Advertising]]+tblData[[#This Row],[Promotions]]</f>
        <v>-106</v>
      </c>
      <c r="AJ615" s="74">
        <f>tblData[[#This Row],[Outbound Logistics]]+tblData[[#This Row],[Direct Selling]]</f>
        <v>-53</v>
      </c>
      <c r="AK615" s="74">
        <f>tblData[[#This Row],[Gross Profit]]+tblData[[#This Row],[AP Spend]]+tblData[[#This Row],[Cost to Serve]]</f>
        <v>264</v>
      </c>
    </row>
    <row r="616" spans="2:37" x14ac:dyDescent="0.25">
      <c r="B616" s="71" t="s">
        <v>50</v>
      </c>
      <c r="C616" s="71">
        <v>2026</v>
      </c>
      <c r="D616" s="71">
        <v>4</v>
      </c>
      <c r="E616" s="71" t="s">
        <v>45</v>
      </c>
      <c r="F616" s="71" t="s">
        <v>42</v>
      </c>
      <c r="G616" s="72">
        <v>114.7</v>
      </c>
      <c r="H616" s="73">
        <v>688</v>
      </c>
      <c r="I616" s="73">
        <v>-151</v>
      </c>
      <c r="J616" s="73">
        <v>-7</v>
      </c>
      <c r="K616" s="73">
        <v>-218</v>
      </c>
      <c r="L616" s="73">
        <v>-54</v>
      </c>
      <c r="M616" s="73">
        <v>-30</v>
      </c>
      <c r="N616" s="73">
        <v>-13</v>
      </c>
      <c r="O616" s="73">
        <v>-7</v>
      </c>
      <c r="P616" s="73">
        <v>-24</v>
      </c>
      <c r="Q616" s="73">
        <v>-14</v>
      </c>
      <c r="R616" s="73">
        <v>0</v>
      </c>
      <c r="S616" s="73">
        <v>0</v>
      </c>
      <c r="T616" s="73">
        <v>0</v>
      </c>
      <c r="U616" s="73">
        <v>0</v>
      </c>
      <c r="V616" s="73">
        <v>0</v>
      </c>
      <c r="W616" s="73">
        <v>0</v>
      </c>
      <c r="X616" s="73">
        <v>0</v>
      </c>
      <c r="Y616" s="73">
        <v>0</v>
      </c>
      <c r="Z616" s="73">
        <v>744</v>
      </c>
      <c r="AA616" s="73">
        <v>1039</v>
      </c>
      <c r="AB616" s="73">
        <v>0</v>
      </c>
      <c r="AC616" s="73">
        <v>0</v>
      </c>
      <c r="AD616" s="73">
        <v>0</v>
      </c>
      <c r="AE616" s="73">
        <v>0</v>
      </c>
      <c r="AF616" s="74">
        <f>tblData[[#This Row],[Gross Sales]]+tblData[[#This Row],[Trade Discounts]]+tblData[[#This Row],[Returns]]</f>
        <v>530</v>
      </c>
      <c r="AG616" s="74">
        <f>tblData[[#This Row],[Material Cost]]+tblData[[#This Row],[Conversion Cost]]+tblData[[#This Row],[Inbound Freight]]</f>
        <v>-302</v>
      </c>
      <c r="AH616" s="74">
        <f>tblData[[#This Row],[Net Revenue]]+tblData[[#This Row],[COGS]]</f>
        <v>228</v>
      </c>
      <c r="AI616" s="74">
        <f>tblData[[#This Row],[Advertising]]+tblData[[#This Row],[Promotions]]</f>
        <v>-20</v>
      </c>
      <c r="AJ616" s="74">
        <f>tblData[[#This Row],[Outbound Logistics]]+tblData[[#This Row],[Direct Selling]]</f>
        <v>-38</v>
      </c>
      <c r="AK616" s="74">
        <f>tblData[[#This Row],[Gross Profit]]+tblData[[#This Row],[AP Spend]]+tblData[[#This Row],[Cost to Serve]]</f>
        <v>170</v>
      </c>
    </row>
    <row r="617" spans="2:37" x14ac:dyDescent="0.25">
      <c r="B617" s="71" t="s">
        <v>50</v>
      </c>
      <c r="C617" s="71">
        <v>2026</v>
      </c>
      <c r="D617" s="71">
        <v>4</v>
      </c>
      <c r="E617" s="71" t="s">
        <v>45</v>
      </c>
      <c r="F617" s="71" t="s">
        <v>43</v>
      </c>
      <c r="G617" s="72">
        <v>22.9</v>
      </c>
      <c r="H617" s="73">
        <v>413</v>
      </c>
      <c r="I617" s="73">
        <v>-91</v>
      </c>
      <c r="J617" s="73">
        <v>-4</v>
      </c>
      <c r="K617" s="73">
        <v>-113</v>
      </c>
      <c r="L617" s="73">
        <v>-28</v>
      </c>
      <c r="M617" s="73">
        <v>-16</v>
      </c>
      <c r="N617" s="73">
        <v>-38</v>
      </c>
      <c r="O617" s="73">
        <v>-20</v>
      </c>
      <c r="P617" s="73">
        <v>-14</v>
      </c>
      <c r="Q617" s="73">
        <v>-8</v>
      </c>
      <c r="R617" s="73">
        <v>0</v>
      </c>
      <c r="S617" s="73">
        <v>0</v>
      </c>
      <c r="T617" s="73">
        <v>0</v>
      </c>
      <c r="U617" s="73">
        <v>0</v>
      </c>
      <c r="V617" s="73">
        <v>0</v>
      </c>
      <c r="W617" s="73">
        <v>0</v>
      </c>
      <c r="X617" s="73">
        <v>0</v>
      </c>
      <c r="Y617" s="73">
        <v>0</v>
      </c>
      <c r="Z617" s="73">
        <v>446</v>
      </c>
      <c r="AA617" s="73">
        <v>587</v>
      </c>
      <c r="AB617" s="73">
        <v>0</v>
      </c>
      <c r="AC617" s="73">
        <v>0</v>
      </c>
      <c r="AD617" s="73">
        <v>0</v>
      </c>
      <c r="AE617" s="73">
        <v>0</v>
      </c>
      <c r="AF617" s="74">
        <f>tblData[[#This Row],[Gross Sales]]+tblData[[#This Row],[Trade Discounts]]+tblData[[#This Row],[Returns]]</f>
        <v>318</v>
      </c>
      <c r="AG617" s="74">
        <f>tblData[[#This Row],[Material Cost]]+tblData[[#This Row],[Conversion Cost]]+tblData[[#This Row],[Inbound Freight]]</f>
        <v>-157</v>
      </c>
      <c r="AH617" s="74">
        <f>tblData[[#This Row],[Net Revenue]]+tblData[[#This Row],[COGS]]</f>
        <v>161</v>
      </c>
      <c r="AI617" s="74">
        <f>tblData[[#This Row],[Advertising]]+tblData[[#This Row],[Promotions]]</f>
        <v>-58</v>
      </c>
      <c r="AJ617" s="74">
        <f>tblData[[#This Row],[Outbound Logistics]]+tblData[[#This Row],[Direct Selling]]</f>
        <v>-22</v>
      </c>
      <c r="AK617" s="74">
        <f>tblData[[#This Row],[Gross Profit]]+tblData[[#This Row],[AP Spend]]+tblData[[#This Row],[Cost to Serve]]</f>
        <v>81</v>
      </c>
    </row>
    <row r="618" spans="2:37" x14ac:dyDescent="0.25">
      <c r="B618" s="71" t="s">
        <v>50</v>
      </c>
      <c r="C618" s="71">
        <v>2026</v>
      </c>
      <c r="D618" s="71">
        <v>4</v>
      </c>
      <c r="E618" s="71" t="s">
        <v>46</v>
      </c>
      <c r="F618" s="71" t="s">
        <v>38</v>
      </c>
      <c r="G618" s="72">
        <v>157.19999999999999</v>
      </c>
      <c r="H618" s="73">
        <v>2201</v>
      </c>
      <c r="I618" s="73">
        <v>-242</v>
      </c>
      <c r="J618" s="73">
        <v>-88</v>
      </c>
      <c r="K618" s="73">
        <v>-476</v>
      </c>
      <c r="L618" s="73">
        <v>-119</v>
      </c>
      <c r="M618" s="73">
        <v>-66</v>
      </c>
      <c r="N618" s="73">
        <v>-129</v>
      </c>
      <c r="O618" s="73">
        <v>-69</v>
      </c>
      <c r="P618" s="73">
        <v>-165</v>
      </c>
      <c r="Q618" s="73">
        <v>-44</v>
      </c>
      <c r="R618" s="73">
        <v>0</v>
      </c>
      <c r="S618" s="73">
        <v>0</v>
      </c>
      <c r="T618" s="73">
        <v>0</v>
      </c>
      <c r="U618" s="73">
        <v>0</v>
      </c>
      <c r="V618" s="73">
        <v>0</v>
      </c>
      <c r="W618" s="73">
        <v>0</v>
      </c>
      <c r="X618" s="73">
        <v>0</v>
      </c>
      <c r="Y618" s="73">
        <v>0</v>
      </c>
      <c r="Z618" s="73">
        <v>1460</v>
      </c>
      <c r="AA618" s="73">
        <v>1958</v>
      </c>
      <c r="AB618" s="73">
        <v>0</v>
      </c>
      <c r="AC618" s="73">
        <v>0</v>
      </c>
      <c r="AD618" s="73">
        <v>0</v>
      </c>
      <c r="AE618" s="73">
        <v>0</v>
      </c>
      <c r="AF618" s="74">
        <f>tblData[[#This Row],[Gross Sales]]+tblData[[#This Row],[Trade Discounts]]+tblData[[#This Row],[Returns]]</f>
        <v>1871</v>
      </c>
      <c r="AG618" s="74">
        <f>tblData[[#This Row],[Material Cost]]+tblData[[#This Row],[Conversion Cost]]+tblData[[#This Row],[Inbound Freight]]</f>
        <v>-661</v>
      </c>
      <c r="AH618" s="74">
        <f>tblData[[#This Row],[Net Revenue]]+tblData[[#This Row],[COGS]]</f>
        <v>1210</v>
      </c>
      <c r="AI618" s="74">
        <f>tblData[[#This Row],[Advertising]]+tblData[[#This Row],[Promotions]]</f>
        <v>-198</v>
      </c>
      <c r="AJ618" s="74">
        <f>tblData[[#This Row],[Outbound Logistics]]+tblData[[#This Row],[Direct Selling]]</f>
        <v>-209</v>
      </c>
      <c r="AK618" s="74">
        <f>tblData[[#This Row],[Gross Profit]]+tblData[[#This Row],[AP Spend]]+tblData[[#This Row],[Cost to Serve]]</f>
        <v>803</v>
      </c>
    </row>
    <row r="619" spans="2:37" x14ac:dyDescent="0.25">
      <c r="B619" s="71" t="s">
        <v>50</v>
      </c>
      <c r="C619" s="71">
        <v>2026</v>
      </c>
      <c r="D619" s="71">
        <v>4</v>
      </c>
      <c r="E619" s="71" t="s">
        <v>46</v>
      </c>
      <c r="F619" s="71" t="s">
        <v>39</v>
      </c>
      <c r="G619" s="72">
        <v>209.7</v>
      </c>
      <c r="H619" s="73">
        <v>1887</v>
      </c>
      <c r="I619" s="73">
        <v>-208</v>
      </c>
      <c r="J619" s="73">
        <v>-75</v>
      </c>
      <c r="K619" s="73">
        <v>-489</v>
      </c>
      <c r="L619" s="73">
        <v>-122</v>
      </c>
      <c r="M619" s="73">
        <v>-68</v>
      </c>
      <c r="N619" s="73">
        <v>-74</v>
      </c>
      <c r="O619" s="73">
        <v>-40</v>
      </c>
      <c r="P619" s="73">
        <v>-142</v>
      </c>
      <c r="Q619" s="73">
        <v>-38</v>
      </c>
      <c r="R619" s="73">
        <v>0</v>
      </c>
      <c r="S619" s="73">
        <v>0</v>
      </c>
      <c r="T619" s="73">
        <v>0</v>
      </c>
      <c r="U619" s="73">
        <v>0</v>
      </c>
      <c r="V619" s="73">
        <v>0</v>
      </c>
      <c r="W619" s="73">
        <v>0</v>
      </c>
      <c r="X619" s="73">
        <v>0</v>
      </c>
      <c r="Y619" s="73">
        <v>0</v>
      </c>
      <c r="Z619" s="73">
        <v>1251</v>
      </c>
      <c r="AA619" s="73">
        <v>1696</v>
      </c>
      <c r="AB619" s="73">
        <v>0</v>
      </c>
      <c r="AC619" s="73">
        <v>0</v>
      </c>
      <c r="AD619" s="73">
        <v>0</v>
      </c>
      <c r="AE619" s="73">
        <v>0</v>
      </c>
      <c r="AF619" s="74">
        <f>tblData[[#This Row],[Gross Sales]]+tblData[[#This Row],[Trade Discounts]]+tblData[[#This Row],[Returns]]</f>
        <v>1604</v>
      </c>
      <c r="AG619" s="74">
        <f>tblData[[#This Row],[Material Cost]]+tblData[[#This Row],[Conversion Cost]]+tblData[[#This Row],[Inbound Freight]]</f>
        <v>-679</v>
      </c>
      <c r="AH619" s="74">
        <f>tblData[[#This Row],[Net Revenue]]+tblData[[#This Row],[COGS]]</f>
        <v>925</v>
      </c>
      <c r="AI619" s="74">
        <f>tblData[[#This Row],[Advertising]]+tblData[[#This Row],[Promotions]]</f>
        <v>-114</v>
      </c>
      <c r="AJ619" s="74">
        <f>tblData[[#This Row],[Outbound Logistics]]+tblData[[#This Row],[Direct Selling]]</f>
        <v>-180</v>
      </c>
      <c r="AK619" s="74">
        <f>tblData[[#This Row],[Gross Profit]]+tblData[[#This Row],[AP Spend]]+tblData[[#This Row],[Cost to Serve]]</f>
        <v>631</v>
      </c>
    </row>
    <row r="620" spans="2:37" x14ac:dyDescent="0.25">
      <c r="B620" s="71" t="s">
        <v>50</v>
      </c>
      <c r="C620" s="71">
        <v>2026</v>
      </c>
      <c r="D620" s="71">
        <v>4</v>
      </c>
      <c r="E620" s="71" t="s">
        <v>46</v>
      </c>
      <c r="F620" s="71" t="s">
        <v>40</v>
      </c>
      <c r="G620" s="72">
        <v>202.2</v>
      </c>
      <c r="H620" s="73">
        <v>1415</v>
      </c>
      <c r="I620" s="73">
        <v>-156</v>
      </c>
      <c r="J620" s="73">
        <v>-57</v>
      </c>
      <c r="K620" s="73">
        <v>-408</v>
      </c>
      <c r="L620" s="73">
        <v>-102</v>
      </c>
      <c r="M620" s="73">
        <v>-57</v>
      </c>
      <c r="N620" s="73">
        <v>-37</v>
      </c>
      <c r="O620" s="73">
        <v>-20</v>
      </c>
      <c r="P620" s="73">
        <v>-106</v>
      </c>
      <c r="Q620" s="73">
        <v>-28</v>
      </c>
      <c r="R620" s="73">
        <v>0</v>
      </c>
      <c r="S620" s="73">
        <v>0</v>
      </c>
      <c r="T620" s="73">
        <v>0</v>
      </c>
      <c r="U620" s="73">
        <v>0</v>
      </c>
      <c r="V620" s="73">
        <v>0</v>
      </c>
      <c r="W620" s="73">
        <v>0</v>
      </c>
      <c r="X620" s="73">
        <v>0</v>
      </c>
      <c r="Y620" s="73">
        <v>0</v>
      </c>
      <c r="Z620" s="73">
        <v>939</v>
      </c>
      <c r="AA620" s="73">
        <v>1325</v>
      </c>
      <c r="AB620" s="73">
        <v>0</v>
      </c>
      <c r="AC620" s="73">
        <v>0</v>
      </c>
      <c r="AD620" s="73">
        <v>0</v>
      </c>
      <c r="AE620" s="73">
        <v>0</v>
      </c>
      <c r="AF620" s="74">
        <f>tblData[[#This Row],[Gross Sales]]+tblData[[#This Row],[Trade Discounts]]+tblData[[#This Row],[Returns]]</f>
        <v>1202</v>
      </c>
      <c r="AG620" s="74">
        <f>tblData[[#This Row],[Material Cost]]+tblData[[#This Row],[Conversion Cost]]+tblData[[#This Row],[Inbound Freight]]</f>
        <v>-567</v>
      </c>
      <c r="AH620" s="74">
        <f>tblData[[#This Row],[Net Revenue]]+tblData[[#This Row],[COGS]]</f>
        <v>635</v>
      </c>
      <c r="AI620" s="74">
        <f>tblData[[#This Row],[Advertising]]+tblData[[#This Row],[Promotions]]</f>
        <v>-57</v>
      </c>
      <c r="AJ620" s="74">
        <f>tblData[[#This Row],[Outbound Logistics]]+tblData[[#This Row],[Direct Selling]]</f>
        <v>-134</v>
      </c>
      <c r="AK620" s="74">
        <f>tblData[[#This Row],[Gross Profit]]+tblData[[#This Row],[AP Spend]]+tblData[[#This Row],[Cost to Serve]]</f>
        <v>444</v>
      </c>
    </row>
    <row r="621" spans="2:37" x14ac:dyDescent="0.25">
      <c r="B621" s="71" t="s">
        <v>50</v>
      </c>
      <c r="C621" s="71">
        <v>2026</v>
      </c>
      <c r="D621" s="71">
        <v>4</v>
      </c>
      <c r="E621" s="71" t="s">
        <v>46</v>
      </c>
      <c r="F621" s="71" t="s">
        <v>41</v>
      </c>
      <c r="G621" s="72">
        <v>100.1</v>
      </c>
      <c r="H621" s="73">
        <v>1101</v>
      </c>
      <c r="I621" s="73">
        <v>-121</v>
      </c>
      <c r="J621" s="73">
        <v>-44</v>
      </c>
      <c r="K621" s="73">
        <v>-262</v>
      </c>
      <c r="L621" s="73">
        <v>-65</v>
      </c>
      <c r="M621" s="73">
        <v>-36</v>
      </c>
      <c r="N621" s="73">
        <v>-79</v>
      </c>
      <c r="O621" s="73">
        <v>-42</v>
      </c>
      <c r="P621" s="73">
        <v>-83</v>
      </c>
      <c r="Q621" s="73">
        <v>-22</v>
      </c>
      <c r="R621" s="73">
        <v>0</v>
      </c>
      <c r="S621" s="73">
        <v>0</v>
      </c>
      <c r="T621" s="73">
        <v>0</v>
      </c>
      <c r="U621" s="73">
        <v>0</v>
      </c>
      <c r="V621" s="73">
        <v>0</v>
      </c>
      <c r="W621" s="73">
        <v>0</v>
      </c>
      <c r="X621" s="73">
        <v>0</v>
      </c>
      <c r="Y621" s="73">
        <v>0</v>
      </c>
      <c r="Z621" s="73">
        <v>730</v>
      </c>
      <c r="AA621" s="73">
        <v>1020</v>
      </c>
      <c r="AB621" s="73">
        <v>0</v>
      </c>
      <c r="AC621" s="73">
        <v>0</v>
      </c>
      <c r="AD621" s="73">
        <v>0</v>
      </c>
      <c r="AE621" s="73">
        <v>0</v>
      </c>
      <c r="AF621" s="74">
        <f>tblData[[#This Row],[Gross Sales]]+tblData[[#This Row],[Trade Discounts]]+tblData[[#This Row],[Returns]]</f>
        <v>936</v>
      </c>
      <c r="AG621" s="74">
        <f>tblData[[#This Row],[Material Cost]]+tblData[[#This Row],[Conversion Cost]]+tblData[[#This Row],[Inbound Freight]]</f>
        <v>-363</v>
      </c>
      <c r="AH621" s="74">
        <f>tblData[[#This Row],[Net Revenue]]+tblData[[#This Row],[COGS]]</f>
        <v>573</v>
      </c>
      <c r="AI621" s="74">
        <f>tblData[[#This Row],[Advertising]]+tblData[[#This Row],[Promotions]]</f>
        <v>-121</v>
      </c>
      <c r="AJ621" s="74">
        <f>tblData[[#This Row],[Outbound Logistics]]+tblData[[#This Row],[Direct Selling]]</f>
        <v>-105</v>
      </c>
      <c r="AK621" s="74">
        <f>tblData[[#This Row],[Gross Profit]]+tblData[[#This Row],[AP Spend]]+tblData[[#This Row],[Cost to Serve]]</f>
        <v>347</v>
      </c>
    </row>
    <row r="622" spans="2:37" x14ac:dyDescent="0.25">
      <c r="B622" s="71" t="s">
        <v>50</v>
      </c>
      <c r="C622" s="71">
        <v>2026</v>
      </c>
      <c r="D622" s="71">
        <v>4</v>
      </c>
      <c r="E622" s="71" t="s">
        <v>46</v>
      </c>
      <c r="F622" s="71" t="s">
        <v>42</v>
      </c>
      <c r="G622" s="72">
        <v>131</v>
      </c>
      <c r="H622" s="73">
        <v>786</v>
      </c>
      <c r="I622" s="73">
        <v>-86</v>
      </c>
      <c r="J622" s="73">
        <v>-31</v>
      </c>
      <c r="K622" s="73">
        <v>-249</v>
      </c>
      <c r="L622" s="73">
        <v>-62</v>
      </c>
      <c r="M622" s="73">
        <v>-35</v>
      </c>
      <c r="N622" s="73">
        <v>-15</v>
      </c>
      <c r="O622" s="73">
        <v>-8</v>
      </c>
      <c r="P622" s="73">
        <v>-59</v>
      </c>
      <c r="Q622" s="73">
        <v>-16</v>
      </c>
      <c r="R622" s="73">
        <v>0</v>
      </c>
      <c r="S622" s="73">
        <v>0</v>
      </c>
      <c r="T622" s="73">
        <v>0</v>
      </c>
      <c r="U622" s="73">
        <v>0</v>
      </c>
      <c r="V622" s="73">
        <v>0</v>
      </c>
      <c r="W622" s="73">
        <v>0</v>
      </c>
      <c r="X622" s="73">
        <v>0</v>
      </c>
      <c r="Y622" s="73">
        <v>0</v>
      </c>
      <c r="Z622" s="73">
        <v>521</v>
      </c>
      <c r="AA622" s="73">
        <v>1188</v>
      </c>
      <c r="AB622" s="73">
        <v>0</v>
      </c>
      <c r="AC622" s="73">
        <v>0</v>
      </c>
      <c r="AD622" s="73">
        <v>0</v>
      </c>
      <c r="AE622" s="73">
        <v>0</v>
      </c>
      <c r="AF622" s="74">
        <f>tblData[[#This Row],[Gross Sales]]+tblData[[#This Row],[Trade Discounts]]+tblData[[#This Row],[Returns]]</f>
        <v>669</v>
      </c>
      <c r="AG622" s="74">
        <f>tblData[[#This Row],[Material Cost]]+tblData[[#This Row],[Conversion Cost]]+tblData[[#This Row],[Inbound Freight]]</f>
        <v>-346</v>
      </c>
      <c r="AH622" s="74">
        <f>tblData[[#This Row],[Net Revenue]]+tblData[[#This Row],[COGS]]</f>
        <v>323</v>
      </c>
      <c r="AI622" s="74">
        <f>tblData[[#This Row],[Advertising]]+tblData[[#This Row],[Promotions]]</f>
        <v>-23</v>
      </c>
      <c r="AJ622" s="74">
        <f>tblData[[#This Row],[Outbound Logistics]]+tblData[[#This Row],[Direct Selling]]</f>
        <v>-75</v>
      </c>
      <c r="AK622" s="74">
        <f>tblData[[#This Row],[Gross Profit]]+tblData[[#This Row],[AP Spend]]+tblData[[#This Row],[Cost to Serve]]</f>
        <v>225</v>
      </c>
    </row>
    <row r="623" spans="2:37" x14ac:dyDescent="0.25">
      <c r="B623" s="71" t="s">
        <v>50</v>
      </c>
      <c r="C623" s="71">
        <v>2026</v>
      </c>
      <c r="D623" s="71">
        <v>4</v>
      </c>
      <c r="E623" s="71" t="s">
        <v>46</v>
      </c>
      <c r="F623" s="71" t="s">
        <v>43</v>
      </c>
      <c r="G623" s="72">
        <v>26.2</v>
      </c>
      <c r="H623" s="73">
        <v>472</v>
      </c>
      <c r="I623" s="73">
        <v>-52</v>
      </c>
      <c r="J623" s="73">
        <v>-19</v>
      </c>
      <c r="K623" s="73">
        <v>-129</v>
      </c>
      <c r="L623" s="73">
        <v>-32</v>
      </c>
      <c r="M623" s="73">
        <v>-18</v>
      </c>
      <c r="N623" s="73">
        <v>-43</v>
      </c>
      <c r="O623" s="73">
        <v>-23</v>
      </c>
      <c r="P623" s="73">
        <v>-35</v>
      </c>
      <c r="Q623" s="73">
        <v>-9</v>
      </c>
      <c r="R623" s="73">
        <v>0</v>
      </c>
      <c r="S623" s="73">
        <v>0</v>
      </c>
      <c r="T623" s="73">
        <v>0</v>
      </c>
      <c r="U623" s="73">
        <v>0</v>
      </c>
      <c r="V623" s="73">
        <v>0</v>
      </c>
      <c r="W623" s="73">
        <v>0</v>
      </c>
      <c r="X623" s="73">
        <v>0</v>
      </c>
      <c r="Y623" s="73">
        <v>0</v>
      </c>
      <c r="Z623" s="73">
        <v>313</v>
      </c>
      <c r="AA623" s="73">
        <v>671</v>
      </c>
      <c r="AB623" s="73">
        <v>0</v>
      </c>
      <c r="AC623" s="73">
        <v>0</v>
      </c>
      <c r="AD623" s="73">
        <v>0</v>
      </c>
      <c r="AE623" s="73">
        <v>0</v>
      </c>
      <c r="AF623" s="74">
        <f>tblData[[#This Row],[Gross Sales]]+tblData[[#This Row],[Trade Discounts]]+tblData[[#This Row],[Returns]]</f>
        <v>401</v>
      </c>
      <c r="AG623" s="74">
        <f>tblData[[#This Row],[Material Cost]]+tblData[[#This Row],[Conversion Cost]]+tblData[[#This Row],[Inbound Freight]]</f>
        <v>-179</v>
      </c>
      <c r="AH623" s="74">
        <f>tblData[[#This Row],[Net Revenue]]+tblData[[#This Row],[COGS]]</f>
        <v>222</v>
      </c>
      <c r="AI623" s="74">
        <f>tblData[[#This Row],[Advertising]]+tblData[[#This Row],[Promotions]]</f>
        <v>-66</v>
      </c>
      <c r="AJ623" s="74">
        <f>tblData[[#This Row],[Outbound Logistics]]+tblData[[#This Row],[Direct Selling]]</f>
        <v>-44</v>
      </c>
      <c r="AK623" s="74">
        <f>tblData[[#This Row],[Gross Profit]]+tblData[[#This Row],[AP Spend]]+tblData[[#This Row],[Cost to Serve]]</f>
        <v>112</v>
      </c>
    </row>
    <row r="624" spans="2:37" x14ac:dyDescent="0.25">
      <c r="B624" s="71" t="s">
        <v>50</v>
      </c>
      <c r="C624" s="71">
        <v>2026</v>
      </c>
      <c r="D624" s="71">
        <v>4</v>
      </c>
      <c r="E624" s="71" t="s">
        <v>47</v>
      </c>
      <c r="F624" s="71" t="s">
        <v>38</v>
      </c>
      <c r="G624" s="72">
        <v>59</v>
      </c>
      <c r="H624" s="73">
        <v>826</v>
      </c>
      <c r="I624" s="73">
        <v>-25</v>
      </c>
      <c r="J624" s="73">
        <v>-41</v>
      </c>
      <c r="K624" s="73">
        <v>-178</v>
      </c>
      <c r="L624" s="73">
        <v>-45</v>
      </c>
      <c r="M624" s="73">
        <v>-25</v>
      </c>
      <c r="N624" s="73">
        <v>-48</v>
      </c>
      <c r="O624" s="73">
        <v>-26</v>
      </c>
      <c r="P624" s="73">
        <v>-99</v>
      </c>
      <c r="Q624" s="73">
        <v>-33</v>
      </c>
      <c r="R624" s="73">
        <v>0</v>
      </c>
      <c r="S624" s="73">
        <v>0</v>
      </c>
      <c r="T624" s="73">
        <v>0</v>
      </c>
      <c r="U624" s="73">
        <v>0</v>
      </c>
      <c r="V624" s="73">
        <v>0</v>
      </c>
      <c r="W624" s="73">
        <v>0</v>
      </c>
      <c r="X624" s="73">
        <v>0</v>
      </c>
      <c r="Y624" s="73">
        <v>0</v>
      </c>
      <c r="Z624" s="73">
        <v>71</v>
      </c>
      <c r="AA624" s="73">
        <v>734</v>
      </c>
      <c r="AB624" s="73">
        <v>0</v>
      </c>
      <c r="AC624" s="73">
        <v>0</v>
      </c>
      <c r="AD624" s="73">
        <v>0</v>
      </c>
      <c r="AE624" s="73">
        <v>0</v>
      </c>
      <c r="AF624" s="74">
        <f>tblData[[#This Row],[Gross Sales]]+tblData[[#This Row],[Trade Discounts]]+tblData[[#This Row],[Returns]]</f>
        <v>760</v>
      </c>
      <c r="AG624" s="74">
        <f>tblData[[#This Row],[Material Cost]]+tblData[[#This Row],[Conversion Cost]]+tblData[[#This Row],[Inbound Freight]]</f>
        <v>-248</v>
      </c>
      <c r="AH624" s="74">
        <f>tblData[[#This Row],[Net Revenue]]+tblData[[#This Row],[COGS]]</f>
        <v>512</v>
      </c>
      <c r="AI624" s="74">
        <f>tblData[[#This Row],[Advertising]]+tblData[[#This Row],[Promotions]]</f>
        <v>-74</v>
      </c>
      <c r="AJ624" s="74">
        <f>tblData[[#This Row],[Outbound Logistics]]+tblData[[#This Row],[Direct Selling]]</f>
        <v>-132</v>
      </c>
      <c r="AK624" s="74">
        <f>tblData[[#This Row],[Gross Profit]]+tblData[[#This Row],[AP Spend]]+tblData[[#This Row],[Cost to Serve]]</f>
        <v>306</v>
      </c>
    </row>
    <row r="625" spans="2:37" x14ac:dyDescent="0.25">
      <c r="B625" s="71" t="s">
        <v>50</v>
      </c>
      <c r="C625" s="71">
        <v>2026</v>
      </c>
      <c r="D625" s="71">
        <v>4</v>
      </c>
      <c r="E625" s="71" t="s">
        <v>47</v>
      </c>
      <c r="F625" s="71" t="s">
        <v>39</v>
      </c>
      <c r="G625" s="72">
        <v>78.599999999999994</v>
      </c>
      <c r="H625" s="73">
        <v>708</v>
      </c>
      <c r="I625" s="73">
        <v>-21</v>
      </c>
      <c r="J625" s="73">
        <v>-35</v>
      </c>
      <c r="K625" s="73">
        <v>-183</v>
      </c>
      <c r="L625" s="73">
        <v>-46</v>
      </c>
      <c r="M625" s="73">
        <v>-25</v>
      </c>
      <c r="N625" s="73">
        <v>-28</v>
      </c>
      <c r="O625" s="73">
        <v>-15</v>
      </c>
      <c r="P625" s="73">
        <v>-85</v>
      </c>
      <c r="Q625" s="73">
        <v>-28</v>
      </c>
      <c r="R625" s="73">
        <v>0</v>
      </c>
      <c r="S625" s="73">
        <v>0</v>
      </c>
      <c r="T625" s="73">
        <v>0</v>
      </c>
      <c r="U625" s="73">
        <v>0</v>
      </c>
      <c r="V625" s="73">
        <v>0</v>
      </c>
      <c r="W625" s="73">
        <v>0</v>
      </c>
      <c r="X625" s="73">
        <v>0</v>
      </c>
      <c r="Y625" s="73">
        <v>0</v>
      </c>
      <c r="Z625" s="73">
        <v>61</v>
      </c>
      <c r="AA625" s="73">
        <v>636</v>
      </c>
      <c r="AB625" s="73">
        <v>0</v>
      </c>
      <c r="AC625" s="73">
        <v>0</v>
      </c>
      <c r="AD625" s="73">
        <v>0</v>
      </c>
      <c r="AE625" s="73">
        <v>0</v>
      </c>
      <c r="AF625" s="74">
        <f>tblData[[#This Row],[Gross Sales]]+tblData[[#This Row],[Trade Discounts]]+tblData[[#This Row],[Returns]]</f>
        <v>652</v>
      </c>
      <c r="AG625" s="74">
        <f>tblData[[#This Row],[Material Cost]]+tblData[[#This Row],[Conversion Cost]]+tblData[[#This Row],[Inbound Freight]]</f>
        <v>-254</v>
      </c>
      <c r="AH625" s="74">
        <f>tblData[[#This Row],[Net Revenue]]+tblData[[#This Row],[COGS]]</f>
        <v>398</v>
      </c>
      <c r="AI625" s="74">
        <f>tblData[[#This Row],[Advertising]]+tblData[[#This Row],[Promotions]]</f>
        <v>-43</v>
      </c>
      <c r="AJ625" s="74">
        <f>tblData[[#This Row],[Outbound Logistics]]+tblData[[#This Row],[Direct Selling]]</f>
        <v>-113</v>
      </c>
      <c r="AK625" s="74">
        <f>tblData[[#This Row],[Gross Profit]]+tblData[[#This Row],[AP Spend]]+tblData[[#This Row],[Cost to Serve]]</f>
        <v>242</v>
      </c>
    </row>
    <row r="626" spans="2:37" x14ac:dyDescent="0.25">
      <c r="B626" s="71" t="s">
        <v>50</v>
      </c>
      <c r="C626" s="71">
        <v>2026</v>
      </c>
      <c r="D626" s="71">
        <v>4</v>
      </c>
      <c r="E626" s="71" t="s">
        <v>47</v>
      </c>
      <c r="F626" s="71" t="s">
        <v>40</v>
      </c>
      <c r="G626" s="72">
        <v>75.8</v>
      </c>
      <c r="H626" s="73">
        <v>531</v>
      </c>
      <c r="I626" s="73">
        <v>-16</v>
      </c>
      <c r="J626" s="73">
        <v>-27</v>
      </c>
      <c r="K626" s="73">
        <v>-153</v>
      </c>
      <c r="L626" s="73">
        <v>-38</v>
      </c>
      <c r="M626" s="73">
        <v>-21</v>
      </c>
      <c r="N626" s="73">
        <v>-14</v>
      </c>
      <c r="O626" s="73">
        <v>-7</v>
      </c>
      <c r="P626" s="73">
        <v>-64</v>
      </c>
      <c r="Q626" s="73">
        <v>-21</v>
      </c>
      <c r="R626" s="73">
        <v>0</v>
      </c>
      <c r="S626" s="73">
        <v>0</v>
      </c>
      <c r="T626" s="73">
        <v>0</v>
      </c>
      <c r="U626" s="73">
        <v>0</v>
      </c>
      <c r="V626" s="73">
        <v>0</v>
      </c>
      <c r="W626" s="73">
        <v>0</v>
      </c>
      <c r="X626" s="73">
        <v>0</v>
      </c>
      <c r="Y626" s="73">
        <v>0</v>
      </c>
      <c r="Z626" s="73">
        <v>46</v>
      </c>
      <c r="AA626" s="73">
        <v>497</v>
      </c>
      <c r="AB626" s="73">
        <v>0</v>
      </c>
      <c r="AC626" s="73">
        <v>0</v>
      </c>
      <c r="AD626" s="73">
        <v>0</v>
      </c>
      <c r="AE626" s="73">
        <v>0</v>
      </c>
      <c r="AF626" s="74">
        <f>tblData[[#This Row],[Gross Sales]]+tblData[[#This Row],[Trade Discounts]]+tblData[[#This Row],[Returns]]</f>
        <v>488</v>
      </c>
      <c r="AG626" s="74">
        <f>tblData[[#This Row],[Material Cost]]+tblData[[#This Row],[Conversion Cost]]+tblData[[#This Row],[Inbound Freight]]</f>
        <v>-212</v>
      </c>
      <c r="AH626" s="74">
        <f>tblData[[#This Row],[Net Revenue]]+tblData[[#This Row],[COGS]]</f>
        <v>276</v>
      </c>
      <c r="AI626" s="74">
        <f>tblData[[#This Row],[Advertising]]+tblData[[#This Row],[Promotions]]</f>
        <v>-21</v>
      </c>
      <c r="AJ626" s="74">
        <f>tblData[[#This Row],[Outbound Logistics]]+tblData[[#This Row],[Direct Selling]]</f>
        <v>-85</v>
      </c>
      <c r="AK626" s="74">
        <f>tblData[[#This Row],[Gross Profit]]+tblData[[#This Row],[AP Spend]]+tblData[[#This Row],[Cost to Serve]]</f>
        <v>170</v>
      </c>
    </row>
    <row r="627" spans="2:37" x14ac:dyDescent="0.25">
      <c r="B627" s="71" t="s">
        <v>50</v>
      </c>
      <c r="C627" s="71">
        <v>2026</v>
      </c>
      <c r="D627" s="71">
        <v>4</v>
      </c>
      <c r="E627" s="71" t="s">
        <v>47</v>
      </c>
      <c r="F627" s="71" t="s">
        <v>41</v>
      </c>
      <c r="G627" s="72">
        <v>37.5</v>
      </c>
      <c r="H627" s="73">
        <v>413</v>
      </c>
      <c r="I627" s="73">
        <v>-12</v>
      </c>
      <c r="J627" s="73">
        <v>-21</v>
      </c>
      <c r="K627" s="73">
        <v>-98</v>
      </c>
      <c r="L627" s="73">
        <v>-25</v>
      </c>
      <c r="M627" s="73">
        <v>-14</v>
      </c>
      <c r="N627" s="73">
        <v>-30</v>
      </c>
      <c r="O627" s="73">
        <v>-16</v>
      </c>
      <c r="P627" s="73">
        <v>-50</v>
      </c>
      <c r="Q627" s="73">
        <v>-17</v>
      </c>
      <c r="R627" s="73">
        <v>0</v>
      </c>
      <c r="S627" s="73">
        <v>0</v>
      </c>
      <c r="T627" s="73">
        <v>0</v>
      </c>
      <c r="U627" s="73">
        <v>0</v>
      </c>
      <c r="V627" s="73">
        <v>0</v>
      </c>
      <c r="W627" s="73">
        <v>0</v>
      </c>
      <c r="X627" s="73">
        <v>0</v>
      </c>
      <c r="Y627" s="73">
        <v>0</v>
      </c>
      <c r="Z627" s="73">
        <v>36</v>
      </c>
      <c r="AA627" s="73">
        <v>383</v>
      </c>
      <c r="AB627" s="73">
        <v>0</v>
      </c>
      <c r="AC627" s="73">
        <v>0</v>
      </c>
      <c r="AD627" s="73">
        <v>0</v>
      </c>
      <c r="AE627" s="73">
        <v>0</v>
      </c>
      <c r="AF627" s="74">
        <f>tblData[[#This Row],[Gross Sales]]+tblData[[#This Row],[Trade Discounts]]+tblData[[#This Row],[Returns]]</f>
        <v>380</v>
      </c>
      <c r="AG627" s="74">
        <f>tblData[[#This Row],[Material Cost]]+tblData[[#This Row],[Conversion Cost]]+tblData[[#This Row],[Inbound Freight]]</f>
        <v>-137</v>
      </c>
      <c r="AH627" s="74">
        <f>tblData[[#This Row],[Net Revenue]]+tblData[[#This Row],[COGS]]</f>
        <v>243</v>
      </c>
      <c r="AI627" s="74">
        <f>tblData[[#This Row],[Advertising]]+tblData[[#This Row],[Promotions]]</f>
        <v>-46</v>
      </c>
      <c r="AJ627" s="74">
        <f>tblData[[#This Row],[Outbound Logistics]]+tblData[[#This Row],[Direct Selling]]</f>
        <v>-67</v>
      </c>
      <c r="AK627" s="74">
        <f>tblData[[#This Row],[Gross Profit]]+tblData[[#This Row],[AP Spend]]+tblData[[#This Row],[Cost to Serve]]</f>
        <v>130</v>
      </c>
    </row>
    <row r="628" spans="2:37" x14ac:dyDescent="0.25">
      <c r="B628" s="71" t="s">
        <v>50</v>
      </c>
      <c r="C628" s="71">
        <v>2026</v>
      </c>
      <c r="D628" s="71">
        <v>4</v>
      </c>
      <c r="E628" s="71" t="s">
        <v>47</v>
      </c>
      <c r="F628" s="71" t="s">
        <v>42</v>
      </c>
      <c r="G628" s="72">
        <v>49.1</v>
      </c>
      <c r="H628" s="73">
        <v>295</v>
      </c>
      <c r="I628" s="73">
        <v>-9</v>
      </c>
      <c r="J628" s="73">
        <v>-15</v>
      </c>
      <c r="K628" s="73">
        <v>-93</v>
      </c>
      <c r="L628" s="73">
        <v>-23</v>
      </c>
      <c r="M628" s="73">
        <v>-13</v>
      </c>
      <c r="N628" s="73">
        <v>-6</v>
      </c>
      <c r="O628" s="73">
        <v>-3</v>
      </c>
      <c r="P628" s="73">
        <v>-35</v>
      </c>
      <c r="Q628" s="73">
        <v>-12</v>
      </c>
      <c r="R628" s="73">
        <v>0</v>
      </c>
      <c r="S628" s="73">
        <v>0</v>
      </c>
      <c r="T628" s="73">
        <v>0</v>
      </c>
      <c r="U628" s="73">
        <v>0</v>
      </c>
      <c r="V628" s="73">
        <v>0</v>
      </c>
      <c r="W628" s="73">
        <v>0</v>
      </c>
      <c r="X628" s="73">
        <v>0</v>
      </c>
      <c r="Y628" s="73">
        <v>0</v>
      </c>
      <c r="Z628" s="73">
        <v>25</v>
      </c>
      <c r="AA628" s="73">
        <v>445</v>
      </c>
      <c r="AB628" s="73">
        <v>0</v>
      </c>
      <c r="AC628" s="73">
        <v>0</v>
      </c>
      <c r="AD628" s="73">
        <v>0</v>
      </c>
      <c r="AE628" s="73">
        <v>0</v>
      </c>
      <c r="AF628" s="74">
        <f>tblData[[#This Row],[Gross Sales]]+tblData[[#This Row],[Trade Discounts]]+tblData[[#This Row],[Returns]]</f>
        <v>271</v>
      </c>
      <c r="AG628" s="74">
        <f>tblData[[#This Row],[Material Cost]]+tblData[[#This Row],[Conversion Cost]]+tblData[[#This Row],[Inbound Freight]]</f>
        <v>-129</v>
      </c>
      <c r="AH628" s="74">
        <f>tblData[[#This Row],[Net Revenue]]+tblData[[#This Row],[COGS]]</f>
        <v>142</v>
      </c>
      <c r="AI628" s="74">
        <f>tblData[[#This Row],[Advertising]]+tblData[[#This Row],[Promotions]]</f>
        <v>-9</v>
      </c>
      <c r="AJ628" s="74">
        <f>tblData[[#This Row],[Outbound Logistics]]+tblData[[#This Row],[Direct Selling]]</f>
        <v>-47</v>
      </c>
      <c r="AK628" s="74">
        <f>tblData[[#This Row],[Gross Profit]]+tblData[[#This Row],[AP Spend]]+tblData[[#This Row],[Cost to Serve]]</f>
        <v>86</v>
      </c>
    </row>
    <row r="629" spans="2:37" x14ac:dyDescent="0.25">
      <c r="B629" s="71" t="s">
        <v>50</v>
      </c>
      <c r="C629" s="71">
        <v>2026</v>
      </c>
      <c r="D629" s="71">
        <v>4</v>
      </c>
      <c r="E629" s="71" t="s">
        <v>47</v>
      </c>
      <c r="F629" s="71" t="s">
        <v>43</v>
      </c>
      <c r="G629" s="72">
        <v>9.8000000000000007</v>
      </c>
      <c r="H629" s="73">
        <v>177</v>
      </c>
      <c r="I629" s="73">
        <v>-5</v>
      </c>
      <c r="J629" s="73">
        <v>-9</v>
      </c>
      <c r="K629" s="73">
        <v>-48</v>
      </c>
      <c r="L629" s="73">
        <v>-12</v>
      </c>
      <c r="M629" s="73">
        <v>-7</v>
      </c>
      <c r="N629" s="73">
        <v>-16</v>
      </c>
      <c r="O629" s="73">
        <v>-9</v>
      </c>
      <c r="P629" s="73">
        <v>-21</v>
      </c>
      <c r="Q629" s="73">
        <v>-7</v>
      </c>
      <c r="R629" s="73">
        <v>0</v>
      </c>
      <c r="S629" s="73">
        <v>0</v>
      </c>
      <c r="T629" s="73">
        <v>0</v>
      </c>
      <c r="U629" s="73">
        <v>0</v>
      </c>
      <c r="V629" s="73">
        <v>0</v>
      </c>
      <c r="W629" s="73">
        <v>0</v>
      </c>
      <c r="X629" s="73">
        <v>0</v>
      </c>
      <c r="Y629" s="73">
        <v>0</v>
      </c>
      <c r="Z629" s="73">
        <v>15</v>
      </c>
      <c r="AA629" s="73">
        <v>252</v>
      </c>
      <c r="AB629" s="73">
        <v>0</v>
      </c>
      <c r="AC629" s="73">
        <v>0</v>
      </c>
      <c r="AD629" s="73">
        <v>0</v>
      </c>
      <c r="AE629" s="73">
        <v>0</v>
      </c>
      <c r="AF629" s="74">
        <f>tblData[[#This Row],[Gross Sales]]+tblData[[#This Row],[Trade Discounts]]+tblData[[#This Row],[Returns]]</f>
        <v>163</v>
      </c>
      <c r="AG629" s="74">
        <f>tblData[[#This Row],[Material Cost]]+tblData[[#This Row],[Conversion Cost]]+tblData[[#This Row],[Inbound Freight]]</f>
        <v>-67</v>
      </c>
      <c r="AH629" s="74">
        <f>tblData[[#This Row],[Net Revenue]]+tblData[[#This Row],[COGS]]</f>
        <v>96</v>
      </c>
      <c r="AI629" s="74">
        <f>tblData[[#This Row],[Advertising]]+tblData[[#This Row],[Promotions]]</f>
        <v>-25</v>
      </c>
      <c r="AJ629" s="74">
        <f>tblData[[#This Row],[Outbound Logistics]]+tblData[[#This Row],[Direct Selling]]</f>
        <v>-28</v>
      </c>
      <c r="AK629" s="74">
        <f>tblData[[#This Row],[Gross Profit]]+tblData[[#This Row],[AP Spend]]+tblData[[#This Row],[Cost to Serve]]</f>
        <v>43</v>
      </c>
    </row>
    <row r="630" spans="2:37" x14ac:dyDescent="0.25">
      <c r="B630" s="71" t="s">
        <v>50</v>
      </c>
      <c r="C630" s="71">
        <v>2026</v>
      </c>
      <c r="D630" s="71">
        <v>4</v>
      </c>
      <c r="E630" s="71" t="s">
        <v>48</v>
      </c>
      <c r="F630" s="71" t="s">
        <v>38</v>
      </c>
      <c r="G630" s="72">
        <v>98.3</v>
      </c>
      <c r="H630" s="73">
        <v>1376</v>
      </c>
      <c r="I630" s="73">
        <v>-124</v>
      </c>
      <c r="J630" s="73">
        <v>-14</v>
      </c>
      <c r="K630" s="73">
        <v>-297</v>
      </c>
      <c r="L630" s="73">
        <v>-74</v>
      </c>
      <c r="M630" s="73">
        <v>-41</v>
      </c>
      <c r="N630" s="73">
        <v>-80</v>
      </c>
      <c r="O630" s="73">
        <v>-43</v>
      </c>
      <c r="P630" s="73">
        <v>-41</v>
      </c>
      <c r="Q630" s="73">
        <v>-21</v>
      </c>
      <c r="R630" s="73">
        <v>0</v>
      </c>
      <c r="S630" s="73">
        <v>0</v>
      </c>
      <c r="T630" s="73">
        <v>0</v>
      </c>
      <c r="U630" s="73">
        <v>0</v>
      </c>
      <c r="V630" s="73">
        <v>0</v>
      </c>
      <c r="W630" s="73">
        <v>0</v>
      </c>
      <c r="X630" s="73">
        <v>0</v>
      </c>
      <c r="Y630" s="73">
        <v>0</v>
      </c>
      <c r="Z630" s="73">
        <v>2705</v>
      </c>
      <c r="AA630" s="73">
        <v>1224</v>
      </c>
      <c r="AB630" s="73">
        <v>0</v>
      </c>
      <c r="AC630" s="73">
        <v>0</v>
      </c>
      <c r="AD630" s="73">
        <v>0</v>
      </c>
      <c r="AE630" s="73">
        <v>0</v>
      </c>
      <c r="AF630" s="74">
        <f>tblData[[#This Row],[Gross Sales]]+tblData[[#This Row],[Trade Discounts]]+tblData[[#This Row],[Returns]]</f>
        <v>1238</v>
      </c>
      <c r="AG630" s="74">
        <f>tblData[[#This Row],[Material Cost]]+tblData[[#This Row],[Conversion Cost]]+tblData[[#This Row],[Inbound Freight]]</f>
        <v>-412</v>
      </c>
      <c r="AH630" s="74">
        <f>tblData[[#This Row],[Net Revenue]]+tblData[[#This Row],[COGS]]</f>
        <v>826</v>
      </c>
      <c r="AI630" s="74">
        <f>tblData[[#This Row],[Advertising]]+tblData[[#This Row],[Promotions]]</f>
        <v>-123</v>
      </c>
      <c r="AJ630" s="74">
        <f>tblData[[#This Row],[Outbound Logistics]]+tblData[[#This Row],[Direct Selling]]</f>
        <v>-62</v>
      </c>
      <c r="AK630" s="74">
        <f>tblData[[#This Row],[Gross Profit]]+tblData[[#This Row],[AP Spend]]+tblData[[#This Row],[Cost to Serve]]</f>
        <v>641</v>
      </c>
    </row>
    <row r="631" spans="2:37" x14ac:dyDescent="0.25">
      <c r="B631" s="71" t="s">
        <v>50</v>
      </c>
      <c r="C631" s="71">
        <v>2026</v>
      </c>
      <c r="D631" s="71">
        <v>4</v>
      </c>
      <c r="E631" s="71" t="s">
        <v>48</v>
      </c>
      <c r="F631" s="71" t="s">
        <v>39</v>
      </c>
      <c r="G631" s="72">
        <v>131</v>
      </c>
      <c r="H631" s="73">
        <v>1179</v>
      </c>
      <c r="I631" s="73">
        <v>-106</v>
      </c>
      <c r="J631" s="73">
        <v>-12</v>
      </c>
      <c r="K631" s="73">
        <v>-306</v>
      </c>
      <c r="L631" s="73">
        <v>-76</v>
      </c>
      <c r="M631" s="73">
        <v>-42</v>
      </c>
      <c r="N631" s="73">
        <v>-46</v>
      </c>
      <c r="O631" s="73">
        <v>-25</v>
      </c>
      <c r="P631" s="73">
        <v>-35</v>
      </c>
      <c r="Q631" s="73">
        <v>-18</v>
      </c>
      <c r="R631" s="73">
        <v>0</v>
      </c>
      <c r="S631" s="73">
        <v>0</v>
      </c>
      <c r="T631" s="73">
        <v>0</v>
      </c>
      <c r="U631" s="73">
        <v>0</v>
      </c>
      <c r="V631" s="73">
        <v>0</v>
      </c>
      <c r="W631" s="73">
        <v>0</v>
      </c>
      <c r="X631" s="73">
        <v>0</v>
      </c>
      <c r="Y631" s="73">
        <v>0</v>
      </c>
      <c r="Z631" s="73">
        <v>2319</v>
      </c>
      <c r="AA631" s="73">
        <v>1060</v>
      </c>
      <c r="AB631" s="73">
        <v>0</v>
      </c>
      <c r="AC631" s="73">
        <v>0</v>
      </c>
      <c r="AD631" s="73">
        <v>0</v>
      </c>
      <c r="AE631" s="73">
        <v>0</v>
      </c>
      <c r="AF631" s="74">
        <f>tblData[[#This Row],[Gross Sales]]+tblData[[#This Row],[Trade Discounts]]+tblData[[#This Row],[Returns]]</f>
        <v>1061</v>
      </c>
      <c r="AG631" s="74">
        <f>tblData[[#This Row],[Material Cost]]+tblData[[#This Row],[Conversion Cost]]+tblData[[#This Row],[Inbound Freight]]</f>
        <v>-424</v>
      </c>
      <c r="AH631" s="74">
        <f>tblData[[#This Row],[Net Revenue]]+tblData[[#This Row],[COGS]]</f>
        <v>637</v>
      </c>
      <c r="AI631" s="74">
        <f>tblData[[#This Row],[Advertising]]+tblData[[#This Row],[Promotions]]</f>
        <v>-71</v>
      </c>
      <c r="AJ631" s="74">
        <f>tblData[[#This Row],[Outbound Logistics]]+tblData[[#This Row],[Direct Selling]]</f>
        <v>-53</v>
      </c>
      <c r="AK631" s="74">
        <f>tblData[[#This Row],[Gross Profit]]+tblData[[#This Row],[AP Spend]]+tblData[[#This Row],[Cost to Serve]]</f>
        <v>513</v>
      </c>
    </row>
    <row r="632" spans="2:37" x14ac:dyDescent="0.25">
      <c r="B632" s="71" t="s">
        <v>50</v>
      </c>
      <c r="C632" s="71">
        <v>2026</v>
      </c>
      <c r="D632" s="71">
        <v>4</v>
      </c>
      <c r="E632" s="71" t="s">
        <v>48</v>
      </c>
      <c r="F632" s="71" t="s">
        <v>40</v>
      </c>
      <c r="G632" s="72">
        <v>126.4</v>
      </c>
      <c r="H632" s="73">
        <v>885</v>
      </c>
      <c r="I632" s="73">
        <v>-80</v>
      </c>
      <c r="J632" s="73">
        <v>-9</v>
      </c>
      <c r="K632" s="73">
        <v>-255</v>
      </c>
      <c r="L632" s="73">
        <v>-64</v>
      </c>
      <c r="M632" s="73">
        <v>-35</v>
      </c>
      <c r="N632" s="73">
        <v>-23</v>
      </c>
      <c r="O632" s="73">
        <v>-12</v>
      </c>
      <c r="P632" s="73">
        <v>-27</v>
      </c>
      <c r="Q632" s="73">
        <v>-13</v>
      </c>
      <c r="R632" s="73">
        <v>0</v>
      </c>
      <c r="S632" s="73">
        <v>0</v>
      </c>
      <c r="T632" s="73">
        <v>0</v>
      </c>
      <c r="U632" s="73">
        <v>0</v>
      </c>
      <c r="V632" s="73">
        <v>0</v>
      </c>
      <c r="W632" s="73">
        <v>0</v>
      </c>
      <c r="X632" s="73">
        <v>0</v>
      </c>
      <c r="Y632" s="73">
        <v>0</v>
      </c>
      <c r="Z632" s="73">
        <v>1739</v>
      </c>
      <c r="AA632" s="73">
        <v>828</v>
      </c>
      <c r="AB632" s="73">
        <v>0</v>
      </c>
      <c r="AC632" s="73">
        <v>0</v>
      </c>
      <c r="AD632" s="73">
        <v>0</v>
      </c>
      <c r="AE632" s="73">
        <v>0</v>
      </c>
      <c r="AF632" s="74">
        <f>tblData[[#This Row],[Gross Sales]]+tblData[[#This Row],[Trade Discounts]]+tblData[[#This Row],[Returns]]</f>
        <v>796</v>
      </c>
      <c r="AG632" s="74">
        <f>tblData[[#This Row],[Material Cost]]+tblData[[#This Row],[Conversion Cost]]+tblData[[#This Row],[Inbound Freight]]</f>
        <v>-354</v>
      </c>
      <c r="AH632" s="74">
        <f>tblData[[#This Row],[Net Revenue]]+tblData[[#This Row],[COGS]]</f>
        <v>442</v>
      </c>
      <c r="AI632" s="74">
        <f>tblData[[#This Row],[Advertising]]+tblData[[#This Row],[Promotions]]</f>
        <v>-35</v>
      </c>
      <c r="AJ632" s="74">
        <f>tblData[[#This Row],[Outbound Logistics]]+tblData[[#This Row],[Direct Selling]]</f>
        <v>-40</v>
      </c>
      <c r="AK632" s="74">
        <f>tblData[[#This Row],[Gross Profit]]+tblData[[#This Row],[AP Spend]]+tblData[[#This Row],[Cost to Serve]]</f>
        <v>367</v>
      </c>
    </row>
    <row r="633" spans="2:37" x14ac:dyDescent="0.25">
      <c r="B633" s="71" t="s">
        <v>50</v>
      </c>
      <c r="C633" s="71">
        <v>2026</v>
      </c>
      <c r="D633" s="71">
        <v>4</v>
      </c>
      <c r="E633" s="71" t="s">
        <v>48</v>
      </c>
      <c r="F633" s="71" t="s">
        <v>41</v>
      </c>
      <c r="G633" s="72">
        <v>62.5</v>
      </c>
      <c r="H633" s="73">
        <v>688</v>
      </c>
      <c r="I633" s="73">
        <v>-62</v>
      </c>
      <c r="J633" s="73">
        <v>-7</v>
      </c>
      <c r="K633" s="73">
        <v>-163</v>
      </c>
      <c r="L633" s="73">
        <v>-41</v>
      </c>
      <c r="M633" s="73">
        <v>-23</v>
      </c>
      <c r="N633" s="73">
        <v>-49</v>
      </c>
      <c r="O633" s="73">
        <v>-26</v>
      </c>
      <c r="P633" s="73">
        <v>-21</v>
      </c>
      <c r="Q633" s="73">
        <v>-10</v>
      </c>
      <c r="R633" s="73">
        <v>0</v>
      </c>
      <c r="S633" s="73">
        <v>0</v>
      </c>
      <c r="T633" s="73">
        <v>0</v>
      </c>
      <c r="U633" s="73">
        <v>0</v>
      </c>
      <c r="V633" s="73">
        <v>0</v>
      </c>
      <c r="W633" s="73">
        <v>0</v>
      </c>
      <c r="X633" s="73">
        <v>0</v>
      </c>
      <c r="Y633" s="73">
        <v>0</v>
      </c>
      <c r="Z633" s="73">
        <v>1353</v>
      </c>
      <c r="AA633" s="73">
        <v>638</v>
      </c>
      <c r="AB633" s="73">
        <v>0</v>
      </c>
      <c r="AC633" s="73">
        <v>0</v>
      </c>
      <c r="AD633" s="73">
        <v>0</v>
      </c>
      <c r="AE633" s="73">
        <v>0</v>
      </c>
      <c r="AF633" s="74">
        <f>tblData[[#This Row],[Gross Sales]]+tblData[[#This Row],[Trade Discounts]]+tblData[[#This Row],[Returns]]</f>
        <v>619</v>
      </c>
      <c r="AG633" s="74">
        <f>tblData[[#This Row],[Material Cost]]+tblData[[#This Row],[Conversion Cost]]+tblData[[#This Row],[Inbound Freight]]</f>
        <v>-227</v>
      </c>
      <c r="AH633" s="74">
        <f>tblData[[#This Row],[Net Revenue]]+tblData[[#This Row],[COGS]]</f>
        <v>392</v>
      </c>
      <c r="AI633" s="74">
        <f>tblData[[#This Row],[Advertising]]+tblData[[#This Row],[Promotions]]</f>
        <v>-75</v>
      </c>
      <c r="AJ633" s="74">
        <f>tblData[[#This Row],[Outbound Logistics]]+tblData[[#This Row],[Direct Selling]]</f>
        <v>-31</v>
      </c>
      <c r="AK633" s="74">
        <f>tblData[[#This Row],[Gross Profit]]+tblData[[#This Row],[AP Spend]]+tblData[[#This Row],[Cost to Serve]]</f>
        <v>286</v>
      </c>
    </row>
    <row r="634" spans="2:37" x14ac:dyDescent="0.25">
      <c r="B634" s="71" t="s">
        <v>50</v>
      </c>
      <c r="C634" s="71">
        <v>2026</v>
      </c>
      <c r="D634" s="71">
        <v>4</v>
      </c>
      <c r="E634" s="71" t="s">
        <v>48</v>
      </c>
      <c r="F634" s="71" t="s">
        <v>42</v>
      </c>
      <c r="G634" s="72">
        <v>81.900000000000006</v>
      </c>
      <c r="H634" s="73">
        <v>491</v>
      </c>
      <c r="I634" s="73">
        <v>-44</v>
      </c>
      <c r="J634" s="73">
        <v>-5</v>
      </c>
      <c r="K634" s="73">
        <v>-156</v>
      </c>
      <c r="L634" s="73">
        <v>-39</v>
      </c>
      <c r="M634" s="73">
        <v>-22</v>
      </c>
      <c r="N634" s="73">
        <v>-10</v>
      </c>
      <c r="O634" s="73">
        <v>-5</v>
      </c>
      <c r="P634" s="73">
        <v>-15</v>
      </c>
      <c r="Q634" s="73">
        <v>-7</v>
      </c>
      <c r="R634" s="73">
        <v>0</v>
      </c>
      <c r="S634" s="73">
        <v>0</v>
      </c>
      <c r="T634" s="73">
        <v>0</v>
      </c>
      <c r="U634" s="73">
        <v>0</v>
      </c>
      <c r="V634" s="73">
        <v>0</v>
      </c>
      <c r="W634" s="73">
        <v>0</v>
      </c>
      <c r="X634" s="73">
        <v>0</v>
      </c>
      <c r="Y634" s="73">
        <v>0</v>
      </c>
      <c r="Z634" s="73">
        <v>966</v>
      </c>
      <c r="AA634" s="73">
        <v>742</v>
      </c>
      <c r="AB634" s="73">
        <v>0</v>
      </c>
      <c r="AC634" s="73">
        <v>0</v>
      </c>
      <c r="AD634" s="73">
        <v>0</v>
      </c>
      <c r="AE634" s="73">
        <v>0</v>
      </c>
      <c r="AF634" s="74">
        <f>tblData[[#This Row],[Gross Sales]]+tblData[[#This Row],[Trade Discounts]]+tblData[[#This Row],[Returns]]</f>
        <v>442</v>
      </c>
      <c r="AG634" s="74">
        <f>tblData[[#This Row],[Material Cost]]+tblData[[#This Row],[Conversion Cost]]+tblData[[#This Row],[Inbound Freight]]</f>
        <v>-217</v>
      </c>
      <c r="AH634" s="74">
        <f>tblData[[#This Row],[Net Revenue]]+tblData[[#This Row],[COGS]]</f>
        <v>225</v>
      </c>
      <c r="AI634" s="74">
        <f>tblData[[#This Row],[Advertising]]+tblData[[#This Row],[Promotions]]</f>
        <v>-15</v>
      </c>
      <c r="AJ634" s="74">
        <f>tblData[[#This Row],[Outbound Logistics]]+tblData[[#This Row],[Direct Selling]]</f>
        <v>-22</v>
      </c>
      <c r="AK634" s="74">
        <f>tblData[[#This Row],[Gross Profit]]+tblData[[#This Row],[AP Spend]]+tblData[[#This Row],[Cost to Serve]]</f>
        <v>188</v>
      </c>
    </row>
    <row r="635" spans="2:37" x14ac:dyDescent="0.25">
      <c r="B635" s="71" t="s">
        <v>50</v>
      </c>
      <c r="C635" s="71">
        <v>2026</v>
      </c>
      <c r="D635" s="71">
        <v>4</v>
      </c>
      <c r="E635" s="71" t="s">
        <v>48</v>
      </c>
      <c r="F635" s="71" t="s">
        <v>43</v>
      </c>
      <c r="G635" s="72">
        <v>16.399999999999999</v>
      </c>
      <c r="H635" s="73">
        <v>295</v>
      </c>
      <c r="I635" s="73">
        <v>-27</v>
      </c>
      <c r="J635" s="73">
        <v>-3</v>
      </c>
      <c r="K635" s="73">
        <v>-81</v>
      </c>
      <c r="L635" s="73">
        <v>-20</v>
      </c>
      <c r="M635" s="73">
        <v>-11</v>
      </c>
      <c r="N635" s="73">
        <v>-27</v>
      </c>
      <c r="O635" s="73">
        <v>-14</v>
      </c>
      <c r="P635" s="73">
        <v>-9</v>
      </c>
      <c r="Q635" s="73">
        <v>-4</v>
      </c>
      <c r="R635" s="73">
        <v>0</v>
      </c>
      <c r="S635" s="73">
        <v>0</v>
      </c>
      <c r="T635" s="73">
        <v>0</v>
      </c>
      <c r="U635" s="73">
        <v>0</v>
      </c>
      <c r="V635" s="73">
        <v>0</v>
      </c>
      <c r="W635" s="73">
        <v>0</v>
      </c>
      <c r="X635" s="73">
        <v>0</v>
      </c>
      <c r="Y635" s="73">
        <v>0</v>
      </c>
      <c r="Z635" s="73">
        <v>580</v>
      </c>
      <c r="AA635" s="73">
        <v>420</v>
      </c>
      <c r="AB635" s="73">
        <v>0</v>
      </c>
      <c r="AC635" s="73">
        <v>0</v>
      </c>
      <c r="AD635" s="73">
        <v>0</v>
      </c>
      <c r="AE635" s="73">
        <v>0</v>
      </c>
      <c r="AF635" s="74">
        <f>tblData[[#This Row],[Gross Sales]]+tblData[[#This Row],[Trade Discounts]]+tblData[[#This Row],[Returns]]</f>
        <v>265</v>
      </c>
      <c r="AG635" s="74">
        <f>tblData[[#This Row],[Material Cost]]+tblData[[#This Row],[Conversion Cost]]+tblData[[#This Row],[Inbound Freight]]</f>
        <v>-112</v>
      </c>
      <c r="AH635" s="74">
        <f>tblData[[#This Row],[Net Revenue]]+tblData[[#This Row],[COGS]]</f>
        <v>153</v>
      </c>
      <c r="AI635" s="74">
        <f>tblData[[#This Row],[Advertising]]+tblData[[#This Row],[Promotions]]</f>
        <v>-41</v>
      </c>
      <c r="AJ635" s="74">
        <f>tblData[[#This Row],[Outbound Logistics]]+tblData[[#This Row],[Direct Selling]]</f>
        <v>-13</v>
      </c>
      <c r="AK635" s="74">
        <f>tblData[[#This Row],[Gross Profit]]+tblData[[#This Row],[AP Spend]]+tblData[[#This Row],[Cost to Serve]]</f>
        <v>99</v>
      </c>
    </row>
    <row r="636" spans="2:37" x14ac:dyDescent="0.25">
      <c r="B636" s="71" t="s">
        <v>50</v>
      </c>
      <c r="C636" s="71">
        <v>2026</v>
      </c>
      <c r="D636" s="71">
        <v>4</v>
      </c>
      <c r="E636" s="71" t="s">
        <v>49</v>
      </c>
      <c r="F636" s="71" t="s">
        <v>49</v>
      </c>
      <c r="G636" s="72">
        <v>0</v>
      </c>
      <c r="H636" s="73">
        <v>0</v>
      </c>
      <c r="I636" s="73">
        <v>0</v>
      </c>
      <c r="J636" s="73">
        <v>0</v>
      </c>
      <c r="K636" s="73">
        <v>0</v>
      </c>
      <c r="L636" s="73">
        <v>0</v>
      </c>
      <c r="M636" s="73">
        <v>0</v>
      </c>
      <c r="N636" s="73">
        <v>0</v>
      </c>
      <c r="O636" s="73">
        <v>0</v>
      </c>
      <c r="P636" s="73">
        <v>0</v>
      </c>
      <c r="Q636" s="73">
        <v>0</v>
      </c>
      <c r="R636" s="73">
        <v>-4200</v>
      </c>
      <c r="S636" s="73">
        <v>-1020</v>
      </c>
      <c r="T636" s="73">
        <v>-1320</v>
      </c>
      <c r="U636" s="73">
        <v>-1130</v>
      </c>
      <c r="V636" s="73">
        <v>-1480</v>
      </c>
      <c r="W636" s="73">
        <v>-703</v>
      </c>
      <c r="X636" s="73">
        <v>-1498</v>
      </c>
      <c r="Y636" s="73">
        <v>-1259</v>
      </c>
      <c r="Z636" s="73">
        <v>0</v>
      </c>
      <c r="AA636" s="73">
        <v>0</v>
      </c>
      <c r="AB636" s="73">
        <v>33320</v>
      </c>
      <c r="AC636" s="73">
        <v>73361</v>
      </c>
      <c r="AD636" s="73">
        <v>187500</v>
      </c>
      <c r="AE636" s="73">
        <v>1187</v>
      </c>
      <c r="AF636" s="74">
        <f>tblData[[#This Row],[Gross Sales]]+tblData[[#This Row],[Trade Discounts]]+tblData[[#This Row],[Returns]]</f>
        <v>0</v>
      </c>
      <c r="AG636" s="74">
        <f>tblData[[#This Row],[Material Cost]]+tblData[[#This Row],[Conversion Cost]]+tblData[[#This Row],[Inbound Freight]]</f>
        <v>0</v>
      </c>
      <c r="AH636" s="74">
        <f>tblData[[#This Row],[Net Revenue]]+tblData[[#This Row],[COGS]]</f>
        <v>0</v>
      </c>
      <c r="AI636" s="74">
        <f>tblData[[#This Row],[Advertising]]+tblData[[#This Row],[Promotions]]</f>
        <v>0</v>
      </c>
      <c r="AJ636" s="74">
        <f>tblData[[#This Row],[Outbound Logistics]]+tblData[[#This Row],[Direct Selling]]</f>
        <v>0</v>
      </c>
      <c r="AK636" s="74">
        <f>tblData[[#This Row],[Gross Profit]]+tblData[[#This Row],[AP Spend]]+tblData[[#This Row],[Cost to Serve]]</f>
        <v>0</v>
      </c>
    </row>
    <row r="637" spans="2:37" x14ac:dyDescent="0.25">
      <c r="B637" s="71" t="s">
        <v>50</v>
      </c>
      <c r="C637" s="71">
        <v>2026</v>
      </c>
      <c r="D637" s="71">
        <v>5</v>
      </c>
      <c r="E637" s="71" t="s">
        <v>37</v>
      </c>
      <c r="F637" s="71" t="s">
        <v>38</v>
      </c>
      <c r="G637" s="72">
        <v>302.39999999999998</v>
      </c>
      <c r="H637" s="73">
        <v>4234</v>
      </c>
      <c r="I637" s="73">
        <v>-804</v>
      </c>
      <c r="J637" s="73">
        <v>-64</v>
      </c>
      <c r="K637" s="73">
        <v>-914</v>
      </c>
      <c r="L637" s="73">
        <v>-229</v>
      </c>
      <c r="M637" s="73">
        <v>-127</v>
      </c>
      <c r="N637" s="73">
        <v>-248</v>
      </c>
      <c r="O637" s="73">
        <v>-133</v>
      </c>
      <c r="P637" s="73">
        <v>-169</v>
      </c>
      <c r="Q637" s="73">
        <v>-127</v>
      </c>
      <c r="R637" s="73">
        <v>0</v>
      </c>
      <c r="S637" s="73">
        <v>0</v>
      </c>
      <c r="T637" s="73">
        <v>0</v>
      </c>
      <c r="U637" s="73">
        <v>0</v>
      </c>
      <c r="V637" s="73">
        <v>0</v>
      </c>
      <c r="W637" s="73">
        <v>0</v>
      </c>
      <c r="X637" s="73">
        <v>0</v>
      </c>
      <c r="Y637" s="73">
        <v>0</v>
      </c>
      <c r="Z637" s="73">
        <v>5937</v>
      </c>
      <c r="AA637" s="73">
        <v>3870</v>
      </c>
      <c r="AB637" s="73">
        <v>0</v>
      </c>
      <c r="AC637" s="73">
        <v>0</v>
      </c>
      <c r="AD637" s="73">
        <v>0</v>
      </c>
      <c r="AE637" s="73">
        <v>0</v>
      </c>
      <c r="AF637" s="74">
        <f>tblData[[#This Row],[Gross Sales]]+tblData[[#This Row],[Trade Discounts]]+tblData[[#This Row],[Returns]]</f>
        <v>3366</v>
      </c>
      <c r="AG637" s="74">
        <f>tblData[[#This Row],[Material Cost]]+tblData[[#This Row],[Conversion Cost]]+tblData[[#This Row],[Inbound Freight]]</f>
        <v>-1270</v>
      </c>
      <c r="AH637" s="74">
        <f>tblData[[#This Row],[Net Revenue]]+tblData[[#This Row],[COGS]]</f>
        <v>2096</v>
      </c>
      <c r="AI637" s="74">
        <f>tblData[[#This Row],[Advertising]]+tblData[[#This Row],[Promotions]]</f>
        <v>-381</v>
      </c>
      <c r="AJ637" s="74">
        <f>tblData[[#This Row],[Outbound Logistics]]+tblData[[#This Row],[Direct Selling]]</f>
        <v>-296</v>
      </c>
      <c r="AK637" s="74">
        <f>tblData[[#This Row],[Gross Profit]]+tblData[[#This Row],[AP Spend]]+tblData[[#This Row],[Cost to Serve]]</f>
        <v>1419</v>
      </c>
    </row>
    <row r="638" spans="2:37" x14ac:dyDescent="0.25">
      <c r="B638" s="71" t="s">
        <v>50</v>
      </c>
      <c r="C638" s="71">
        <v>2026</v>
      </c>
      <c r="D638" s="71">
        <v>5</v>
      </c>
      <c r="E638" s="71" t="s">
        <v>37</v>
      </c>
      <c r="F638" s="71" t="s">
        <v>39</v>
      </c>
      <c r="G638" s="72">
        <v>403.2</v>
      </c>
      <c r="H638" s="73">
        <v>3629</v>
      </c>
      <c r="I638" s="73">
        <v>-689</v>
      </c>
      <c r="J638" s="73">
        <v>-54</v>
      </c>
      <c r="K638" s="73">
        <v>-941</v>
      </c>
      <c r="L638" s="73">
        <v>-235</v>
      </c>
      <c r="M638" s="73">
        <v>-131</v>
      </c>
      <c r="N638" s="73">
        <v>-142</v>
      </c>
      <c r="O638" s="73">
        <v>-76</v>
      </c>
      <c r="P638" s="73">
        <v>-145</v>
      </c>
      <c r="Q638" s="73">
        <v>-109</v>
      </c>
      <c r="R638" s="73">
        <v>0</v>
      </c>
      <c r="S638" s="73">
        <v>0</v>
      </c>
      <c r="T638" s="73">
        <v>0</v>
      </c>
      <c r="U638" s="73">
        <v>0</v>
      </c>
      <c r="V638" s="73">
        <v>0</v>
      </c>
      <c r="W638" s="73">
        <v>0</v>
      </c>
      <c r="X638" s="73">
        <v>0</v>
      </c>
      <c r="Y638" s="73">
        <v>0</v>
      </c>
      <c r="Z638" s="73">
        <v>5089</v>
      </c>
      <c r="AA638" s="73">
        <v>3352</v>
      </c>
      <c r="AB638" s="73">
        <v>0</v>
      </c>
      <c r="AC638" s="73">
        <v>0</v>
      </c>
      <c r="AD638" s="73">
        <v>0</v>
      </c>
      <c r="AE638" s="73">
        <v>0</v>
      </c>
      <c r="AF638" s="74">
        <f>tblData[[#This Row],[Gross Sales]]+tblData[[#This Row],[Trade Discounts]]+tblData[[#This Row],[Returns]]</f>
        <v>2886</v>
      </c>
      <c r="AG638" s="74">
        <f>tblData[[#This Row],[Material Cost]]+tblData[[#This Row],[Conversion Cost]]+tblData[[#This Row],[Inbound Freight]]</f>
        <v>-1307</v>
      </c>
      <c r="AH638" s="74">
        <f>tblData[[#This Row],[Net Revenue]]+tblData[[#This Row],[COGS]]</f>
        <v>1579</v>
      </c>
      <c r="AI638" s="74">
        <f>tblData[[#This Row],[Advertising]]+tblData[[#This Row],[Promotions]]</f>
        <v>-218</v>
      </c>
      <c r="AJ638" s="74">
        <f>tblData[[#This Row],[Outbound Logistics]]+tblData[[#This Row],[Direct Selling]]</f>
        <v>-254</v>
      </c>
      <c r="AK638" s="74">
        <f>tblData[[#This Row],[Gross Profit]]+tblData[[#This Row],[AP Spend]]+tblData[[#This Row],[Cost to Serve]]</f>
        <v>1107</v>
      </c>
    </row>
    <row r="639" spans="2:37" x14ac:dyDescent="0.25">
      <c r="B639" s="71" t="s">
        <v>50</v>
      </c>
      <c r="C639" s="71">
        <v>2026</v>
      </c>
      <c r="D639" s="71">
        <v>5</v>
      </c>
      <c r="E639" s="71" t="s">
        <v>37</v>
      </c>
      <c r="F639" s="71" t="s">
        <v>40</v>
      </c>
      <c r="G639" s="72">
        <v>388.8</v>
      </c>
      <c r="H639" s="73">
        <v>2722</v>
      </c>
      <c r="I639" s="73">
        <v>-517</v>
      </c>
      <c r="J639" s="73">
        <v>-41</v>
      </c>
      <c r="K639" s="73">
        <v>-784</v>
      </c>
      <c r="L639" s="73">
        <v>-196</v>
      </c>
      <c r="M639" s="73">
        <v>-109</v>
      </c>
      <c r="N639" s="73">
        <v>-71</v>
      </c>
      <c r="O639" s="73">
        <v>-38</v>
      </c>
      <c r="P639" s="73">
        <v>-109</v>
      </c>
      <c r="Q639" s="73">
        <v>-82</v>
      </c>
      <c r="R639" s="73">
        <v>0</v>
      </c>
      <c r="S639" s="73">
        <v>0</v>
      </c>
      <c r="T639" s="73">
        <v>0</v>
      </c>
      <c r="U639" s="73">
        <v>0</v>
      </c>
      <c r="V639" s="73">
        <v>0</v>
      </c>
      <c r="W639" s="73">
        <v>0</v>
      </c>
      <c r="X639" s="73">
        <v>0</v>
      </c>
      <c r="Y639" s="73">
        <v>0</v>
      </c>
      <c r="Z639" s="73">
        <v>3817</v>
      </c>
      <c r="AA639" s="73">
        <v>2619</v>
      </c>
      <c r="AB639" s="73">
        <v>0</v>
      </c>
      <c r="AC639" s="73">
        <v>0</v>
      </c>
      <c r="AD639" s="73">
        <v>0</v>
      </c>
      <c r="AE639" s="73">
        <v>0</v>
      </c>
      <c r="AF639" s="74">
        <f>tblData[[#This Row],[Gross Sales]]+tblData[[#This Row],[Trade Discounts]]+tblData[[#This Row],[Returns]]</f>
        <v>2164</v>
      </c>
      <c r="AG639" s="74">
        <f>tblData[[#This Row],[Material Cost]]+tblData[[#This Row],[Conversion Cost]]+tblData[[#This Row],[Inbound Freight]]</f>
        <v>-1089</v>
      </c>
      <c r="AH639" s="74">
        <f>tblData[[#This Row],[Net Revenue]]+tblData[[#This Row],[COGS]]</f>
        <v>1075</v>
      </c>
      <c r="AI639" s="74">
        <f>tblData[[#This Row],[Advertising]]+tblData[[#This Row],[Promotions]]</f>
        <v>-109</v>
      </c>
      <c r="AJ639" s="74">
        <f>tblData[[#This Row],[Outbound Logistics]]+tblData[[#This Row],[Direct Selling]]</f>
        <v>-191</v>
      </c>
      <c r="AK639" s="74">
        <f>tblData[[#This Row],[Gross Profit]]+tblData[[#This Row],[AP Spend]]+tblData[[#This Row],[Cost to Serve]]</f>
        <v>775</v>
      </c>
    </row>
    <row r="640" spans="2:37" x14ac:dyDescent="0.25">
      <c r="B640" s="71" t="s">
        <v>50</v>
      </c>
      <c r="C640" s="71">
        <v>2026</v>
      </c>
      <c r="D640" s="71">
        <v>5</v>
      </c>
      <c r="E640" s="71" t="s">
        <v>37</v>
      </c>
      <c r="F640" s="71" t="s">
        <v>41</v>
      </c>
      <c r="G640" s="72">
        <v>192.4</v>
      </c>
      <c r="H640" s="73">
        <v>2117</v>
      </c>
      <c r="I640" s="73">
        <v>-402</v>
      </c>
      <c r="J640" s="73">
        <v>-32</v>
      </c>
      <c r="K640" s="73">
        <v>-503</v>
      </c>
      <c r="L640" s="73">
        <v>-126</v>
      </c>
      <c r="M640" s="73">
        <v>-70</v>
      </c>
      <c r="N640" s="73">
        <v>-151</v>
      </c>
      <c r="O640" s="73">
        <v>-81</v>
      </c>
      <c r="P640" s="73">
        <v>-85</v>
      </c>
      <c r="Q640" s="73">
        <v>-64</v>
      </c>
      <c r="R640" s="73">
        <v>0</v>
      </c>
      <c r="S640" s="73">
        <v>0</v>
      </c>
      <c r="T640" s="73">
        <v>0</v>
      </c>
      <c r="U640" s="73">
        <v>0</v>
      </c>
      <c r="V640" s="73">
        <v>0</v>
      </c>
      <c r="W640" s="73">
        <v>0</v>
      </c>
      <c r="X640" s="73">
        <v>0</v>
      </c>
      <c r="Y640" s="73">
        <v>0</v>
      </c>
      <c r="Z640" s="73">
        <v>2969</v>
      </c>
      <c r="AA640" s="73">
        <v>2016</v>
      </c>
      <c r="AB640" s="73">
        <v>0</v>
      </c>
      <c r="AC640" s="73">
        <v>0</v>
      </c>
      <c r="AD640" s="73">
        <v>0</v>
      </c>
      <c r="AE640" s="73">
        <v>0</v>
      </c>
      <c r="AF640" s="74">
        <f>tblData[[#This Row],[Gross Sales]]+tblData[[#This Row],[Trade Discounts]]+tblData[[#This Row],[Returns]]</f>
        <v>1683</v>
      </c>
      <c r="AG640" s="74">
        <f>tblData[[#This Row],[Material Cost]]+tblData[[#This Row],[Conversion Cost]]+tblData[[#This Row],[Inbound Freight]]</f>
        <v>-699</v>
      </c>
      <c r="AH640" s="74">
        <f>tblData[[#This Row],[Net Revenue]]+tblData[[#This Row],[COGS]]</f>
        <v>984</v>
      </c>
      <c r="AI640" s="74">
        <f>tblData[[#This Row],[Advertising]]+tblData[[#This Row],[Promotions]]</f>
        <v>-232</v>
      </c>
      <c r="AJ640" s="74">
        <f>tblData[[#This Row],[Outbound Logistics]]+tblData[[#This Row],[Direct Selling]]</f>
        <v>-149</v>
      </c>
      <c r="AK640" s="74">
        <f>tblData[[#This Row],[Gross Profit]]+tblData[[#This Row],[AP Spend]]+tblData[[#This Row],[Cost to Serve]]</f>
        <v>603</v>
      </c>
    </row>
    <row r="641" spans="2:37" x14ac:dyDescent="0.25">
      <c r="B641" s="71" t="s">
        <v>50</v>
      </c>
      <c r="C641" s="71">
        <v>2026</v>
      </c>
      <c r="D641" s="71">
        <v>5</v>
      </c>
      <c r="E641" s="71" t="s">
        <v>37</v>
      </c>
      <c r="F641" s="71" t="s">
        <v>42</v>
      </c>
      <c r="G641" s="72">
        <v>252</v>
      </c>
      <c r="H641" s="73">
        <v>1512</v>
      </c>
      <c r="I641" s="73">
        <v>-287</v>
      </c>
      <c r="J641" s="73">
        <v>-23</v>
      </c>
      <c r="K641" s="73">
        <v>-479</v>
      </c>
      <c r="L641" s="73">
        <v>-120</v>
      </c>
      <c r="M641" s="73">
        <v>-67</v>
      </c>
      <c r="N641" s="73">
        <v>-29</v>
      </c>
      <c r="O641" s="73">
        <v>-16</v>
      </c>
      <c r="P641" s="73">
        <v>-60</v>
      </c>
      <c r="Q641" s="73">
        <v>-45</v>
      </c>
      <c r="R641" s="73">
        <v>0</v>
      </c>
      <c r="S641" s="73">
        <v>0</v>
      </c>
      <c r="T641" s="73">
        <v>0</v>
      </c>
      <c r="U641" s="73">
        <v>0</v>
      </c>
      <c r="V641" s="73">
        <v>0</v>
      </c>
      <c r="W641" s="73">
        <v>0</v>
      </c>
      <c r="X641" s="73">
        <v>0</v>
      </c>
      <c r="Y641" s="73">
        <v>0</v>
      </c>
      <c r="Z641" s="73">
        <v>2120</v>
      </c>
      <c r="AA641" s="73">
        <v>2347</v>
      </c>
      <c r="AB641" s="73">
        <v>0</v>
      </c>
      <c r="AC641" s="73">
        <v>0</v>
      </c>
      <c r="AD641" s="73">
        <v>0</v>
      </c>
      <c r="AE641" s="73">
        <v>0</v>
      </c>
      <c r="AF641" s="74">
        <f>tblData[[#This Row],[Gross Sales]]+tblData[[#This Row],[Trade Discounts]]+tblData[[#This Row],[Returns]]</f>
        <v>1202</v>
      </c>
      <c r="AG641" s="74">
        <f>tblData[[#This Row],[Material Cost]]+tblData[[#This Row],[Conversion Cost]]+tblData[[#This Row],[Inbound Freight]]</f>
        <v>-666</v>
      </c>
      <c r="AH641" s="74">
        <f>tblData[[#This Row],[Net Revenue]]+tblData[[#This Row],[COGS]]</f>
        <v>536</v>
      </c>
      <c r="AI641" s="74">
        <f>tblData[[#This Row],[Advertising]]+tblData[[#This Row],[Promotions]]</f>
        <v>-45</v>
      </c>
      <c r="AJ641" s="74">
        <f>tblData[[#This Row],[Outbound Logistics]]+tblData[[#This Row],[Direct Selling]]</f>
        <v>-105</v>
      </c>
      <c r="AK641" s="74">
        <f>tblData[[#This Row],[Gross Profit]]+tblData[[#This Row],[AP Spend]]+tblData[[#This Row],[Cost to Serve]]</f>
        <v>386</v>
      </c>
    </row>
    <row r="642" spans="2:37" x14ac:dyDescent="0.25">
      <c r="B642" s="71" t="s">
        <v>50</v>
      </c>
      <c r="C642" s="71">
        <v>2026</v>
      </c>
      <c r="D642" s="71">
        <v>5</v>
      </c>
      <c r="E642" s="71" t="s">
        <v>37</v>
      </c>
      <c r="F642" s="71" t="s">
        <v>43</v>
      </c>
      <c r="G642" s="72">
        <v>50.4</v>
      </c>
      <c r="H642" s="73">
        <v>907</v>
      </c>
      <c r="I642" s="73">
        <v>-172</v>
      </c>
      <c r="J642" s="73">
        <v>-14</v>
      </c>
      <c r="K642" s="73">
        <v>-248</v>
      </c>
      <c r="L642" s="73">
        <v>-62</v>
      </c>
      <c r="M642" s="73">
        <v>-34</v>
      </c>
      <c r="N642" s="73">
        <v>-83</v>
      </c>
      <c r="O642" s="73">
        <v>-44</v>
      </c>
      <c r="P642" s="73">
        <v>-36</v>
      </c>
      <c r="Q642" s="73">
        <v>-27</v>
      </c>
      <c r="R642" s="73">
        <v>0</v>
      </c>
      <c r="S642" s="73">
        <v>0</v>
      </c>
      <c r="T642" s="73">
        <v>0</v>
      </c>
      <c r="U642" s="73">
        <v>0</v>
      </c>
      <c r="V642" s="73">
        <v>0</v>
      </c>
      <c r="W642" s="73">
        <v>0</v>
      </c>
      <c r="X642" s="73">
        <v>0</v>
      </c>
      <c r="Y642" s="73">
        <v>0</v>
      </c>
      <c r="Z642" s="73">
        <v>1272</v>
      </c>
      <c r="AA642" s="73">
        <v>1327</v>
      </c>
      <c r="AB642" s="73">
        <v>0</v>
      </c>
      <c r="AC642" s="73">
        <v>0</v>
      </c>
      <c r="AD642" s="73">
        <v>0</v>
      </c>
      <c r="AE642" s="73">
        <v>0</v>
      </c>
      <c r="AF642" s="74">
        <f>tblData[[#This Row],[Gross Sales]]+tblData[[#This Row],[Trade Discounts]]+tblData[[#This Row],[Returns]]</f>
        <v>721</v>
      </c>
      <c r="AG642" s="74">
        <f>tblData[[#This Row],[Material Cost]]+tblData[[#This Row],[Conversion Cost]]+tblData[[#This Row],[Inbound Freight]]</f>
        <v>-344</v>
      </c>
      <c r="AH642" s="74">
        <f>tblData[[#This Row],[Net Revenue]]+tblData[[#This Row],[COGS]]</f>
        <v>377</v>
      </c>
      <c r="AI642" s="74">
        <f>tblData[[#This Row],[Advertising]]+tblData[[#This Row],[Promotions]]</f>
        <v>-127</v>
      </c>
      <c r="AJ642" s="74">
        <f>tblData[[#This Row],[Outbound Logistics]]+tblData[[#This Row],[Direct Selling]]</f>
        <v>-63</v>
      </c>
      <c r="AK642" s="74">
        <f>tblData[[#This Row],[Gross Profit]]+tblData[[#This Row],[AP Spend]]+tblData[[#This Row],[Cost to Serve]]</f>
        <v>187</v>
      </c>
    </row>
    <row r="643" spans="2:37" x14ac:dyDescent="0.25">
      <c r="B643" s="71" t="s">
        <v>50</v>
      </c>
      <c r="C643" s="71">
        <v>2026</v>
      </c>
      <c r="D643" s="71">
        <v>5</v>
      </c>
      <c r="E643" s="71" t="s">
        <v>44</v>
      </c>
      <c r="F643" s="71" t="s">
        <v>38</v>
      </c>
      <c r="G643" s="72">
        <v>241.9</v>
      </c>
      <c r="H643" s="73">
        <v>3387</v>
      </c>
      <c r="I643" s="73">
        <v>-542</v>
      </c>
      <c r="J643" s="73">
        <v>-41</v>
      </c>
      <c r="K643" s="73">
        <v>-732</v>
      </c>
      <c r="L643" s="73">
        <v>-183</v>
      </c>
      <c r="M643" s="73">
        <v>-102</v>
      </c>
      <c r="N643" s="73">
        <v>-198</v>
      </c>
      <c r="O643" s="73">
        <v>-107</v>
      </c>
      <c r="P643" s="73">
        <v>-135</v>
      </c>
      <c r="Q643" s="73">
        <v>-102</v>
      </c>
      <c r="R643" s="73">
        <v>0</v>
      </c>
      <c r="S643" s="73">
        <v>0</v>
      </c>
      <c r="T643" s="73">
        <v>0</v>
      </c>
      <c r="U643" s="73">
        <v>0</v>
      </c>
      <c r="V643" s="73">
        <v>0</v>
      </c>
      <c r="W643" s="73">
        <v>0</v>
      </c>
      <c r="X643" s="73">
        <v>0</v>
      </c>
      <c r="Y643" s="73">
        <v>0</v>
      </c>
      <c r="Z643" s="73">
        <v>4497</v>
      </c>
      <c r="AA643" s="73">
        <v>3096</v>
      </c>
      <c r="AB643" s="73">
        <v>0</v>
      </c>
      <c r="AC643" s="73">
        <v>0</v>
      </c>
      <c r="AD643" s="73">
        <v>0</v>
      </c>
      <c r="AE643" s="73">
        <v>0</v>
      </c>
      <c r="AF643" s="74">
        <f>tblData[[#This Row],[Gross Sales]]+tblData[[#This Row],[Trade Discounts]]+tblData[[#This Row],[Returns]]</f>
        <v>2804</v>
      </c>
      <c r="AG643" s="74">
        <f>tblData[[#This Row],[Material Cost]]+tblData[[#This Row],[Conversion Cost]]+tblData[[#This Row],[Inbound Freight]]</f>
        <v>-1017</v>
      </c>
      <c r="AH643" s="74">
        <f>tblData[[#This Row],[Net Revenue]]+tblData[[#This Row],[COGS]]</f>
        <v>1787</v>
      </c>
      <c r="AI643" s="74">
        <f>tblData[[#This Row],[Advertising]]+tblData[[#This Row],[Promotions]]</f>
        <v>-305</v>
      </c>
      <c r="AJ643" s="74">
        <f>tblData[[#This Row],[Outbound Logistics]]+tblData[[#This Row],[Direct Selling]]</f>
        <v>-237</v>
      </c>
      <c r="AK643" s="74">
        <f>tblData[[#This Row],[Gross Profit]]+tblData[[#This Row],[AP Spend]]+tblData[[#This Row],[Cost to Serve]]</f>
        <v>1245</v>
      </c>
    </row>
    <row r="644" spans="2:37" x14ac:dyDescent="0.25">
      <c r="B644" s="71" t="s">
        <v>50</v>
      </c>
      <c r="C644" s="71">
        <v>2026</v>
      </c>
      <c r="D644" s="71">
        <v>5</v>
      </c>
      <c r="E644" s="71" t="s">
        <v>44</v>
      </c>
      <c r="F644" s="71" t="s">
        <v>39</v>
      </c>
      <c r="G644" s="72">
        <v>322.60000000000002</v>
      </c>
      <c r="H644" s="73">
        <v>2903</v>
      </c>
      <c r="I644" s="73">
        <v>-464</v>
      </c>
      <c r="J644" s="73">
        <v>-35</v>
      </c>
      <c r="K644" s="73">
        <v>-752</v>
      </c>
      <c r="L644" s="73">
        <v>-188</v>
      </c>
      <c r="M644" s="73">
        <v>-105</v>
      </c>
      <c r="N644" s="73">
        <v>-113</v>
      </c>
      <c r="O644" s="73">
        <v>-61</v>
      </c>
      <c r="P644" s="73">
        <v>-116</v>
      </c>
      <c r="Q644" s="73">
        <v>-87</v>
      </c>
      <c r="R644" s="73">
        <v>0</v>
      </c>
      <c r="S644" s="73">
        <v>0</v>
      </c>
      <c r="T644" s="73">
        <v>0</v>
      </c>
      <c r="U644" s="73">
        <v>0</v>
      </c>
      <c r="V644" s="73">
        <v>0</v>
      </c>
      <c r="W644" s="73">
        <v>0</v>
      </c>
      <c r="X644" s="73">
        <v>0</v>
      </c>
      <c r="Y644" s="73">
        <v>0</v>
      </c>
      <c r="Z644" s="73">
        <v>3855</v>
      </c>
      <c r="AA644" s="73">
        <v>2681</v>
      </c>
      <c r="AB644" s="73">
        <v>0</v>
      </c>
      <c r="AC644" s="73">
        <v>0</v>
      </c>
      <c r="AD644" s="73">
        <v>0</v>
      </c>
      <c r="AE644" s="73">
        <v>0</v>
      </c>
      <c r="AF644" s="74">
        <f>tblData[[#This Row],[Gross Sales]]+tblData[[#This Row],[Trade Discounts]]+tblData[[#This Row],[Returns]]</f>
        <v>2404</v>
      </c>
      <c r="AG644" s="74">
        <f>tblData[[#This Row],[Material Cost]]+tblData[[#This Row],[Conversion Cost]]+tblData[[#This Row],[Inbound Freight]]</f>
        <v>-1045</v>
      </c>
      <c r="AH644" s="74">
        <f>tblData[[#This Row],[Net Revenue]]+tblData[[#This Row],[COGS]]</f>
        <v>1359</v>
      </c>
      <c r="AI644" s="74">
        <f>tblData[[#This Row],[Advertising]]+tblData[[#This Row],[Promotions]]</f>
        <v>-174</v>
      </c>
      <c r="AJ644" s="74">
        <f>tblData[[#This Row],[Outbound Logistics]]+tblData[[#This Row],[Direct Selling]]</f>
        <v>-203</v>
      </c>
      <c r="AK644" s="74">
        <f>tblData[[#This Row],[Gross Profit]]+tblData[[#This Row],[AP Spend]]+tblData[[#This Row],[Cost to Serve]]</f>
        <v>982</v>
      </c>
    </row>
    <row r="645" spans="2:37" x14ac:dyDescent="0.25">
      <c r="B645" s="71" t="s">
        <v>50</v>
      </c>
      <c r="C645" s="71">
        <v>2026</v>
      </c>
      <c r="D645" s="71">
        <v>5</v>
      </c>
      <c r="E645" s="71" t="s">
        <v>44</v>
      </c>
      <c r="F645" s="71" t="s">
        <v>40</v>
      </c>
      <c r="G645" s="72">
        <v>311</v>
      </c>
      <c r="H645" s="73">
        <v>2177</v>
      </c>
      <c r="I645" s="73">
        <v>-348</v>
      </c>
      <c r="J645" s="73">
        <v>-26</v>
      </c>
      <c r="K645" s="73">
        <v>-627</v>
      </c>
      <c r="L645" s="73">
        <v>-157</v>
      </c>
      <c r="M645" s="73">
        <v>-87</v>
      </c>
      <c r="N645" s="73">
        <v>-57</v>
      </c>
      <c r="O645" s="73">
        <v>-30</v>
      </c>
      <c r="P645" s="73">
        <v>-87</v>
      </c>
      <c r="Q645" s="73">
        <v>-65</v>
      </c>
      <c r="R645" s="73">
        <v>0</v>
      </c>
      <c r="S645" s="73">
        <v>0</v>
      </c>
      <c r="T645" s="73">
        <v>0</v>
      </c>
      <c r="U645" s="73">
        <v>0</v>
      </c>
      <c r="V645" s="73">
        <v>0</v>
      </c>
      <c r="W645" s="73">
        <v>0</v>
      </c>
      <c r="X645" s="73">
        <v>0</v>
      </c>
      <c r="Y645" s="73">
        <v>0</v>
      </c>
      <c r="Z645" s="73">
        <v>2891</v>
      </c>
      <c r="AA645" s="73">
        <v>2095</v>
      </c>
      <c r="AB645" s="73">
        <v>0</v>
      </c>
      <c r="AC645" s="73">
        <v>0</v>
      </c>
      <c r="AD645" s="73">
        <v>0</v>
      </c>
      <c r="AE645" s="73">
        <v>0</v>
      </c>
      <c r="AF645" s="74">
        <f>tblData[[#This Row],[Gross Sales]]+tblData[[#This Row],[Trade Discounts]]+tblData[[#This Row],[Returns]]</f>
        <v>1803</v>
      </c>
      <c r="AG645" s="74">
        <f>tblData[[#This Row],[Material Cost]]+tblData[[#This Row],[Conversion Cost]]+tblData[[#This Row],[Inbound Freight]]</f>
        <v>-871</v>
      </c>
      <c r="AH645" s="74">
        <f>tblData[[#This Row],[Net Revenue]]+tblData[[#This Row],[COGS]]</f>
        <v>932</v>
      </c>
      <c r="AI645" s="74">
        <f>tblData[[#This Row],[Advertising]]+tblData[[#This Row],[Promotions]]</f>
        <v>-87</v>
      </c>
      <c r="AJ645" s="74">
        <f>tblData[[#This Row],[Outbound Logistics]]+tblData[[#This Row],[Direct Selling]]</f>
        <v>-152</v>
      </c>
      <c r="AK645" s="74">
        <f>tblData[[#This Row],[Gross Profit]]+tblData[[#This Row],[AP Spend]]+tblData[[#This Row],[Cost to Serve]]</f>
        <v>693</v>
      </c>
    </row>
    <row r="646" spans="2:37" x14ac:dyDescent="0.25">
      <c r="B646" s="71" t="s">
        <v>50</v>
      </c>
      <c r="C646" s="71">
        <v>2026</v>
      </c>
      <c r="D646" s="71">
        <v>5</v>
      </c>
      <c r="E646" s="71" t="s">
        <v>44</v>
      </c>
      <c r="F646" s="71" t="s">
        <v>41</v>
      </c>
      <c r="G646" s="72">
        <v>153.9</v>
      </c>
      <c r="H646" s="73">
        <v>1693</v>
      </c>
      <c r="I646" s="73">
        <v>-271</v>
      </c>
      <c r="J646" s="73">
        <v>-20</v>
      </c>
      <c r="K646" s="73">
        <v>-402</v>
      </c>
      <c r="L646" s="73">
        <v>-101</v>
      </c>
      <c r="M646" s="73">
        <v>-56</v>
      </c>
      <c r="N646" s="73">
        <v>-121</v>
      </c>
      <c r="O646" s="73">
        <v>-65</v>
      </c>
      <c r="P646" s="73">
        <v>-68</v>
      </c>
      <c r="Q646" s="73">
        <v>-51</v>
      </c>
      <c r="R646" s="73">
        <v>0</v>
      </c>
      <c r="S646" s="73">
        <v>0</v>
      </c>
      <c r="T646" s="73">
        <v>0</v>
      </c>
      <c r="U646" s="73">
        <v>0</v>
      </c>
      <c r="V646" s="73">
        <v>0</v>
      </c>
      <c r="W646" s="73">
        <v>0</v>
      </c>
      <c r="X646" s="73">
        <v>0</v>
      </c>
      <c r="Y646" s="73">
        <v>0</v>
      </c>
      <c r="Z646" s="73">
        <v>2249</v>
      </c>
      <c r="AA646" s="73">
        <v>1613</v>
      </c>
      <c r="AB646" s="73">
        <v>0</v>
      </c>
      <c r="AC646" s="73">
        <v>0</v>
      </c>
      <c r="AD646" s="73">
        <v>0</v>
      </c>
      <c r="AE646" s="73">
        <v>0</v>
      </c>
      <c r="AF646" s="74">
        <f>tblData[[#This Row],[Gross Sales]]+tblData[[#This Row],[Trade Discounts]]+tblData[[#This Row],[Returns]]</f>
        <v>1402</v>
      </c>
      <c r="AG646" s="74">
        <f>tblData[[#This Row],[Material Cost]]+tblData[[#This Row],[Conversion Cost]]+tblData[[#This Row],[Inbound Freight]]</f>
        <v>-559</v>
      </c>
      <c r="AH646" s="74">
        <f>tblData[[#This Row],[Net Revenue]]+tblData[[#This Row],[COGS]]</f>
        <v>843</v>
      </c>
      <c r="AI646" s="74">
        <f>tblData[[#This Row],[Advertising]]+tblData[[#This Row],[Promotions]]</f>
        <v>-186</v>
      </c>
      <c r="AJ646" s="74">
        <f>tblData[[#This Row],[Outbound Logistics]]+tblData[[#This Row],[Direct Selling]]</f>
        <v>-119</v>
      </c>
      <c r="AK646" s="74">
        <f>tblData[[#This Row],[Gross Profit]]+tblData[[#This Row],[AP Spend]]+tblData[[#This Row],[Cost to Serve]]</f>
        <v>538</v>
      </c>
    </row>
    <row r="647" spans="2:37" x14ac:dyDescent="0.25">
      <c r="B647" s="71" t="s">
        <v>50</v>
      </c>
      <c r="C647" s="71">
        <v>2026</v>
      </c>
      <c r="D647" s="71">
        <v>5</v>
      </c>
      <c r="E647" s="71" t="s">
        <v>44</v>
      </c>
      <c r="F647" s="71" t="s">
        <v>42</v>
      </c>
      <c r="G647" s="72">
        <v>201.6</v>
      </c>
      <c r="H647" s="73">
        <v>1210</v>
      </c>
      <c r="I647" s="73">
        <v>-194</v>
      </c>
      <c r="J647" s="73">
        <v>-15</v>
      </c>
      <c r="K647" s="73">
        <v>-383</v>
      </c>
      <c r="L647" s="73">
        <v>-96</v>
      </c>
      <c r="M647" s="73">
        <v>-53</v>
      </c>
      <c r="N647" s="73">
        <v>-24</v>
      </c>
      <c r="O647" s="73">
        <v>-13</v>
      </c>
      <c r="P647" s="73">
        <v>-48</v>
      </c>
      <c r="Q647" s="73">
        <v>-36</v>
      </c>
      <c r="R647" s="73">
        <v>0</v>
      </c>
      <c r="S647" s="73">
        <v>0</v>
      </c>
      <c r="T647" s="73">
        <v>0</v>
      </c>
      <c r="U647" s="73">
        <v>0</v>
      </c>
      <c r="V647" s="73">
        <v>0</v>
      </c>
      <c r="W647" s="73">
        <v>0</v>
      </c>
      <c r="X647" s="73">
        <v>0</v>
      </c>
      <c r="Y647" s="73">
        <v>0</v>
      </c>
      <c r="Z647" s="73">
        <v>1606</v>
      </c>
      <c r="AA647" s="73">
        <v>1878</v>
      </c>
      <c r="AB647" s="73">
        <v>0</v>
      </c>
      <c r="AC647" s="73">
        <v>0</v>
      </c>
      <c r="AD647" s="73">
        <v>0</v>
      </c>
      <c r="AE647" s="73">
        <v>0</v>
      </c>
      <c r="AF647" s="74">
        <f>tblData[[#This Row],[Gross Sales]]+tblData[[#This Row],[Trade Discounts]]+tblData[[#This Row],[Returns]]</f>
        <v>1001</v>
      </c>
      <c r="AG647" s="74">
        <f>tblData[[#This Row],[Material Cost]]+tblData[[#This Row],[Conversion Cost]]+tblData[[#This Row],[Inbound Freight]]</f>
        <v>-532</v>
      </c>
      <c r="AH647" s="74">
        <f>tblData[[#This Row],[Net Revenue]]+tblData[[#This Row],[COGS]]</f>
        <v>469</v>
      </c>
      <c r="AI647" s="74">
        <f>tblData[[#This Row],[Advertising]]+tblData[[#This Row],[Promotions]]</f>
        <v>-37</v>
      </c>
      <c r="AJ647" s="74">
        <f>tblData[[#This Row],[Outbound Logistics]]+tblData[[#This Row],[Direct Selling]]</f>
        <v>-84</v>
      </c>
      <c r="AK647" s="74">
        <f>tblData[[#This Row],[Gross Profit]]+tblData[[#This Row],[AP Spend]]+tblData[[#This Row],[Cost to Serve]]</f>
        <v>348</v>
      </c>
    </row>
    <row r="648" spans="2:37" x14ac:dyDescent="0.25">
      <c r="B648" s="71" t="s">
        <v>50</v>
      </c>
      <c r="C648" s="71">
        <v>2026</v>
      </c>
      <c r="D648" s="71">
        <v>5</v>
      </c>
      <c r="E648" s="71" t="s">
        <v>44</v>
      </c>
      <c r="F648" s="71" t="s">
        <v>43</v>
      </c>
      <c r="G648" s="72">
        <v>40.299999999999997</v>
      </c>
      <c r="H648" s="73">
        <v>726</v>
      </c>
      <c r="I648" s="73">
        <v>-116</v>
      </c>
      <c r="J648" s="73">
        <v>-9</v>
      </c>
      <c r="K648" s="73">
        <v>-199</v>
      </c>
      <c r="L648" s="73">
        <v>-50</v>
      </c>
      <c r="M648" s="73">
        <v>-28</v>
      </c>
      <c r="N648" s="73">
        <v>-66</v>
      </c>
      <c r="O648" s="73">
        <v>-36</v>
      </c>
      <c r="P648" s="73">
        <v>-29</v>
      </c>
      <c r="Q648" s="73">
        <v>-22</v>
      </c>
      <c r="R648" s="73">
        <v>0</v>
      </c>
      <c r="S648" s="73">
        <v>0</v>
      </c>
      <c r="T648" s="73">
        <v>0</v>
      </c>
      <c r="U648" s="73">
        <v>0</v>
      </c>
      <c r="V648" s="73">
        <v>0</v>
      </c>
      <c r="W648" s="73">
        <v>0</v>
      </c>
      <c r="X648" s="73">
        <v>0</v>
      </c>
      <c r="Y648" s="73">
        <v>0</v>
      </c>
      <c r="Z648" s="73">
        <v>964</v>
      </c>
      <c r="AA648" s="73">
        <v>1061</v>
      </c>
      <c r="AB648" s="73">
        <v>0</v>
      </c>
      <c r="AC648" s="73">
        <v>0</v>
      </c>
      <c r="AD648" s="73">
        <v>0</v>
      </c>
      <c r="AE648" s="73">
        <v>0</v>
      </c>
      <c r="AF648" s="74">
        <f>tblData[[#This Row],[Gross Sales]]+tblData[[#This Row],[Trade Discounts]]+tblData[[#This Row],[Returns]]</f>
        <v>601</v>
      </c>
      <c r="AG648" s="74">
        <f>tblData[[#This Row],[Material Cost]]+tblData[[#This Row],[Conversion Cost]]+tblData[[#This Row],[Inbound Freight]]</f>
        <v>-277</v>
      </c>
      <c r="AH648" s="74">
        <f>tblData[[#This Row],[Net Revenue]]+tblData[[#This Row],[COGS]]</f>
        <v>324</v>
      </c>
      <c r="AI648" s="74">
        <f>tblData[[#This Row],[Advertising]]+tblData[[#This Row],[Promotions]]</f>
        <v>-102</v>
      </c>
      <c r="AJ648" s="74">
        <f>tblData[[#This Row],[Outbound Logistics]]+tblData[[#This Row],[Direct Selling]]</f>
        <v>-51</v>
      </c>
      <c r="AK648" s="74">
        <f>tblData[[#This Row],[Gross Profit]]+tblData[[#This Row],[AP Spend]]+tblData[[#This Row],[Cost to Serve]]</f>
        <v>171</v>
      </c>
    </row>
    <row r="649" spans="2:37" x14ac:dyDescent="0.25">
      <c r="B649" s="71" t="s">
        <v>50</v>
      </c>
      <c r="C649" s="71">
        <v>2026</v>
      </c>
      <c r="D649" s="71">
        <v>5</v>
      </c>
      <c r="E649" s="71" t="s">
        <v>45</v>
      </c>
      <c r="F649" s="71" t="s">
        <v>38</v>
      </c>
      <c r="G649" s="72">
        <v>141.1</v>
      </c>
      <c r="H649" s="73">
        <v>1976</v>
      </c>
      <c r="I649" s="73">
        <v>-435</v>
      </c>
      <c r="J649" s="73">
        <v>-20</v>
      </c>
      <c r="K649" s="73">
        <v>-427</v>
      </c>
      <c r="L649" s="73">
        <v>-107</v>
      </c>
      <c r="M649" s="73">
        <v>-59</v>
      </c>
      <c r="N649" s="73">
        <v>-116</v>
      </c>
      <c r="O649" s="73">
        <v>-62</v>
      </c>
      <c r="P649" s="73">
        <v>-69</v>
      </c>
      <c r="Q649" s="73">
        <v>-40</v>
      </c>
      <c r="R649" s="73">
        <v>0</v>
      </c>
      <c r="S649" s="73">
        <v>0</v>
      </c>
      <c r="T649" s="73">
        <v>0</v>
      </c>
      <c r="U649" s="73">
        <v>0</v>
      </c>
      <c r="V649" s="73">
        <v>0</v>
      </c>
      <c r="W649" s="73">
        <v>0</v>
      </c>
      <c r="X649" s="73">
        <v>0</v>
      </c>
      <c r="Y649" s="73">
        <v>0</v>
      </c>
      <c r="Z649" s="73">
        <v>2196</v>
      </c>
      <c r="AA649" s="73">
        <v>1806</v>
      </c>
      <c r="AB649" s="73">
        <v>0</v>
      </c>
      <c r="AC649" s="73">
        <v>0</v>
      </c>
      <c r="AD649" s="73">
        <v>0</v>
      </c>
      <c r="AE649" s="73">
        <v>0</v>
      </c>
      <c r="AF649" s="74">
        <f>tblData[[#This Row],[Gross Sales]]+tblData[[#This Row],[Trade Discounts]]+tblData[[#This Row],[Returns]]</f>
        <v>1521</v>
      </c>
      <c r="AG649" s="74">
        <f>tblData[[#This Row],[Material Cost]]+tblData[[#This Row],[Conversion Cost]]+tblData[[#This Row],[Inbound Freight]]</f>
        <v>-593</v>
      </c>
      <c r="AH649" s="74">
        <f>tblData[[#This Row],[Net Revenue]]+tblData[[#This Row],[COGS]]</f>
        <v>928</v>
      </c>
      <c r="AI649" s="74">
        <f>tblData[[#This Row],[Advertising]]+tblData[[#This Row],[Promotions]]</f>
        <v>-178</v>
      </c>
      <c r="AJ649" s="74">
        <f>tblData[[#This Row],[Outbound Logistics]]+tblData[[#This Row],[Direct Selling]]</f>
        <v>-109</v>
      </c>
      <c r="AK649" s="74">
        <f>tblData[[#This Row],[Gross Profit]]+tblData[[#This Row],[AP Spend]]+tblData[[#This Row],[Cost to Serve]]</f>
        <v>641</v>
      </c>
    </row>
    <row r="650" spans="2:37" x14ac:dyDescent="0.25">
      <c r="B650" s="71" t="s">
        <v>50</v>
      </c>
      <c r="C650" s="71">
        <v>2026</v>
      </c>
      <c r="D650" s="71">
        <v>5</v>
      </c>
      <c r="E650" s="71" t="s">
        <v>45</v>
      </c>
      <c r="F650" s="71" t="s">
        <v>39</v>
      </c>
      <c r="G650" s="72">
        <v>188.2</v>
      </c>
      <c r="H650" s="73">
        <v>1693</v>
      </c>
      <c r="I650" s="73">
        <v>-373</v>
      </c>
      <c r="J650" s="73">
        <v>-17</v>
      </c>
      <c r="K650" s="73">
        <v>-439</v>
      </c>
      <c r="L650" s="73">
        <v>-110</v>
      </c>
      <c r="M650" s="73">
        <v>-61</v>
      </c>
      <c r="N650" s="73">
        <v>-66</v>
      </c>
      <c r="O650" s="73">
        <v>-36</v>
      </c>
      <c r="P650" s="73">
        <v>-59</v>
      </c>
      <c r="Q650" s="73">
        <v>-34</v>
      </c>
      <c r="R650" s="73">
        <v>0</v>
      </c>
      <c r="S650" s="73">
        <v>0</v>
      </c>
      <c r="T650" s="73">
        <v>0</v>
      </c>
      <c r="U650" s="73">
        <v>0</v>
      </c>
      <c r="V650" s="73">
        <v>0</v>
      </c>
      <c r="W650" s="73">
        <v>0</v>
      </c>
      <c r="X650" s="73">
        <v>0</v>
      </c>
      <c r="Y650" s="73">
        <v>0</v>
      </c>
      <c r="Z650" s="73">
        <v>1882</v>
      </c>
      <c r="AA650" s="73">
        <v>1564</v>
      </c>
      <c r="AB650" s="73">
        <v>0</v>
      </c>
      <c r="AC650" s="73">
        <v>0</v>
      </c>
      <c r="AD650" s="73">
        <v>0</v>
      </c>
      <c r="AE650" s="73">
        <v>0</v>
      </c>
      <c r="AF650" s="74">
        <f>tblData[[#This Row],[Gross Sales]]+tblData[[#This Row],[Trade Discounts]]+tblData[[#This Row],[Returns]]</f>
        <v>1303</v>
      </c>
      <c r="AG650" s="74">
        <f>tblData[[#This Row],[Material Cost]]+tblData[[#This Row],[Conversion Cost]]+tblData[[#This Row],[Inbound Freight]]</f>
        <v>-610</v>
      </c>
      <c r="AH650" s="74">
        <f>tblData[[#This Row],[Net Revenue]]+tblData[[#This Row],[COGS]]</f>
        <v>693</v>
      </c>
      <c r="AI650" s="74">
        <f>tblData[[#This Row],[Advertising]]+tblData[[#This Row],[Promotions]]</f>
        <v>-102</v>
      </c>
      <c r="AJ650" s="74">
        <f>tblData[[#This Row],[Outbound Logistics]]+tblData[[#This Row],[Direct Selling]]</f>
        <v>-93</v>
      </c>
      <c r="AK650" s="74">
        <f>tblData[[#This Row],[Gross Profit]]+tblData[[#This Row],[AP Spend]]+tblData[[#This Row],[Cost to Serve]]</f>
        <v>498</v>
      </c>
    </row>
    <row r="651" spans="2:37" x14ac:dyDescent="0.25">
      <c r="B651" s="71" t="s">
        <v>50</v>
      </c>
      <c r="C651" s="71">
        <v>2026</v>
      </c>
      <c r="D651" s="71">
        <v>5</v>
      </c>
      <c r="E651" s="71" t="s">
        <v>45</v>
      </c>
      <c r="F651" s="71" t="s">
        <v>40</v>
      </c>
      <c r="G651" s="72">
        <v>181.4</v>
      </c>
      <c r="H651" s="73">
        <v>1270</v>
      </c>
      <c r="I651" s="73">
        <v>-279</v>
      </c>
      <c r="J651" s="73">
        <v>-13</v>
      </c>
      <c r="K651" s="73">
        <v>-366</v>
      </c>
      <c r="L651" s="73">
        <v>-91</v>
      </c>
      <c r="M651" s="73">
        <v>-51</v>
      </c>
      <c r="N651" s="73">
        <v>-33</v>
      </c>
      <c r="O651" s="73">
        <v>-18</v>
      </c>
      <c r="P651" s="73">
        <v>-44</v>
      </c>
      <c r="Q651" s="73">
        <v>-25</v>
      </c>
      <c r="R651" s="73">
        <v>0</v>
      </c>
      <c r="S651" s="73">
        <v>0</v>
      </c>
      <c r="T651" s="73">
        <v>0</v>
      </c>
      <c r="U651" s="73">
        <v>0</v>
      </c>
      <c r="V651" s="73">
        <v>0</v>
      </c>
      <c r="W651" s="73">
        <v>0</v>
      </c>
      <c r="X651" s="73">
        <v>0</v>
      </c>
      <c r="Y651" s="73">
        <v>0</v>
      </c>
      <c r="Z651" s="73">
        <v>1411</v>
      </c>
      <c r="AA651" s="73">
        <v>1222</v>
      </c>
      <c r="AB651" s="73">
        <v>0</v>
      </c>
      <c r="AC651" s="73">
        <v>0</v>
      </c>
      <c r="AD651" s="73">
        <v>0</v>
      </c>
      <c r="AE651" s="73">
        <v>0</v>
      </c>
      <c r="AF651" s="74">
        <f>tblData[[#This Row],[Gross Sales]]+tblData[[#This Row],[Trade Discounts]]+tblData[[#This Row],[Returns]]</f>
        <v>978</v>
      </c>
      <c r="AG651" s="74">
        <f>tblData[[#This Row],[Material Cost]]+tblData[[#This Row],[Conversion Cost]]+tblData[[#This Row],[Inbound Freight]]</f>
        <v>-508</v>
      </c>
      <c r="AH651" s="74">
        <f>tblData[[#This Row],[Net Revenue]]+tblData[[#This Row],[COGS]]</f>
        <v>470</v>
      </c>
      <c r="AI651" s="74">
        <f>tblData[[#This Row],[Advertising]]+tblData[[#This Row],[Promotions]]</f>
        <v>-51</v>
      </c>
      <c r="AJ651" s="74">
        <f>tblData[[#This Row],[Outbound Logistics]]+tblData[[#This Row],[Direct Selling]]</f>
        <v>-69</v>
      </c>
      <c r="AK651" s="74">
        <f>tblData[[#This Row],[Gross Profit]]+tblData[[#This Row],[AP Spend]]+tblData[[#This Row],[Cost to Serve]]</f>
        <v>350</v>
      </c>
    </row>
    <row r="652" spans="2:37" x14ac:dyDescent="0.25">
      <c r="B652" s="71" t="s">
        <v>50</v>
      </c>
      <c r="C652" s="71">
        <v>2026</v>
      </c>
      <c r="D652" s="71">
        <v>5</v>
      </c>
      <c r="E652" s="71" t="s">
        <v>45</v>
      </c>
      <c r="F652" s="71" t="s">
        <v>41</v>
      </c>
      <c r="G652" s="72">
        <v>89.8</v>
      </c>
      <c r="H652" s="73">
        <v>988</v>
      </c>
      <c r="I652" s="73">
        <v>-217</v>
      </c>
      <c r="J652" s="73">
        <v>-10</v>
      </c>
      <c r="K652" s="73">
        <v>-235</v>
      </c>
      <c r="L652" s="73">
        <v>-59</v>
      </c>
      <c r="M652" s="73">
        <v>-33</v>
      </c>
      <c r="N652" s="73">
        <v>-71</v>
      </c>
      <c r="O652" s="73">
        <v>-38</v>
      </c>
      <c r="P652" s="73">
        <v>-35</v>
      </c>
      <c r="Q652" s="73">
        <v>-20</v>
      </c>
      <c r="R652" s="73">
        <v>0</v>
      </c>
      <c r="S652" s="73">
        <v>0</v>
      </c>
      <c r="T652" s="73">
        <v>0</v>
      </c>
      <c r="U652" s="73">
        <v>0</v>
      </c>
      <c r="V652" s="73">
        <v>0</v>
      </c>
      <c r="W652" s="73">
        <v>0</v>
      </c>
      <c r="X652" s="73">
        <v>0</v>
      </c>
      <c r="Y652" s="73">
        <v>0</v>
      </c>
      <c r="Z652" s="73">
        <v>1098</v>
      </c>
      <c r="AA652" s="73">
        <v>941</v>
      </c>
      <c r="AB652" s="73">
        <v>0</v>
      </c>
      <c r="AC652" s="73">
        <v>0</v>
      </c>
      <c r="AD652" s="73">
        <v>0</v>
      </c>
      <c r="AE652" s="73">
        <v>0</v>
      </c>
      <c r="AF652" s="74">
        <f>tblData[[#This Row],[Gross Sales]]+tblData[[#This Row],[Trade Discounts]]+tblData[[#This Row],[Returns]]</f>
        <v>761</v>
      </c>
      <c r="AG652" s="74">
        <f>tblData[[#This Row],[Material Cost]]+tblData[[#This Row],[Conversion Cost]]+tblData[[#This Row],[Inbound Freight]]</f>
        <v>-327</v>
      </c>
      <c r="AH652" s="74">
        <f>tblData[[#This Row],[Net Revenue]]+tblData[[#This Row],[COGS]]</f>
        <v>434</v>
      </c>
      <c r="AI652" s="74">
        <f>tblData[[#This Row],[Advertising]]+tblData[[#This Row],[Promotions]]</f>
        <v>-109</v>
      </c>
      <c r="AJ652" s="74">
        <f>tblData[[#This Row],[Outbound Logistics]]+tblData[[#This Row],[Direct Selling]]</f>
        <v>-55</v>
      </c>
      <c r="AK652" s="74">
        <f>tblData[[#This Row],[Gross Profit]]+tblData[[#This Row],[AP Spend]]+tblData[[#This Row],[Cost to Serve]]</f>
        <v>270</v>
      </c>
    </row>
    <row r="653" spans="2:37" x14ac:dyDescent="0.25">
      <c r="B653" s="71" t="s">
        <v>50</v>
      </c>
      <c r="C653" s="71">
        <v>2026</v>
      </c>
      <c r="D653" s="71">
        <v>5</v>
      </c>
      <c r="E653" s="71" t="s">
        <v>45</v>
      </c>
      <c r="F653" s="71" t="s">
        <v>42</v>
      </c>
      <c r="G653" s="72">
        <v>117.6</v>
      </c>
      <c r="H653" s="73">
        <v>706</v>
      </c>
      <c r="I653" s="73">
        <v>-155</v>
      </c>
      <c r="J653" s="73">
        <v>-7</v>
      </c>
      <c r="K653" s="73">
        <v>-224</v>
      </c>
      <c r="L653" s="73">
        <v>-56</v>
      </c>
      <c r="M653" s="73">
        <v>-31</v>
      </c>
      <c r="N653" s="73">
        <v>-14</v>
      </c>
      <c r="O653" s="73">
        <v>-7</v>
      </c>
      <c r="P653" s="73">
        <v>-25</v>
      </c>
      <c r="Q653" s="73">
        <v>-14</v>
      </c>
      <c r="R653" s="73">
        <v>0</v>
      </c>
      <c r="S653" s="73">
        <v>0</v>
      </c>
      <c r="T653" s="73">
        <v>0</v>
      </c>
      <c r="U653" s="73">
        <v>0</v>
      </c>
      <c r="V653" s="73">
        <v>0</v>
      </c>
      <c r="W653" s="73">
        <v>0</v>
      </c>
      <c r="X653" s="73">
        <v>0</v>
      </c>
      <c r="Y653" s="73">
        <v>0</v>
      </c>
      <c r="Z653" s="73">
        <v>784</v>
      </c>
      <c r="AA653" s="73">
        <v>1095</v>
      </c>
      <c r="AB653" s="73">
        <v>0</v>
      </c>
      <c r="AC653" s="73">
        <v>0</v>
      </c>
      <c r="AD653" s="73">
        <v>0</v>
      </c>
      <c r="AE653" s="73">
        <v>0</v>
      </c>
      <c r="AF653" s="74">
        <f>tblData[[#This Row],[Gross Sales]]+tblData[[#This Row],[Trade Discounts]]+tblData[[#This Row],[Returns]]</f>
        <v>544</v>
      </c>
      <c r="AG653" s="74">
        <f>tblData[[#This Row],[Material Cost]]+tblData[[#This Row],[Conversion Cost]]+tblData[[#This Row],[Inbound Freight]]</f>
        <v>-311</v>
      </c>
      <c r="AH653" s="74">
        <f>tblData[[#This Row],[Net Revenue]]+tblData[[#This Row],[COGS]]</f>
        <v>233</v>
      </c>
      <c r="AI653" s="74">
        <f>tblData[[#This Row],[Advertising]]+tblData[[#This Row],[Promotions]]</f>
        <v>-21</v>
      </c>
      <c r="AJ653" s="74">
        <f>tblData[[#This Row],[Outbound Logistics]]+tblData[[#This Row],[Direct Selling]]</f>
        <v>-39</v>
      </c>
      <c r="AK653" s="74">
        <f>tblData[[#This Row],[Gross Profit]]+tblData[[#This Row],[AP Spend]]+tblData[[#This Row],[Cost to Serve]]</f>
        <v>173</v>
      </c>
    </row>
    <row r="654" spans="2:37" x14ac:dyDescent="0.25">
      <c r="B654" s="71" t="s">
        <v>50</v>
      </c>
      <c r="C654" s="71">
        <v>2026</v>
      </c>
      <c r="D654" s="71">
        <v>5</v>
      </c>
      <c r="E654" s="71" t="s">
        <v>45</v>
      </c>
      <c r="F654" s="71" t="s">
        <v>43</v>
      </c>
      <c r="G654" s="72">
        <v>23.5</v>
      </c>
      <c r="H654" s="73">
        <v>423</v>
      </c>
      <c r="I654" s="73">
        <v>-93</v>
      </c>
      <c r="J654" s="73">
        <v>-4</v>
      </c>
      <c r="K654" s="73">
        <v>-116</v>
      </c>
      <c r="L654" s="73">
        <v>-29</v>
      </c>
      <c r="M654" s="73">
        <v>-16</v>
      </c>
      <c r="N654" s="73">
        <v>-39</v>
      </c>
      <c r="O654" s="73">
        <v>-21</v>
      </c>
      <c r="P654" s="73">
        <v>-15</v>
      </c>
      <c r="Q654" s="73">
        <v>-8</v>
      </c>
      <c r="R654" s="73">
        <v>0</v>
      </c>
      <c r="S654" s="73">
        <v>0</v>
      </c>
      <c r="T654" s="73">
        <v>0</v>
      </c>
      <c r="U654" s="73">
        <v>0</v>
      </c>
      <c r="V654" s="73">
        <v>0</v>
      </c>
      <c r="W654" s="73">
        <v>0</v>
      </c>
      <c r="X654" s="73">
        <v>0</v>
      </c>
      <c r="Y654" s="73">
        <v>0</v>
      </c>
      <c r="Z654" s="73">
        <v>470</v>
      </c>
      <c r="AA654" s="73">
        <v>619</v>
      </c>
      <c r="AB654" s="73">
        <v>0</v>
      </c>
      <c r="AC654" s="73">
        <v>0</v>
      </c>
      <c r="AD654" s="73">
        <v>0</v>
      </c>
      <c r="AE654" s="73">
        <v>0</v>
      </c>
      <c r="AF654" s="74">
        <f>tblData[[#This Row],[Gross Sales]]+tblData[[#This Row],[Trade Discounts]]+tblData[[#This Row],[Returns]]</f>
        <v>326</v>
      </c>
      <c r="AG654" s="74">
        <f>tblData[[#This Row],[Material Cost]]+tblData[[#This Row],[Conversion Cost]]+tblData[[#This Row],[Inbound Freight]]</f>
        <v>-161</v>
      </c>
      <c r="AH654" s="74">
        <f>tblData[[#This Row],[Net Revenue]]+tblData[[#This Row],[COGS]]</f>
        <v>165</v>
      </c>
      <c r="AI654" s="74">
        <f>tblData[[#This Row],[Advertising]]+tblData[[#This Row],[Promotions]]</f>
        <v>-60</v>
      </c>
      <c r="AJ654" s="74">
        <f>tblData[[#This Row],[Outbound Logistics]]+tblData[[#This Row],[Direct Selling]]</f>
        <v>-23</v>
      </c>
      <c r="AK654" s="74">
        <f>tblData[[#This Row],[Gross Profit]]+tblData[[#This Row],[AP Spend]]+tblData[[#This Row],[Cost to Serve]]</f>
        <v>82</v>
      </c>
    </row>
    <row r="655" spans="2:37" x14ac:dyDescent="0.25">
      <c r="B655" s="71" t="s">
        <v>50</v>
      </c>
      <c r="C655" s="71">
        <v>2026</v>
      </c>
      <c r="D655" s="71">
        <v>5</v>
      </c>
      <c r="E655" s="71" t="s">
        <v>46</v>
      </c>
      <c r="F655" s="71" t="s">
        <v>38</v>
      </c>
      <c r="G655" s="72">
        <v>161.30000000000001</v>
      </c>
      <c r="H655" s="73">
        <v>2258</v>
      </c>
      <c r="I655" s="73">
        <v>-248</v>
      </c>
      <c r="J655" s="73">
        <v>-90</v>
      </c>
      <c r="K655" s="73">
        <v>-488</v>
      </c>
      <c r="L655" s="73">
        <v>-122</v>
      </c>
      <c r="M655" s="73">
        <v>-68</v>
      </c>
      <c r="N655" s="73">
        <v>-132</v>
      </c>
      <c r="O655" s="73">
        <v>-71</v>
      </c>
      <c r="P655" s="73">
        <v>-169</v>
      </c>
      <c r="Q655" s="73">
        <v>-45</v>
      </c>
      <c r="R655" s="73">
        <v>0</v>
      </c>
      <c r="S655" s="73">
        <v>0</v>
      </c>
      <c r="T655" s="73">
        <v>0</v>
      </c>
      <c r="U655" s="73">
        <v>0</v>
      </c>
      <c r="V655" s="73">
        <v>0</v>
      </c>
      <c r="W655" s="73">
        <v>0</v>
      </c>
      <c r="X655" s="73">
        <v>0</v>
      </c>
      <c r="Y655" s="73">
        <v>0</v>
      </c>
      <c r="Z655" s="73">
        <v>1539</v>
      </c>
      <c r="AA655" s="73">
        <v>2064</v>
      </c>
      <c r="AB655" s="73">
        <v>0</v>
      </c>
      <c r="AC655" s="73">
        <v>0</v>
      </c>
      <c r="AD655" s="73">
        <v>0</v>
      </c>
      <c r="AE655" s="73">
        <v>0</v>
      </c>
      <c r="AF655" s="74">
        <f>tblData[[#This Row],[Gross Sales]]+tblData[[#This Row],[Trade Discounts]]+tblData[[#This Row],[Returns]]</f>
        <v>1920</v>
      </c>
      <c r="AG655" s="74">
        <f>tblData[[#This Row],[Material Cost]]+tblData[[#This Row],[Conversion Cost]]+tblData[[#This Row],[Inbound Freight]]</f>
        <v>-678</v>
      </c>
      <c r="AH655" s="74">
        <f>tblData[[#This Row],[Net Revenue]]+tblData[[#This Row],[COGS]]</f>
        <v>1242</v>
      </c>
      <c r="AI655" s="74">
        <f>tblData[[#This Row],[Advertising]]+tblData[[#This Row],[Promotions]]</f>
        <v>-203</v>
      </c>
      <c r="AJ655" s="74">
        <f>tblData[[#This Row],[Outbound Logistics]]+tblData[[#This Row],[Direct Selling]]</f>
        <v>-214</v>
      </c>
      <c r="AK655" s="74">
        <f>tblData[[#This Row],[Gross Profit]]+tblData[[#This Row],[AP Spend]]+tblData[[#This Row],[Cost to Serve]]</f>
        <v>825</v>
      </c>
    </row>
    <row r="656" spans="2:37" x14ac:dyDescent="0.25">
      <c r="B656" s="71" t="s">
        <v>50</v>
      </c>
      <c r="C656" s="71">
        <v>2026</v>
      </c>
      <c r="D656" s="71">
        <v>5</v>
      </c>
      <c r="E656" s="71" t="s">
        <v>46</v>
      </c>
      <c r="F656" s="71" t="s">
        <v>39</v>
      </c>
      <c r="G656" s="72">
        <v>215</v>
      </c>
      <c r="H656" s="73">
        <v>1935</v>
      </c>
      <c r="I656" s="73">
        <v>-213</v>
      </c>
      <c r="J656" s="73">
        <v>-77</v>
      </c>
      <c r="K656" s="73">
        <v>-502</v>
      </c>
      <c r="L656" s="73">
        <v>-125</v>
      </c>
      <c r="M656" s="73">
        <v>-70</v>
      </c>
      <c r="N656" s="73">
        <v>-75</v>
      </c>
      <c r="O656" s="73">
        <v>-41</v>
      </c>
      <c r="P656" s="73">
        <v>-145</v>
      </c>
      <c r="Q656" s="73">
        <v>-39</v>
      </c>
      <c r="R656" s="73">
        <v>0</v>
      </c>
      <c r="S656" s="73">
        <v>0</v>
      </c>
      <c r="T656" s="73">
        <v>0</v>
      </c>
      <c r="U656" s="73">
        <v>0</v>
      </c>
      <c r="V656" s="73">
        <v>0</v>
      </c>
      <c r="W656" s="73">
        <v>0</v>
      </c>
      <c r="X656" s="73">
        <v>0</v>
      </c>
      <c r="Y656" s="73">
        <v>0</v>
      </c>
      <c r="Z656" s="73">
        <v>1319</v>
      </c>
      <c r="AA656" s="73">
        <v>1788</v>
      </c>
      <c r="AB656" s="73">
        <v>0</v>
      </c>
      <c r="AC656" s="73">
        <v>0</v>
      </c>
      <c r="AD656" s="73">
        <v>0</v>
      </c>
      <c r="AE656" s="73">
        <v>0</v>
      </c>
      <c r="AF656" s="74">
        <f>tblData[[#This Row],[Gross Sales]]+tblData[[#This Row],[Trade Discounts]]+tblData[[#This Row],[Returns]]</f>
        <v>1645</v>
      </c>
      <c r="AG656" s="74">
        <f>tblData[[#This Row],[Material Cost]]+tblData[[#This Row],[Conversion Cost]]+tblData[[#This Row],[Inbound Freight]]</f>
        <v>-697</v>
      </c>
      <c r="AH656" s="74">
        <f>tblData[[#This Row],[Net Revenue]]+tblData[[#This Row],[COGS]]</f>
        <v>948</v>
      </c>
      <c r="AI656" s="74">
        <f>tblData[[#This Row],[Advertising]]+tblData[[#This Row],[Promotions]]</f>
        <v>-116</v>
      </c>
      <c r="AJ656" s="74">
        <f>tblData[[#This Row],[Outbound Logistics]]+tblData[[#This Row],[Direct Selling]]</f>
        <v>-184</v>
      </c>
      <c r="AK656" s="74">
        <f>tblData[[#This Row],[Gross Profit]]+tblData[[#This Row],[AP Spend]]+tblData[[#This Row],[Cost to Serve]]</f>
        <v>648</v>
      </c>
    </row>
    <row r="657" spans="2:37" x14ac:dyDescent="0.25">
      <c r="B657" s="71" t="s">
        <v>50</v>
      </c>
      <c r="C657" s="71">
        <v>2026</v>
      </c>
      <c r="D657" s="71">
        <v>5</v>
      </c>
      <c r="E657" s="71" t="s">
        <v>46</v>
      </c>
      <c r="F657" s="71" t="s">
        <v>40</v>
      </c>
      <c r="G657" s="72">
        <v>207.4</v>
      </c>
      <c r="H657" s="73">
        <v>1452</v>
      </c>
      <c r="I657" s="73">
        <v>-160</v>
      </c>
      <c r="J657" s="73">
        <v>-58</v>
      </c>
      <c r="K657" s="73">
        <v>-418</v>
      </c>
      <c r="L657" s="73">
        <v>-105</v>
      </c>
      <c r="M657" s="73">
        <v>-58</v>
      </c>
      <c r="N657" s="73">
        <v>-38</v>
      </c>
      <c r="O657" s="73">
        <v>-20</v>
      </c>
      <c r="P657" s="73">
        <v>-109</v>
      </c>
      <c r="Q657" s="73">
        <v>-29</v>
      </c>
      <c r="R657" s="73">
        <v>0</v>
      </c>
      <c r="S657" s="73">
        <v>0</v>
      </c>
      <c r="T657" s="73">
        <v>0</v>
      </c>
      <c r="U657" s="73">
        <v>0</v>
      </c>
      <c r="V657" s="73">
        <v>0</v>
      </c>
      <c r="W657" s="73">
        <v>0</v>
      </c>
      <c r="X657" s="73">
        <v>0</v>
      </c>
      <c r="Y657" s="73">
        <v>0</v>
      </c>
      <c r="Z657" s="73">
        <v>989</v>
      </c>
      <c r="AA657" s="73">
        <v>1397</v>
      </c>
      <c r="AB657" s="73">
        <v>0</v>
      </c>
      <c r="AC657" s="73">
        <v>0</v>
      </c>
      <c r="AD657" s="73">
        <v>0</v>
      </c>
      <c r="AE657" s="73">
        <v>0</v>
      </c>
      <c r="AF657" s="74">
        <f>tblData[[#This Row],[Gross Sales]]+tblData[[#This Row],[Trade Discounts]]+tblData[[#This Row],[Returns]]</f>
        <v>1234</v>
      </c>
      <c r="AG657" s="74">
        <f>tblData[[#This Row],[Material Cost]]+tblData[[#This Row],[Conversion Cost]]+tblData[[#This Row],[Inbound Freight]]</f>
        <v>-581</v>
      </c>
      <c r="AH657" s="74">
        <f>tblData[[#This Row],[Net Revenue]]+tblData[[#This Row],[COGS]]</f>
        <v>653</v>
      </c>
      <c r="AI657" s="74">
        <f>tblData[[#This Row],[Advertising]]+tblData[[#This Row],[Promotions]]</f>
        <v>-58</v>
      </c>
      <c r="AJ657" s="74">
        <f>tblData[[#This Row],[Outbound Logistics]]+tblData[[#This Row],[Direct Selling]]</f>
        <v>-138</v>
      </c>
      <c r="AK657" s="74">
        <f>tblData[[#This Row],[Gross Profit]]+tblData[[#This Row],[AP Spend]]+tblData[[#This Row],[Cost to Serve]]</f>
        <v>457</v>
      </c>
    </row>
    <row r="658" spans="2:37" x14ac:dyDescent="0.25">
      <c r="B658" s="71" t="s">
        <v>50</v>
      </c>
      <c r="C658" s="71">
        <v>2026</v>
      </c>
      <c r="D658" s="71">
        <v>5</v>
      </c>
      <c r="E658" s="71" t="s">
        <v>46</v>
      </c>
      <c r="F658" s="71" t="s">
        <v>41</v>
      </c>
      <c r="G658" s="72">
        <v>102.6</v>
      </c>
      <c r="H658" s="73">
        <v>1129</v>
      </c>
      <c r="I658" s="73">
        <v>-124</v>
      </c>
      <c r="J658" s="73">
        <v>-45</v>
      </c>
      <c r="K658" s="73">
        <v>-268</v>
      </c>
      <c r="L658" s="73">
        <v>-67</v>
      </c>
      <c r="M658" s="73">
        <v>-37</v>
      </c>
      <c r="N658" s="73">
        <v>-81</v>
      </c>
      <c r="O658" s="73">
        <v>-43</v>
      </c>
      <c r="P658" s="73">
        <v>-85</v>
      </c>
      <c r="Q658" s="73">
        <v>-23</v>
      </c>
      <c r="R658" s="73">
        <v>0</v>
      </c>
      <c r="S658" s="73">
        <v>0</v>
      </c>
      <c r="T658" s="73">
        <v>0</v>
      </c>
      <c r="U658" s="73">
        <v>0</v>
      </c>
      <c r="V658" s="73">
        <v>0</v>
      </c>
      <c r="W658" s="73">
        <v>0</v>
      </c>
      <c r="X658" s="73">
        <v>0</v>
      </c>
      <c r="Y658" s="73">
        <v>0</v>
      </c>
      <c r="Z658" s="73">
        <v>769</v>
      </c>
      <c r="AA658" s="73">
        <v>1075</v>
      </c>
      <c r="AB658" s="73">
        <v>0</v>
      </c>
      <c r="AC658" s="73">
        <v>0</v>
      </c>
      <c r="AD658" s="73">
        <v>0</v>
      </c>
      <c r="AE658" s="73">
        <v>0</v>
      </c>
      <c r="AF658" s="74">
        <f>tblData[[#This Row],[Gross Sales]]+tblData[[#This Row],[Trade Discounts]]+tblData[[#This Row],[Returns]]</f>
        <v>960</v>
      </c>
      <c r="AG658" s="74">
        <f>tblData[[#This Row],[Material Cost]]+tblData[[#This Row],[Conversion Cost]]+tblData[[#This Row],[Inbound Freight]]</f>
        <v>-372</v>
      </c>
      <c r="AH658" s="74">
        <f>tblData[[#This Row],[Net Revenue]]+tblData[[#This Row],[COGS]]</f>
        <v>588</v>
      </c>
      <c r="AI658" s="74">
        <f>tblData[[#This Row],[Advertising]]+tblData[[#This Row],[Promotions]]</f>
        <v>-124</v>
      </c>
      <c r="AJ658" s="74">
        <f>tblData[[#This Row],[Outbound Logistics]]+tblData[[#This Row],[Direct Selling]]</f>
        <v>-108</v>
      </c>
      <c r="AK658" s="74">
        <f>tblData[[#This Row],[Gross Profit]]+tblData[[#This Row],[AP Spend]]+tblData[[#This Row],[Cost to Serve]]</f>
        <v>356</v>
      </c>
    </row>
    <row r="659" spans="2:37" x14ac:dyDescent="0.25">
      <c r="B659" s="71" t="s">
        <v>50</v>
      </c>
      <c r="C659" s="71">
        <v>2026</v>
      </c>
      <c r="D659" s="71">
        <v>5</v>
      </c>
      <c r="E659" s="71" t="s">
        <v>46</v>
      </c>
      <c r="F659" s="71" t="s">
        <v>42</v>
      </c>
      <c r="G659" s="72">
        <v>134.4</v>
      </c>
      <c r="H659" s="73">
        <v>806</v>
      </c>
      <c r="I659" s="73">
        <v>-89</v>
      </c>
      <c r="J659" s="73">
        <v>-32</v>
      </c>
      <c r="K659" s="73">
        <v>-255</v>
      </c>
      <c r="L659" s="73">
        <v>-64</v>
      </c>
      <c r="M659" s="73">
        <v>-35</v>
      </c>
      <c r="N659" s="73">
        <v>-16</v>
      </c>
      <c r="O659" s="73">
        <v>-8</v>
      </c>
      <c r="P659" s="73">
        <v>-60</v>
      </c>
      <c r="Q659" s="73">
        <v>-16</v>
      </c>
      <c r="R659" s="73">
        <v>0</v>
      </c>
      <c r="S659" s="73">
        <v>0</v>
      </c>
      <c r="T659" s="73">
        <v>0</v>
      </c>
      <c r="U659" s="73">
        <v>0</v>
      </c>
      <c r="V659" s="73">
        <v>0</v>
      </c>
      <c r="W659" s="73">
        <v>0</v>
      </c>
      <c r="X659" s="73">
        <v>0</v>
      </c>
      <c r="Y659" s="73">
        <v>0</v>
      </c>
      <c r="Z659" s="73">
        <v>550</v>
      </c>
      <c r="AA659" s="73">
        <v>1252</v>
      </c>
      <c r="AB659" s="73">
        <v>0</v>
      </c>
      <c r="AC659" s="73">
        <v>0</v>
      </c>
      <c r="AD659" s="73">
        <v>0</v>
      </c>
      <c r="AE659" s="73">
        <v>0</v>
      </c>
      <c r="AF659" s="74">
        <f>tblData[[#This Row],[Gross Sales]]+tblData[[#This Row],[Trade Discounts]]+tblData[[#This Row],[Returns]]</f>
        <v>685</v>
      </c>
      <c r="AG659" s="74">
        <f>tblData[[#This Row],[Material Cost]]+tblData[[#This Row],[Conversion Cost]]+tblData[[#This Row],[Inbound Freight]]</f>
        <v>-354</v>
      </c>
      <c r="AH659" s="74">
        <f>tblData[[#This Row],[Net Revenue]]+tblData[[#This Row],[COGS]]</f>
        <v>331</v>
      </c>
      <c r="AI659" s="74">
        <f>tblData[[#This Row],[Advertising]]+tblData[[#This Row],[Promotions]]</f>
        <v>-24</v>
      </c>
      <c r="AJ659" s="74">
        <f>tblData[[#This Row],[Outbound Logistics]]+tblData[[#This Row],[Direct Selling]]</f>
        <v>-76</v>
      </c>
      <c r="AK659" s="74">
        <f>tblData[[#This Row],[Gross Profit]]+tblData[[#This Row],[AP Spend]]+tblData[[#This Row],[Cost to Serve]]</f>
        <v>231</v>
      </c>
    </row>
    <row r="660" spans="2:37" x14ac:dyDescent="0.25">
      <c r="B660" s="71" t="s">
        <v>50</v>
      </c>
      <c r="C660" s="71">
        <v>2026</v>
      </c>
      <c r="D660" s="71">
        <v>5</v>
      </c>
      <c r="E660" s="71" t="s">
        <v>46</v>
      </c>
      <c r="F660" s="71" t="s">
        <v>43</v>
      </c>
      <c r="G660" s="72">
        <v>26.9</v>
      </c>
      <c r="H660" s="73">
        <v>484</v>
      </c>
      <c r="I660" s="73">
        <v>-53</v>
      </c>
      <c r="J660" s="73">
        <v>-19</v>
      </c>
      <c r="K660" s="73">
        <v>-132</v>
      </c>
      <c r="L660" s="73">
        <v>-33</v>
      </c>
      <c r="M660" s="73">
        <v>-18</v>
      </c>
      <c r="N660" s="73">
        <v>-44</v>
      </c>
      <c r="O660" s="73">
        <v>-24</v>
      </c>
      <c r="P660" s="73">
        <v>-36</v>
      </c>
      <c r="Q660" s="73">
        <v>-10</v>
      </c>
      <c r="R660" s="73">
        <v>0</v>
      </c>
      <c r="S660" s="73">
        <v>0</v>
      </c>
      <c r="T660" s="73">
        <v>0</v>
      </c>
      <c r="U660" s="73">
        <v>0</v>
      </c>
      <c r="V660" s="73">
        <v>0</v>
      </c>
      <c r="W660" s="73">
        <v>0</v>
      </c>
      <c r="X660" s="73">
        <v>0</v>
      </c>
      <c r="Y660" s="73">
        <v>0</v>
      </c>
      <c r="Z660" s="73">
        <v>330</v>
      </c>
      <c r="AA660" s="73">
        <v>708</v>
      </c>
      <c r="AB660" s="73">
        <v>0</v>
      </c>
      <c r="AC660" s="73">
        <v>0</v>
      </c>
      <c r="AD660" s="73">
        <v>0</v>
      </c>
      <c r="AE660" s="73">
        <v>0</v>
      </c>
      <c r="AF660" s="74">
        <f>tblData[[#This Row],[Gross Sales]]+tblData[[#This Row],[Trade Discounts]]+tblData[[#This Row],[Returns]]</f>
        <v>412</v>
      </c>
      <c r="AG660" s="74">
        <f>tblData[[#This Row],[Material Cost]]+tblData[[#This Row],[Conversion Cost]]+tblData[[#This Row],[Inbound Freight]]</f>
        <v>-183</v>
      </c>
      <c r="AH660" s="74">
        <f>tblData[[#This Row],[Net Revenue]]+tblData[[#This Row],[COGS]]</f>
        <v>229</v>
      </c>
      <c r="AI660" s="74">
        <f>tblData[[#This Row],[Advertising]]+tblData[[#This Row],[Promotions]]</f>
        <v>-68</v>
      </c>
      <c r="AJ660" s="74">
        <f>tblData[[#This Row],[Outbound Logistics]]+tblData[[#This Row],[Direct Selling]]</f>
        <v>-46</v>
      </c>
      <c r="AK660" s="74">
        <f>tblData[[#This Row],[Gross Profit]]+tblData[[#This Row],[AP Spend]]+tblData[[#This Row],[Cost to Serve]]</f>
        <v>115</v>
      </c>
    </row>
    <row r="661" spans="2:37" x14ac:dyDescent="0.25">
      <c r="B661" s="71" t="s">
        <v>50</v>
      </c>
      <c r="C661" s="71">
        <v>2026</v>
      </c>
      <c r="D661" s="71">
        <v>5</v>
      </c>
      <c r="E661" s="71" t="s">
        <v>47</v>
      </c>
      <c r="F661" s="71" t="s">
        <v>38</v>
      </c>
      <c r="G661" s="72">
        <v>60.5</v>
      </c>
      <c r="H661" s="73">
        <v>847</v>
      </c>
      <c r="I661" s="73">
        <v>-25</v>
      </c>
      <c r="J661" s="73">
        <v>-42</v>
      </c>
      <c r="K661" s="73">
        <v>-183</v>
      </c>
      <c r="L661" s="73">
        <v>-46</v>
      </c>
      <c r="M661" s="73">
        <v>-25</v>
      </c>
      <c r="N661" s="73">
        <v>-50</v>
      </c>
      <c r="O661" s="73">
        <v>-27</v>
      </c>
      <c r="P661" s="73">
        <v>-102</v>
      </c>
      <c r="Q661" s="73">
        <v>-34</v>
      </c>
      <c r="R661" s="73">
        <v>0</v>
      </c>
      <c r="S661" s="73">
        <v>0</v>
      </c>
      <c r="T661" s="73">
        <v>0</v>
      </c>
      <c r="U661" s="73">
        <v>0</v>
      </c>
      <c r="V661" s="73">
        <v>0</v>
      </c>
      <c r="W661" s="73">
        <v>0</v>
      </c>
      <c r="X661" s="73">
        <v>0</v>
      </c>
      <c r="Y661" s="73">
        <v>0</v>
      </c>
      <c r="Z661" s="73">
        <v>75</v>
      </c>
      <c r="AA661" s="73">
        <v>774</v>
      </c>
      <c r="AB661" s="73">
        <v>0</v>
      </c>
      <c r="AC661" s="73">
        <v>0</v>
      </c>
      <c r="AD661" s="73">
        <v>0</v>
      </c>
      <c r="AE661" s="73">
        <v>0</v>
      </c>
      <c r="AF661" s="74">
        <f>tblData[[#This Row],[Gross Sales]]+tblData[[#This Row],[Trade Discounts]]+tblData[[#This Row],[Returns]]</f>
        <v>780</v>
      </c>
      <c r="AG661" s="74">
        <f>tblData[[#This Row],[Material Cost]]+tblData[[#This Row],[Conversion Cost]]+tblData[[#This Row],[Inbound Freight]]</f>
        <v>-254</v>
      </c>
      <c r="AH661" s="74">
        <f>tblData[[#This Row],[Net Revenue]]+tblData[[#This Row],[COGS]]</f>
        <v>526</v>
      </c>
      <c r="AI661" s="74">
        <f>tblData[[#This Row],[Advertising]]+tblData[[#This Row],[Promotions]]</f>
        <v>-77</v>
      </c>
      <c r="AJ661" s="74">
        <f>tblData[[#This Row],[Outbound Logistics]]+tblData[[#This Row],[Direct Selling]]</f>
        <v>-136</v>
      </c>
      <c r="AK661" s="74">
        <f>tblData[[#This Row],[Gross Profit]]+tblData[[#This Row],[AP Spend]]+tblData[[#This Row],[Cost to Serve]]</f>
        <v>313</v>
      </c>
    </row>
    <row r="662" spans="2:37" x14ac:dyDescent="0.25">
      <c r="B662" s="71" t="s">
        <v>50</v>
      </c>
      <c r="C662" s="71">
        <v>2026</v>
      </c>
      <c r="D662" s="71">
        <v>5</v>
      </c>
      <c r="E662" s="71" t="s">
        <v>47</v>
      </c>
      <c r="F662" s="71" t="s">
        <v>39</v>
      </c>
      <c r="G662" s="72">
        <v>80.599999999999994</v>
      </c>
      <c r="H662" s="73">
        <v>726</v>
      </c>
      <c r="I662" s="73">
        <v>-22</v>
      </c>
      <c r="J662" s="73">
        <v>-36</v>
      </c>
      <c r="K662" s="73">
        <v>-188</v>
      </c>
      <c r="L662" s="73">
        <v>-47</v>
      </c>
      <c r="M662" s="73">
        <v>-26</v>
      </c>
      <c r="N662" s="73">
        <v>-28</v>
      </c>
      <c r="O662" s="73">
        <v>-15</v>
      </c>
      <c r="P662" s="73">
        <v>-87</v>
      </c>
      <c r="Q662" s="73">
        <v>-29</v>
      </c>
      <c r="R662" s="73">
        <v>0</v>
      </c>
      <c r="S662" s="73">
        <v>0</v>
      </c>
      <c r="T662" s="73">
        <v>0</v>
      </c>
      <c r="U662" s="73">
        <v>0</v>
      </c>
      <c r="V662" s="73">
        <v>0</v>
      </c>
      <c r="W662" s="73">
        <v>0</v>
      </c>
      <c r="X662" s="73">
        <v>0</v>
      </c>
      <c r="Y662" s="73">
        <v>0</v>
      </c>
      <c r="Z662" s="73">
        <v>64</v>
      </c>
      <c r="AA662" s="73">
        <v>670</v>
      </c>
      <c r="AB662" s="73">
        <v>0</v>
      </c>
      <c r="AC662" s="73">
        <v>0</v>
      </c>
      <c r="AD662" s="73">
        <v>0</v>
      </c>
      <c r="AE662" s="73">
        <v>0</v>
      </c>
      <c r="AF662" s="74">
        <f>tblData[[#This Row],[Gross Sales]]+tblData[[#This Row],[Trade Discounts]]+tblData[[#This Row],[Returns]]</f>
        <v>668</v>
      </c>
      <c r="AG662" s="74">
        <f>tblData[[#This Row],[Material Cost]]+tblData[[#This Row],[Conversion Cost]]+tblData[[#This Row],[Inbound Freight]]</f>
        <v>-261</v>
      </c>
      <c r="AH662" s="74">
        <f>tblData[[#This Row],[Net Revenue]]+tblData[[#This Row],[COGS]]</f>
        <v>407</v>
      </c>
      <c r="AI662" s="74">
        <f>tblData[[#This Row],[Advertising]]+tblData[[#This Row],[Promotions]]</f>
        <v>-43</v>
      </c>
      <c r="AJ662" s="74">
        <f>tblData[[#This Row],[Outbound Logistics]]+tblData[[#This Row],[Direct Selling]]</f>
        <v>-116</v>
      </c>
      <c r="AK662" s="74">
        <f>tblData[[#This Row],[Gross Profit]]+tblData[[#This Row],[AP Spend]]+tblData[[#This Row],[Cost to Serve]]</f>
        <v>248</v>
      </c>
    </row>
    <row r="663" spans="2:37" x14ac:dyDescent="0.25">
      <c r="B663" s="71" t="s">
        <v>50</v>
      </c>
      <c r="C663" s="71">
        <v>2026</v>
      </c>
      <c r="D663" s="71">
        <v>5</v>
      </c>
      <c r="E663" s="71" t="s">
        <v>47</v>
      </c>
      <c r="F663" s="71" t="s">
        <v>40</v>
      </c>
      <c r="G663" s="72">
        <v>77.8</v>
      </c>
      <c r="H663" s="73">
        <v>544</v>
      </c>
      <c r="I663" s="73">
        <v>-16</v>
      </c>
      <c r="J663" s="73">
        <v>-27</v>
      </c>
      <c r="K663" s="73">
        <v>-157</v>
      </c>
      <c r="L663" s="73">
        <v>-39</v>
      </c>
      <c r="M663" s="73">
        <v>-22</v>
      </c>
      <c r="N663" s="73">
        <v>-14</v>
      </c>
      <c r="O663" s="73">
        <v>-8</v>
      </c>
      <c r="P663" s="73">
        <v>-65</v>
      </c>
      <c r="Q663" s="73">
        <v>-22</v>
      </c>
      <c r="R663" s="73">
        <v>0</v>
      </c>
      <c r="S663" s="73">
        <v>0</v>
      </c>
      <c r="T663" s="73">
        <v>0</v>
      </c>
      <c r="U663" s="73">
        <v>0</v>
      </c>
      <c r="V663" s="73">
        <v>0</v>
      </c>
      <c r="W663" s="73">
        <v>0</v>
      </c>
      <c r="X663" s="73">
        <v>0</v>
      </c>
      <c r="Y663" s="73">
        <v>0</v>
      </c>
      <c r="Z663" s="73">
        <v>48</v>
      </c>
      <c r="AA663" s="73">
        <v>524</v>
      </c>
      <c r="AB663" s="73">
        <v>0</v>
      </c>
      <c r="AC663" s="73">
        <v>0</v>
      </c>
      <c r="AD663" s="73">
        <v>0</v>
      </c>
      <c r="AE663" s="73">
        <v>0</v>
      </c>
      <c r="AF663" s="74">
        <f>tblData[[#This Row],[Gross Sales]]+tblData[[#This Row],[Trade Discounts]]+tblData[[#This Row],[Returns]]</f>
        <v>501</v>
      </c>
      <c r="AG663" s="74">
        <f>tblData[[#This Row],[Material Cost]]+tblData[[#This Row],[Conversion Cost]]+tblData[[#This Row],[Inbound Freight]]</f>
        <v>-218</v>
      </c>
      <c r="AH663" s="74">
        <f>tblData[[#This Row],[Net Revenue]]+tblData[[#This Row],[COGS]]</f>
        <v>283</v>
      </c>
      <c r="AI663" s="74">
        <f>tblData[[#This Row],[Advertising]]+tblData[[#This Row],[Promotions]]</f>
        <v>-22</v>
      </c>
      <c r="AJ663" s="74">
        <f>tblData[[#This Row],[Outbound Logistics]]+tblData[[#This Row],[Direct Selling]]</f>
        <v>-87</v>
      </c>
      <c r="AK663" s="74">
        <f>tblData[[#This Row],[Gross Profit]]+tblData[[#This Row],[AP Spend]]+tblData[[#This Row],[Cost to Serve]]</f>
        <v>174</v>
      </c>
    </row>
    <row r="664" spans="2:37" x14ac:dyDescent="0.25">
      <c r="B664" s="71" t="s">
        <v>50</v>
      </c>
      <c r="C664" s="71">
        <v>2026</v>
      </c>
      <c r="D664" s="71">
        <v>5</v>
      </c>
      <c r="E664" s="71" t="s">
        <v>47</v>
      </c>
      <c r="F664" s="71" t="s">
        <v>41</v>
      </c>
      <c r="G664" s="72">
        <v>38.5</v>
      </c>
      <c r="H664" s="73">
        <v>423</v>
      </c>
      <c r="I664" s="73">
        <v>-13</v>
      </c>
      <c r="J664" s="73">
        <v>-21</v>
      </c>
      <c r="K664" s="73">
        <v>-101</v>
      </c>
      <c r="L664" s="73">
        <v>-25</v>
      </c>
      <c r="M664" s="73">
        <v>-14</v>
      </c>
      <c r="N664" s="73">
        <v>-30</v>
      </c>
      <c r="O664" s="73">
        <v>-16</v>
      </c>
      <c r="P664" s="73">
        <v>-51</v>
      </c>
      <c r="Q664" s="73">
        <v>-17</v>
      </c>
      <c r="R664" s="73">
        <v>0</v>
      </c>
      <c r="S664" s="73">
        <v>0</v>
      </c>
      <c r="T664" s="73">
        <v>0</v>
      </c>
      <c r="U664" s="73">
        <v>0</v>
      </c>
      <c r="V664" s="73">
        <v>0</v>
      </c>
      <c r="W664" s="73">
        <v>0</v>
      </c>
      <c r="X664" s="73">
        <v>0</v>
      </c>
      <c r="Y664" s="73">
        <v>0</v>
      </c>
      <c r="Z664" s="73">
        <v>37</v>
      </c>
      <c r="AA664" s="73">
        <v>403</v>
      </c>
      <c r="AB664" s="73">
        <v>0</v>
      </c>
      <c r="AC664" s="73">
        <v>0</v>
      </c>
      <c r="AD664" s="73">
        <v>0</v>
      </c>
      <c r="AE664" s="73">
        <v>0</v>
      </c>
      <c r="AF664" s="74">
        <f>tblData[[#This Row],[Gross Sales]]+tblData[[#This Row],[Trade Discounts]]+tblData[[#This Row],[Returns]]</f>
        <v>389</v>
      </c>
      <c r="AG664" s="74">
        <f>tblData[[#This Row],[Material Cost]]+tblData[[#This Row],[Conversion Cost]]+tblData[[#This Row],[Inbound Freight]]</f>
        <v>-140</v>
      </c>
      <c r="AH664" s="74">
        <f>tblData[[#This Row],[Net Revenue]]+tblData[[#This Row],[COGS]]</f>
        <v>249</v>
      </c>
      <c r="AI664" s="74">
        <f>tblData[[#This Row],[Advertising]]+tblData[[#This Row],[Promotions]]</f>
        <v>-46</v>
      </c>
      <c r="AJ664" s="74">
        <f>tblData[[#This Row],[Outbound Logistics]]+tblData[[#This Row],[Direct Selling]]</f>
        <v>-68</v>
      </c>
      <c r="AK664" s="74">
        <f>tblData[[#This Row],[Gross Profit]]+tblData[[#This Row],[AP Spend]]+tblData[[#This Row],[Cost to Serve]]</f>
        <v>135</v>
      </c>
    </row>
    <row r="665" spans="2:37" x14ac:dyDescent="0.25">
      <c r="B665" s="71" t="s">
        <v>50</v>
      </c>
      <c r="C665" s="71">
        <v>2026</v>
      </c>
      <c r="D665" s="71">
        <v>5</v>
      </c>
      <c r="E665" s="71" t="s">
        <v>47</v>
      </c>
      <c r="F665" s="71" t="s">
        <v>42</v>
      </c>
      <c r="G665" s="72">
        <v>50.4</v>
      </c>
      <c r="H665" s="73">
        <v>302</v>
      </c>
      <c r="I665" s="73">
        <v>-9</v>
      </c>
      <c r="J665" s="73">
        <v>-15</v>
      </c>
      <c r="K665" s="73">
        <v>-96</v>
      </c>
      <c r="L665" s="73">
        <v>-24</v>
      </c>
      <c r="M665" s="73">
        <v>-13</v>
      </c>
      <c r="N665" s="73">
        <v>-6</v>
      </c>
      <c r="O665" s="73">
        <v>-3</v>
      </c>
      <c r="P665" s="73">
        <v>-36</v>
      </c>
      <c r="Q665" s="73">
        <v>-12</v>
      </c>
      <c r="R665" s="73">
        <v>0</v>
      </c>
      <c r="S665" s="73">
        <v>0</v>
      </c>
      <c r="T665" s="73">
        <v>0</v>
      </c>
      <c r="U665" s="73">
        <v>0</v>
      </c>
      <c r="V665" s="73">
        <v>0</v>
      </c>
      <c r="W665" s="73">
        <v>0</v>
      </c>
      <c r="X665" s="73">
        <v>0</v>
      </c>
      <c r="Y665" s="73">
        <v>0</v>
      </c>
      <c r="Z665" s="73">
        <v>27</v>
      </c>
      <c r="AA665" s="73">
        <v>469</v>
      </c>
      <c r="AB665" s="73">
        <v>0</v>
      </c>
      <c r="AC665" s="73">
        <v>0</v>
      </c>
      <c r="AD665" s="73">
        <v>0</v>
      </c>
      <c r="AE665" s="73">
        <v>0</v>
      </c>
      <c r="AF665" s="74">
        <f>tblData[[#This Row],[Gross Sales]]+tblData[[#This Row],[Trade Discounts]]+tblData[[#This Row],[Returns]]</f>
        <v>278</v>
      </c>
      <c r="AG665" s="74">
        <f>tblData[[#This Row],[Material Cost]]+tblData[[#This Row],[Conversion Cost]]+tblData[[#This Row],[Inbound Freight]]</f>
        <v>-133</v>
      </c>
      <c r="AH665" s="74">
        <f>tblData[[#This Row],[Net Revenue]]+tblData[[#This Row],[COGS]]</f>
        <v>145</v>
      </c>
      <c r="AI665" s="74">
        <f>tblData[[#This Row],[Advertising]]+tblData[[#This Row],[Promotions]]</f>
        <v>-9</v>
      </c>
      <c r="AJ665" s="74">
        <f>tblData[[#This Row],[Outbound Logistics]]+tblData[[#This Row],[Direct Selling]]</f>
        <v>-48</v>
      </c>
      <c r="AK665" s="74">
        <f>tblData[[#This Row],[Gross Profit]]+tblData[[#This Row],[AP Spend]]+tblData[[#This Row],[Cost to Serve]]</f>
        <v>88</v>
      </c>
    </row>
    <row r="666" spans="2:37" x14ac:dyDescent="0.25">
      <c r="B666" s="71" t="s">
        <v>50</v>
      </c>
      <c r="C666" s="71">
        <v>2026</v>
      </c>
      <c r="D666" s="71">
        <v>5</v>
      </c>
      <c r="E666" s="71" t="s">
        <v>47</v>
      </c>
      <c r="F666" s="71" t="s">
        <v>43</v>
      </c>
      <c r="G666" s="72">
        <v>10.1</v>
      </c>
      <c r="H666" s="73">
        <v>181</v>
      </c>
      <c r="I666" s="73">
        <v>-5</v>
      </c>
      <c r="J666" s="73">
        <v>-9</v>
      </c>
      <c r="K666" s="73">
        <v>-50</v>
      </c>
      <c r="L666" s="73">
        <v>-12</v>
      </c>
      <c r="M666" s="73">
        <v>-7</v>
      </c>
      <c r="N666" s="73">
        <v>-17</v>
      </c>
      <c r="O666" s="73">
        <v>-9</v>
      </c>
      <c r="P666" s="73">
        <v>-22</v>
      </c>
      <c r="Q666" s="73">
        <v>-7</v>
      </c>
      <c r="R666" s="73">
        <v>0</v>
      </c>
      <c r="S666" s="73">
        <v>0</v>
      </c>
      <c r="T666" s="73">
        <v>0</v>
      </c>
      <c r="U666" s="73">
        <v>0</v>
      </c>
      <c r="V666" s="73">
        <v>0</v>
      </c>
      <c r="W666" s="73">
        <v>0</v>
      </c>
      <c r="X666" s="73">
        <v>0</v>
      </c>
      <c r="Y666" s="73">
        <v>0</v>
      </c>
      <c r="Z666" s="73">
        <v>16</v>
      </c>
      <c r="AA666" s="73">
        <v>265</v>
      </c>
      <c r="AB666" s="73">
        <v>0</v>
      </c>
      <c r="AC666" s="73">
        <v>0</v>
      </c>
      <c r="AD666" s="73">
        <v>0</v>
      </c>
      <c r="AE666" s="73">
        <v>0</v>
      </c>
      <c r="AF666" s="74">
        <f>tblData[[#This Row],[Gross Sales]]+tblData[[#This Row],[Trade Discounts]]+tblData[[#This Row],[Returns]]</f>
        <v>167</v>
      </c>
      <c r="AG666" s="74">
        <f>tblData[[#This Row],[Material Cost]]+tblData[[#This Row],[Conversion Cost]]+tblData[[#This Row],[Inbound Freight]]</f>
        <v>-69</v>
      </c>
      <c r="AH666" s="74">
        <f>tblData[[#This Row],[Net Revenue]]+tblData[[#This Row],[COGS]]</f>
        <v>98</v>
      </c>
      <c r="AI666" s="74">
        <f>tblData[[#This Row],[Advertising]]+tblData[[#This Row],[Promotions]]</f>
        <v>-26</v>
      </c>
      <c r="AJ666" s="74">
        <f>tblData[[#This Row],[Outbound Logistics]]+tblData[[#This Row],[Direct Selling]]</f>
        <v>-29</v>
      </c>
      <c r="AK666" s="74">
        <f>tblData[[#This Row],[Gross Profit]]+tblData[[#This Row],[AP Spend]]+tblData[[#This Row],[Cost to Serve]]</f>
        <v>43</v>
      </c>
    </row>
    <row r="667" spans="2:37" x14ac:dyDescent="0.25">
      <c r="B667" s="71" t="s">
        <v>50</v>
      </c>
      <c r="C667" s="71">
        <v>2026</v>
      </c>
      <c r="D667" s="71">
        <v>5</v>
      </c>
      <c r="E667" s="71" t="s">
        <v>48</v>
      </c>
      <c r="F667" s="71" t="s">
        <v>38</v>
      </c>
      <c r="G667" s="72">
        <v>100.8</v>
      </c>
      <c r="H667" s="73">
        <v>1411</v>
      </c>
      <c r="I667" s="73">
        <v>-127</v>
      </c>
      <c r="J667" s="73">
        <v>-14</v>
      </c>
      <c r="K667" s="73">
        <v>-305</v>
      </c>
      <c r="L667" s="73">
        <v>-76</v>
      </c>
      <c r="M667" s="73">
        <v>-42</v>
      </c>
      <c r="N667" s="73">
        <v>-83</v>
      </c>
      <c r="O667" s="73">
        <v>-44</v>
      </c>
      <c r="P667" s="73">
        <v>-42</v>
      </c>
      <c r="Q667" s="73">
        <v>-21</v>
      </c>
      <c r="R667" s="73">
        <v>0</v>
      </c>
      <c r="S667" s="73">
        <v>0</v>
      </c>
      <c r="T667" s="73">
        <v>0</v>
      </c>
      <c r="U667" s="73">
        <v>0</v>
      </c>
      <c r="V667" s="73">
        <v>0</v>
      </c>
      <c r="W667" s="73">
        <v>0</v>
      </c>
      <c r="X667" s="73">
        <v>0</v>
      </c>
      <c r="Y667" s="73">
        <v>0</v>
      </c>
      <c r="Z667" s="73">
        <v>2851</v>
      </c>
      <c r="AA667" s="73">
        <v>1290</v>
      </c>
      <c r="AB667" s="73">
        <v>0</v>
      </c>
      <c r="AC667" s="73">
        <v>0</v>
      </c>
      <c r="AD667" s="73">
        <v>0</v>
      </c>
      <c r="AE667" s="73">
        <v>0</v>
      </c>
      <c r="AF667" s="74">
        <f>tblData[[#This Row],[Gross Sales]]+tblData[[#This Row],[Trade Discounts]]+tblData[[#This Row],[Returns]]</f>
        <v>1270</v>
      </c>
      <c r="AG667" s="74">
        <f>tblData[[#This Row],[Material Cost]]+tblData[[#This Row],[Conversion Cost]]+tblData[[#This Row],[Inbound Freight]]</f>
        <v>-423</v>
      </c>
      <c r="AH667" s="74">
        <f>tblData[[#This Row],[Net Revenue]]+tblData[[#This Row],[COGS]]</f>
        <v>847</v>
      </c>
      <c r="AI667" s="74">
        <f>tblData[[#This Row],[Advertising]]+tblData[[#This Row],[Promotions]]</f>
        <v>-127</v>
      </c>
      <c r="AJ667" s="74">
        <f>tblData[[#This Row],[Outbound Logistics]]+tblData[[#This Row],[Direct Selling]]</f>
        <v>-63</v>
      </c>
      <c r="AK667" s="74">
        <f>tblData[[#This Row],[Gross Profit]]+tblData[[#This Row],[AP Spend]]+tblData[[#This Row],[Cost to Serve]]</f>
        <v>657</v>
      </c>
    </row>
    <row r="668" spans="2:37" x14ac:dyDescent="0.25">
      <c r="B668" s="71" t="s">
        <v>50</v>
      </c>
      <c r="C668" s="71">
        <v>2026</v>
      </c>
      <c r="D668" s="71">
        <v>5</v>
      </c>
      <c r="E668" s="71" t="s">
        <v>48</v>
      </c>
      <c r="F668" s="71" t="s">
        <v>39</v>
      </c>
      <c r="G668" s="72">
        <v>134.4</v>
      </c>
      <c r="H668" s="73">
        <v>1210</v>
      </c>
      <c r="I668" s="73">
        <v>-109</v>
      </c>
      <c r="J668" s="73">
        <v>-12</v>
      </c>
      <c r="K668" s="73">
        <v>-314</v>
      </c>
      <c r="L668" s="73">
        <v>-78</v>
      </c>
      <c r="M668" s="73">
        <v>-44</v>
      </c>
      <c r="N668" s="73">
        <v>-47</v>
      </c>
      <c r="O668" s="73">
        <v>-25</v>
      </c>
      <c r="P668" s="73">
        <v>-36</v>
      </c>
      <c r="Q668" s="73">
        <v>-18</v>
      </c>
      <c r="R668" s="73">
        <v>0</v>
      </c>
      <c r="S668" s="73">
        <v>0</v>
      </c>
      <c r="T668" s="73">
        <v>0</v>
      </c>
      <c r="U668" s="73">
        <v>0</v>
      </c>
      <c r="V668" s="73">
        <v>0</v>
      </c>
      <c r="W668" s="73">
        <v>0</v>
      </c>
      <c r="X668" s="73">
        <v>0</v>
      </c>
      <c r="Y668" s="73">
        <v>0</v>
      </c>
      <c r="Z668" s="73">
        <v>2444</v>
      </c>
      <c r="AA668" s="73">
        <v>1117</v>
      </c>
      <c r="AB668" s="73">
        <v>0</v>
      </c>
      <c r="AC668" s="73">
        <v>0</v>
      </c>
      <c r="AD668" s="73">
        <v>0</v>
      </c>
      <c r="AE668" s="73">
        <v>0</v>
      </c>
      <c r="AF668" s="74">
        <f>tblData[[#This Row],[Gross Sales]]+tblData[[#This Row],[Trade Discounts]]+tblData[[#This Row],[Returns]]</f>
        <v>1089</v>
      </c>
      <c r="AG668" s="74">
        <f>tblData[[#This Row],[Material Cost]]+tblData[[#This Row],[Conversion Cost]]+tblData[[#This Row],[Inbound Freight]]</f>
        <v>-436</v>
      </c>
      <c r="AH668" s="74">
        <f>tblData[[#This Row],[Net Revenue]]+tblData[[#This Row],[COGS]]</f>
        <v>653</v>
      </c>
      <c r="AI668" s="74">
        <f>tblData[[#This Row],[Advertising]]+tblData[[#This Row],[Promotions]]</f>
        <v>-72</v>
      </c>
      <c r="AJ668" s="74">
        <f>tblData[[#This Row],[Outbound Logistics]]+tblData[[#This Row],[Direct Selling]]</f>
        <v>-54</v>
      </c>
      <c r="AK668" s="74">
        <f>tblData[[#This Row],[Gross Profit]]+tblData[[#This Row],[AP Spend]]+tblData[[#This Row],[Cost to Serve]]</f>
        <v>527</v>
      </c>
    </row>
    <row r="669" spans="2:37" x14ac:dyDescent="0.25">
      <c r="B669" s="71" t="s">
        <v>50</v>
      </c>
      <c r="C669" s="71">
        <v>2026</v>
      </c>
      <c r="D669" s="71">
        <v>5</v>
      </c>
      <c r="E669" s="71" t="s">
        <v>48</v>
      </c>
      <c r="F669" s="71" t="s">
        <v>40</v>
      </c>
      <c r="G669" s="72">
        <v>129.6</v>
      </c>
      <c r="H669" s="73">
        <v>907</v>
      </c>
      <c r="I669" s="73">
        <v>-82</v>
      </c>
      <c r="J669" s="73">
        <v>-9</v>
      </c>
      <c r="K669" s="73">
        <v>-261</v>
      </c>
      <c r="L669" s="73">
        <v>-65</v>
      </c>
      <c r="M669" s="73">
        <v>-36</v>
      </c>
      <c r="N669" s="73">
        <v>-24</v>
      </c>
      <c r="O669" s="73">
        <v>-13</v>
      </c>
      <c r="P669" s="73">
        <v>-27</v>
      </c>
      <c r="Q669" s="73">
        <v>-14</v>
      </c>
      <c r="R669" s="73">
        <v>0</v>
      </c>
      <c r="S669" s="73">
        <v>0</v>
      </c>
      <c r="T669" s="73">
        <v>0</v>
      </c>
      <c r="U669" s="73">
        <v>0</v>
      </c>
      <c r="V669" s="73">
        <v>0</v>
      </c>
      <c r="W669" s="73">
        <v>0</v>
      </c>
      <c r="X669" s="73">
        <v>0</v>
      </c>
      <c r="Y669" s="73">
        <v>0</v>
      </c>
      <c r="Z669" s="73">
        <v>1833</v>
      </c>
      <c r="AA669" s="73">
        <v>873</v>
      </c>
      <c r="AB669" s="73">
        <v>0</v>
      </c>
      <c r="AC669" s="73">
        <v>0</v>
      </c>
      <c r="AD669" s="73">
        <v>0</v>
      </c>
      <c r="AE669" s="73">
        <v>0</v>
      </c>
      <c r="AF669" s="74">
        <f>tblData[[#This Row],[Gross Sales]]+tblData[[#This Row],[Trade Discounts]]+tblData[[#This Row],[Returns]]</f>
        <v>816</v>
      </c>
      <c r="AG669" s="74">
        <f>tblData[[#This Row],[Material Cost]]+tblData[[#This Row],[Conversion Cost]]+tblData[[#This Row],[Inbound Freight]]</f>
        <v>-362</v>
      </c>
      <c r="AH669" s="74">
        <f>tblData[[#This Row],[Net Revenue]]+tblData[[#This Row],[COGS]]</f>
        <v>454</v>
      </c>
      <c r="AI669" s="74">
        <f>tblData[[#This Row],[Advertising]]+tblData[[#This Row],[Promotions]]</f>
        <v>-37</v>
      </c>
      <c r="AJ669" s="74">
        <f>tblData[[#This Row],[Outbound Logistics]]+tblData[[#This Row],[Direct Selling]]</f>
        <v>-41</v>
      </c>
      <c r="AK669" s="74">
        <f>tblData[[#This Row],[Gross Profit]]+tblData[[#This Row],[AP Spend]]+tblData[[#This Row],[Cost to Serve]]</f>
        <v>376</v>
      </c>
    </row>
    <row r="670" spans="2:37" x14ac:dyDescent="0.25">
      <c r="B670" s="71" t="s">
        <v>50</v>
      </c>
      <c r="C670" s="71">
        <v>2026</v>
      </c>
      <c r="D670" s="71">
        <v>5</v>
      </c>
      <c r="E670" s="71" t="s">
        <v>48</v>
      </c>
      <c r="F670" s="71" t="s">
        <v>41</v>
      </c>
      <c r="G670" s="72">
        <v>64.099999999999994</v>
      </c>
      <c r="H670" s="73">
        <v>706</v>
      </c>
      <c r="I670" s="73">
        <v>-64</v>
      </c>
      <c r="J670" s="73">
        <v>-7</v>
      </c>
      <c r="K670" s="73">
        <v>-168</v>
      </c>
      <c r="L670" s="73">
        <v>-42</v>
      </c>
      <c r="M670" s="73">
        <v>-23</v>
      </c>
      <c r="N670" s="73">
        <v>-50</v>
      </c>
      <c r="O670" s="73">
        <v>-27</v>
      </c>
      <c r="P670" s="73">
        <v>-21</v>
      </c>
      <c r="Q670" s="73">
        <v>-11</v>
      </c>
      <c r="R670" s="73">
        <v>0</v>
      </c>
      <c r="S670" s="73">
        <v>0</v>
      </c>
      <c r="T670" s="73">
        <v>0</v>
      </c>
      <c r="U670" s="73">
        <v>0</v>
      </c>
      <c r="V670" s="73">
        <v>0</v>
      </c>
      <c r="W670" s="73">
        <v>0</v>
      </c>
      <c r="X670" s="73">
        <v>0</v>
      </c>
      <c r="Y670" s="73">
        <v>0</v>
      </c>
      <c r="Z670" s="73">
        <v>1426</v>
      </c>
      <c r="AA670" s="73">
        <v>672</v>
      </c>
      <c r="AB670" s="73">
        <v>0</v>
      </c>
      <c r="AC670" s="73">
        <v>0</v>
      </c>
      <c r="AD670" s="73">
        <v>0</v>
      </c>
      <c r="AE670" s="73">
        <v>0</v>
      </c>
      <c r="AF670" s="74">
        <f>tblData[[#This Row],[Gross Sales]]+tblData[[#This Row],[Trade Discounts]]+tblData[[#This Row],[Returns]]</f>
        <v>635</v>
      </c>
      <c r="AG670" s="74">
        <f>tblData[[#This Row],[Material Cost]]+tblData[[#This Row],[Conversion Cost]]+tblData[[#This Row],[Inbound Freight]]</f>
        <v>-233</v>
      </c>
      <c r="AH670" s="74">
        <f>tblData[[#This Row],[Net Revenue]]+tblData[[#This Row],[COGS]]</f>
        <v>402</v>
      </c>
      <c r="AI670" s="74">
        <f>tblData[[#This Row],[Advertising]]+tblData[[#This Row],[Promotions]]</f>
        <v>-77</v>
      </c>
      <c r="AJ670" s="74">
        <f>tblData[[#This Row],[Outbound Logistics]]+tblData[[#This Row],[Direct Selling]]</f>
        <v>-32</v>
      </c>
      <c r="AK670" s="74">
        <f>tblData[[#This Row],[Gross Profit]]+tblData[[#This Row],[AP Spend]]+tblData[[#This Row],[Cost to Serve]]</f>
        <v>293</v>
      </c>
    </row>
    <row r="671" spans="2:37" x14ac:dyDescent="0.25">
      <c r="B671" s="71" t="s">
        <v>50</v>
      </c>
      <c r="C671" s="71">
        <v>2026</v>
      </c>
      <c r="D671" s="71">
        <v>5</v>
      </c>
      <c r="E671" s="71" t="s">
        <v>48</v>
      </c>
      <c r="F671" s="71" t="s">
        <v>42</v>
      </c>
      <c r="G671" s="72">
        <v>84</v>
      </c>
      <c r="H671" s="73">
        <v>504</v>
      </c>
      <c r="I671" s="73">
        <v>-45</v>
      </c>
      <c r="J671" s="73">
        <v>-5</v>
      </c>
      <c r="K671" s="73">
        <v>-160</v>
      </c>
      <c r="L671" s="73">
        <v>-40</v>
      </c>
      <c r="M671" s="73">
        <v>-22</v>
      </c>
      <c r="N671" s="73">
        <v>-10</v>
      </c>
      <c r="O671" s="73">
        <v>-5</v>
      </c>
      <c r="P671" s="73">
        <v>-15</v>
      </c>
      <c r="Q671" s="73">
        <v>-8</v>
      </c>
      <c r="R671" s="73">
        <v>0</v>
      </c>
      <c r="S671" s="73">
        <v>0</v>
      </c>
      <c r="T671" s="73">
        <v>0</v>
      </c>
      <c r="U671" s="73">
        <v>0</v>
      </c>
      <c r="V671" s="73">
        <v>0</v>
      </c>
      <c r="W671" s="73">
        <v>0</v>
      </c>
      <c r="X671" s="73">
        <v>0</v>
      </c>
      <c r="Y671" s="73">
        <v>0</v>
      </c>
      <c r="Z671" s="73">
        <v>1018</v>
      </c>
      <c r="AA671" s="73">
        <v>782</v>
      </c>
      <c r="AB671" s="73">
        <v>0</v>
      </c>
      <c r="AC671" s="73">
        <v>0</v>
      </c>
      <c r="AD671" s="73">
        <v>0</v>
      </c>
      <c r="AE671" s="73">
        <v>0</v>
      </c>
      <c r="AF671" s="74">
        <f>tblData[[#This Row],[Gross Sales]]+tblData[[#This Row],[Trade Discounts]]+tblData[[#This Row],[Returns]]</f>
        <v>454</v>
      </c>
      <c r="AG671" s="74">
        <f>tblData[[#This Row],[Material Cost]]+tblData[[#This Row],[Conversion Cost]]+tblData[[#This Row],[Inbound Freight]]</f>
        <v>-222</v>
      </c>
      <c r="AH671" s="74">
        <f>tblData[[#This Row],[Net Revenue]]+tblData[[#This Row],[COGS]]</f>
        <v>232</v>
      </c>
      <c r="AI671" s="74">
        <f>tblData[[#This Row],[Advertising]]+tblData[[#This Row],[Promotions]]</f>
        <v>-15</v>
      </c>
      <c r="AJ671" s="74">
        <f>tblData[[#This Row],[Outbound Logistics]]+tblData[[#This Row],[Direct Selling]]</f>
        <v>-23</v>
      </c>
      <c r="AK671" s="74">
        <f>tblData[[#This Row],[Gross Profit]]+tblData[[#This Row],[AP Spend]]+tblData[[#This Row],[Cost to Serve]]</f>
        <v>194</v>
      </c>
    </row>
    <row r="672" spans="2:37" x14ac:dyDescent="0.25">
      <c r="B672" s="71" t="s">
        <v>50</v>
      </c>
      <c r="C672" s="71">
        <v>2026</v>
      </c>
      <c r="D672" s="71">
        <v>5</v>
      </c>
      <c r="E672" s="71" t="s">
        <v>48</v>
      </c>
      <c r="F672" s="71" t="s">
        <v>43</v>
      </c>
      <c r="G672" s="72">
        <v>16.8</v>
      </c>
      <c r="H672" s="73">
        <v>302</v>
      </c>
      <c r="I672" s="73">
        <v>-27</v>
      </c>
      <c r="J672" s="73">
        <v>-3</v>
      </c>
      <c r="K672" s="73">
        <v>-83</v>
      </c>
      <c r="L672" s="73">
        <v>-21</v>
      </c>
      <c r="M672" s="73">
        <v>-11</v>
      </c>
      <c r="N672" s="73">
        <v>-28</v>
      </c>
      <c r="O672" s="73">
        <v>-15</v>
      </c>
      <c r="P672" s="73">
        <v>-9</v>
      </c>
      <c r="Q672" s="73">
        <v>-5</v>
      </c>
      <c r="R672" s="73">
        <v>0</v>
      </c>
      <c r="S672" s="73">
        <v>0</v>
      </c>
      <c r="T672" s="73">
        <v>0</v>
      </c>
      <c r="U672" s="73">
        <v>0</v>
      </c>
      <c r="V672" s="73">
        <v>0</v>
      </c>
      <c r="W672" s="73">
        <v>0</v>
      </c>
      <c r="X672" s="73">
        <v>0</v>
      </c>
      <c r="Y672" s="73">
        <v>0</v>
      </c>
      <c r="Z672" s="73">
        <v>611</v>
      </c>
      <c r="AA672" s="73">
        <v>442</v>
      </c>
      <c r="AB672" s="73">
        <v>0</v>
      </c>
      <c r="AC672" s="73">
        <v>0</v>
      </c>
      <c r="AD672" s="73">
        <v>0</v>
      </c>
      <c r="AE672" s="73">
        <v>0</v>
      </c>
      <c r="AF672" s="74">
        <f>tblData[[#This Row],[Gross Sales]]+tblData[[#This Row],[Trade Discounts]]+tblData[[#This Row],[Returns]]</f>
        <v>272</v>
      </c>
      <c r="AG672" s="74">
        <f>tblData[[#This Row],[Material Cost]]+tblData[[#This Row],[Conversion Cost]]+tblData[[#This Row],[Inbound Freight]]</f>
        <v>-115</v>
      </c>
      <c r="AH672" s="74">
        <f>tblData[[#This Row],[Net Revenue]]+tblData[[#This Row],[COGS]]</f>
        <v>157</v>
      </c>
      <c r="AI672" s="74">
        <f>tblData[[#This Row],[Advertising]]+tblData[[#This Row],[Promotions]]</f>
        <v>-43</v>
      </c>
      <c r="AJ672" s="74">
        <f>tblData[[#This Row],[Outbound Logistics]]+tblData[[#This Row],[Direct Selling]]</f>
        <v>-14</v>
      </c>
      <c r="AK672" s="74">
        <f>tblData[[#This Row],[Gross Profit]]+tblData[[#This Row],[AP Spend]]+tblData[[#This Row],[Cost to Serve]]</f>
        <v>100</v>
      </c>
    </row>
    <row r="673" spans="2:37" x14ac:dyDescent="0.25">
      <c r="B673" s="71" t="s">
        <v>50</v>
      </c>
      <c r="C673" s="71">
        <v>2026</v>
      </c>
      <c r="D673" s="71">
        <v>5</v>
      </c>
      <c r="E673" s="71" t="s">
        <v>49</v>
      </c>
      <c r="F673" s="71" t="s">
        <v>49</v>
      </c>
      <c r="G673" s="72">
        <v>0</v>
      </c>
      <c r="H673" s="73">
        <v>0</v>
      </c>
      <c r="I673" s="73">
        <v>0</v>
      </c>
      <c r="J673" s="73">
        <v>0</v>
      </c>
      <c r="K673" s="73">
        <v>0</v>
      </c>
      <c r="L673" s="73">
        <v>0</v>
      </c>
      <c r="M673" s="73">
        <v>0</v>
      </c>
      <c r="N673" s="73">
        <v>0</v>
      </c>
      <c r="O673" s="73">
        <v>0</v>
      </c>
      <c r="P673" s="73">
        <v>0</v>
      </c>
      <c r="Q673" s="73">
        <v>0</v>
      </c>
      <c r="R673" s="73">
        <v>-4216</v>
      </c>
      <c r="S673" s="73">
        <v>-1020</v>
      </c>
      <c r="T673" s="73">
        <v>-1320</v>
      </c>
      <c r="U673" s="73">
        <v>-1130</v>
      </c>
      <c r="V673" s="73">
        <v>-1480</v>
      </c>
      <c r="W673" s="73">
        <v>-703</v>
      </c>
      <c r="X673" s="73">
        <v>-1595</v>
      </c>
      <c r="Y673" s="73">
        <v>-1291</v>
      </c>
      <c r="Z673" s="73">
        <v>0</v>
      </c>
      <c r="AA673" s="73">
        <v>0</v>
      </c>
      <c r="AB673" s="73">
        <v>34175</v>
      </c>
      <c r="AC673" s="73">
        <v>55404</v>
      </c>
      <c r="AD673" s="73">
        <v>187500</v>
      </c>
      <c r="AE673" s="73">
        <v>1188</v>
      </c>
      <c r="AF673" s="74">
        <f>tblData[[#This Row],[Gross Sales]]+tblData[[#This Row],[Trade Discounts]]+tblData[[#This Row],[Returns]]</f>
        <v>0</v>
      </c>
      <c r="AG673" s="74">
        <f>tblData[[#This Row],[Material Cost]]+tblData[[#This Row],[Conversion Cost]]+tblData[[#This Row],[Inbound Freight]]</f>
        <v>0</v>
      </c>
      <c r="AH673" s="74">
        <f>tblData[[#This Row],[Net Revenue]]+tblData[[#This Row],[COGS]]</f>
        <v>0</v>
      </c>
      <c r="AI673" s="74">
        <f>tblData[[#This Row],[Advertising]]+tblData[[#This Row],[Promotions]]</f>
        <v>0</v>
      </c>
      <c r="AJ673" s="74">
        <f>tblData[[#This Row],[Outbound Logistics]]+tblData[[#This Row],[Direct Selling]]</f>
        <v>0</v>
      </c>
      <c r="AK673" s="74">
        <f>tblData[[#This Row],[Gross Profit]]+tblData[[#This Row],[AP Spend]]+tblData[[#This Row],[Cost to Serve]]</f>
        <v>0</v>
      </c>
    </row>
    <row r="674" spans="2:37" x14ac:dyDescent="0.25">
      <c r="B674" s="71" t="s">
        <v>50</v>
      </c>
      <c r="C674" s="71">
        <v>2026</v>
      </c>
      <c r="D674" s="71">
        <v>6</v>
      </c>
      <c r="E674" s="71" t="s">
        <v>37</v>
      </c>
      <c r="F674" s="71" t="s">
        <v>38</v>
      </c>
      <c r="G674" s="72">
        <v>310</v>
      </c>
      <c r="H674" s="73">
        <v>4339</v>
      </c>
      <c r="I674" s="73">
        <v>-824</v>
      </c>
      <c r="J674" s="73">
        <v>-65</v>
      </c>
      <c r="K674" s="73">
        <v>-937</v>
      </c>
      <c r="L674" s="73">
        <v>-234</v>
      </c>
      <c r="M674" s="73">
        <v>-130</v>
      </c>
      <c r="N674" s="73">
        <v>-254</v>
      </c>
      <c r="O674" s="73">
        <v>-137</v>
      </c>
      <c r="P674" s="73">
        <v>-174</v>
      </c>
      <c r="Q674" s="73">
        <v>-130</v>
      </c>
      <c r="R674" s="73">
        <v>0</v>
      </c>
      <c r="S674" s="73">
        <v>0</v>
      </c>
      <c r="T674" s="73">
        <v>0</v>
      </c>
      <c r="U674" s="73">
        <v>0</v>
      </c>
      <c r="V674" s="73">
        <v>0</v>
      </c>
      <c r="W674" s="73">
        <v>0</v>
      </c>
      <c r="X674" s="73">
        <v>0</v>
      </c>
      <c r="Y674" s="73">
        <v>0</v>
      </c>
      <c r="Z674" s="73">
        <v>6089</v>
      </c>
      <c r="AA674" s="73">
        <v>3969</v>
      </c>
      <c r="AB674" s="73">
        <v>0</v>
      </c>
      <c r="AC674" s="73">
        <v>0</v>
      </c>
      <c r="AD674" s="73">
        <v>0</v>
      </c>
      <c r="AE674" s="73">
        <v>0</v>
      </c>
      <c r="AF674" s="74">
        <f>tblData[[#This Row],[Gross Sales]]+tblData[[#This Row],[Trade Discounts]]+tblData[[#This Row],[Returns]]</f>
        <v>3450</v>
      </c>
      <c r="AG674" s="74">
        <f>tblData[[#This Row],[Material Cost]]+tblData[[#This Row],[Conversion Cost]]+tblData[[#This Row],[Inbound Freight]]</f>
        <v>-1301</v>
      </c>
      <c r="AH674" s="74">
        <f>tblData[[#This Row],[Net Revenue]]+tblData[[#This Row],[COGS]]</f>
        <v>2149</v>
      </c>
      <c r="AI674" s="74">
        <f>tblData[[#This Row],[Advertising]]+tblData[[#This Row],[Promotions]]</f>
        <v>-391</v>
      </c>
      <c r="AJ674" s="74">
        <f>tblData[[#This Row],[Outbound Logistics]]+tblData[[#This Row],[Direct Selling]]</f>
        <v>-304</v>
      </c>
      <c r="AK674" s="74">
        <f>tblData[[#This Row],[Gross Profit]]+tblData[[#This Row],[AP Spend]]+tblData[[#This Row],[Cost to Serve]]</f>
        <v>1454</v>
      </c>
    </row>
    <row r="675" spans="2:37" x14ac:dyDescent="0.25">
      <c r="B675" s="71" t="s">
        <v>50</v>
      </c>
      <c r="C675" s="71">
        <v>2026</v>
      </c>
      <c r="D675" s="71">
        <v>6</v>
      </c>
      <c r="E675" s="71" t="s">
        <v>37</v>
      </c>
      <c r="F675" s="71" t="s">
        <v>39</v>
      </c>
      <c r="G675" s="72">
        <v>413.3</v>
      </c>
      <c r="H675" s="73">
        <v>3720</v>
      </c>
      <c r="I675" s="73">
        <v>-707</v>
      </c>
      <c r="J675" s="73">
        <v>-56</v>
      </c>
      <c r="K675" s="73">
        <v>-964</v>
      </c>
      <c r="L675" s="73">
        <v>-241</v>
      </c>
      <c r="M675" s="73">
        <v>-134</v>
      </c>
      <c r="N675" s="73">
        <v>-145</v>
      </c>
      <c r="O675" s="73">
        <v>-78</v>
      </c>
      <c r="P675" s="73">
        <v>-149</v>
      </c>
      <c r="Q675" s="73">
        <v>-112</v>
      </c>
      <c r="R675" s="73">
        <v>0</v>
      </c>
      <c r="S675" s="73">
        <v>0</v>
      </c>
      <c r="T675" s="73">
        <v>0</v>
      </c>
      <c r="U675" s="73">
        <v>0</v>
      </c>
      <c r="V675" s="73">
        <v>0</v>
      </c>
      <c r="W675" s="73">
        <v>0</v>
      </c>
      <c r="X675" s="73">
        <v>0</v>
      </c>
      <c r="Y675" s="73">
        <v>0</v>
      </c>
      <c r="Z675" s="73">
        <v>5219</v>
      </c>
      <c r="AA675" s="73">
        <v>3438</v>
      </c>
      <c r="AB675" s="73">
        <v>0</v>
      </c>
      <c r="AC675" s="73">
        <v>0</v>
      </c>
      <c r="AD675" s="73">
        <v>0</v>
      </c>
      <c r="AE675" s="73">
        <v>0</v>
      </c>
      <c r="AF675" s="74">
        <f>tblData[[#This Row],[Gross Sales]]+tblData[[#This Row],[Trade Discounts]]+tblData[[#This Row],[Returns]]</f>
        <v>2957</v>
      </c>
      <c r="AG675" s="74">
        <f>tblData[[#This Row],[Material Cost]]+tblData[[#This Row],[Conversion Cost]]+tblData[[#This Row],[Inbound Freight]]</f>
        <v>-1339</v>
      </c>
      <c r="AH675" s="74">
        <f>tblData[[#This Row],[Net Revenue]]+tblData[[#This Row],[COGS]]</f>
        <v>1618</v>
      </c>
      <c r="AI675" s="74">
        <f>tblData[[#This Row],[Advertising]]+tblData[[#This Row],[Promotions]]</f>
        <v>-223</v>
      </c>
      <c r="AJ675" s="74">
        <f>tblData[[#This Row],[Outbound Logistics]]+tblData[[#This Row],[Direct Selling]]</f>
        <v>-261</v>
      </c>
      <c r="AK675" s="74">
        <f>tblData[[#This Row],[Gross Profit]]+tblData[[#This Row],[AP Spend]]+tblData[[#This Row],[Cost to Serve]]</f>
        <v>1134</v>
      </c>
    </row>
    <row r="676" spans="2:37" x14ac:dyDescent="0.25">
      <c r="B676" s="71" t="s">
        <v>50</v>
      </c>
      <c r="C676" s="71">
        <v>2026</v>
      </c>
      <c r="D676" s="71">
        <v>6</v>
      </c>
      <c r="E676" s="71" t="s">
        <v>37</v>
      </c>
      <c r="F676" s="71" t="s">
        <v>40</v>
      </c>
      <c r="G676" s="72">
        <v>398.5</v>
      </c>
      <c r="H676" s="73">
        <v>2790</v>
      </c>
      <c r="I676" s="73">
        <v>-530</v>
      </c>
      <c r="J676" s="73">
        <v>-42</v>
      </c>
      <c r="K676" s="73">
        <v>-803</v>
      </c>
      <c r="L676" s="73">
        <v>-201</v>
      </c>
      <c r="M676" s="73">
        <v>-112</v>
      </c>
      <c r="N676" s="73">
        <v>-73</v>
      </c>
      <c r="O676" s="73">
        <v>-39</v>
      </c>
      <c r="P676" s="73">
        <v>-112</v>
      </c>
      <c r="Q676" s="73">
        <v>-84</v>
      </c>
      <c r="R676" s="73">
        <v>0</v>
      </c>
      <c r="S676" s="73">
        <v>0</v>
      </c>
      <c r="T676" s="73">
        <v>0</v>
      </c>
      <c r="U676" s="73">
        <v>0</v>
      </c>
      <c r="V676" s="73">
        <v>0</v>
      </c>
      <c r="W676" s="73">
        <v>0</v>
      </c>
      <c r="X676" s="73">
        <v>0</v>
      </c>
      <c r="Y676" s="73">
        <v>0</v>
      </c>
      <c r="Z676" s="73">
        <v>3915</v>
      </c>
      <c r="AA676" s="73">
        <v>2686</v>
      </c>
      <c r="AB676" s="73">
        <v>0</v>
      </c>
      <c r="AC676" s="73">
        <v>0</v>
      </c>
      <c r="AD676" s="73">
        <v>0</v>
      </c>
      <c r="AE676" s="73">
        <v>0</v>
      </c>
      <c r="AF676" s="74">
        <f>tblData[[#This Row],[Gross Sales]]+tblData[[#This Row],[Trade Discounts]]+tblData[[#This Row],[Returns]]</f>
        <v>2218</v>
      </c>
      <c r="AG676" s="74">
        <f>tblData[[#This Row],[Material Cost]]+tblData[[#This Row],[Conversion Cost]]+tblData[[#This Row],[Inbound Freight]]</f>
        <v>-1116</v>
      </c>
      <c r="AH676" s="74">
        <f>tblData[[#This Row],[Net Revenue]]+tblData[[#This Row],[COGS]]</f>
        <v>1102</v>
      </c>
      <c r="AI676" s="74">
        <f>tblData[[#This Row],[Advertising]]+tblData[[#This Row],[Promotions]]</f>
        <v>-112</v>
      </c>
      <c r="AJ676" s="74">
        <f>tblData[[#This Row],[Outbound Logistics]]+tblData[[#This Row],[Direct Selling]]</f>
        <v>-196</v>
      </c>
      <c r="AK676" s="74">
        <f>tblData[[#This Row],[Gross Profit]]+tblData[[#This Row],[AP Spend]]+tblData[[#This Row],[Cost to Serve]]</f>
        <v>794</v>
      </c>
    </row>
    <row r="677" spans="2:37" x14ac:dyDescent="0.25">
      <c r="B677" s="71" t="s">
        <v>50</v>
      </c>
      <c r="C677" s="71">
        <v>2026</v>
      </c>
      <c r="D677" s="71">
        <v>6</v>
      </c>
      <c r="E677" s="71" t="s">
        <v>37</v>
      </c>
      <c r="F677" s="71" t="s">
        <v>41</v>
      </c>
      <c r="G677" s="72">
        <v>197.2</v>
      </c>
      <c r="H677" s="73">
        <v>2170</v>
      </c>
      <c r="I677" s="73">
        <v>-412</v>
      </c>
      <c r="J677" s="73">
        <v>-33</v>
      </c>
      <c r="K677" s="73">
        <v>-516</v>
      </c>
      <c r="L677" s="73">
        <v>-129</v>
      </c>
      <c r="M677" s="73">
        <v>-72</v>
      </c>
      <c r="N677" s="73">
        <v>-155</v>
      </c>
      <c r="O677" s="73">
        <v>-84</v>
      </c>
      <c r="P677" s="73">
        <v>-87</v>
      </c>
      <c r="Q677" s="73">
        <v>-65</v>
      </c>
      <c r="R677" s="73">
        <v>0</v>
      </c>
      <c r="S677" s="73">
        <v>0</v>
      </c>
      <c r="T677" s="73">
        <v>0</v>
      </c>
      <c r="U677" s="73">
        <v>0</v>
      </c>
      <c r="V677" s="73">
        <v>0</v>
      </c>
      <c r="W677" s="73">
        <v>0</v>
      </c>
      <c r="X677" s="73">
        <v>0</v>
      </c>
      <c r="Y677" s="73">
        <v>0</v>
      </c>
      <c r="Z677" s="73">
        <v>3045</v>
      </c>
      <c r="AA677" s="73">
        <v>2068</v>
      </c>
      <c r="AB677" s="73">
        <v>0</v>
      </c>
      <c r="AC677" s="73">
        <v>0</v>
      </c>
      <c r="AD677" s="73">
        <v>0</v>
      </c>
      <c r="AE677" s="73">
        <v>0</v>
      </c>
      <c r="AF677" s="74">
        <f>tblData[[#This Row],[Gross Sales]]+tblData[[#This Row],[Trade Discounts]]+tblData[[#This Row],[Returns]]</f>
        <v>1725</v>
      </c>
      <c r="AG677" s="74">
        <f>tblData[[#This Row],[Material Cost]]+tblData[[#This Row],[Conversion Cost]]+tblData[[#This Row],[Inbound Freight]]</f>
        <v>-717</v>
      </c>
      <c r="AH677" s="74">
        <f>tblData[[#This Row],[Net Revenue]]+tblData[[#This Row],[COGS]]</f>
        <v>1008</v>
      </c>
      <c r="AI677" s="74">
        <f>tblData[[#This Row],[Advertising]]+tblData[[#This Row],[Promotions]]</f>
        <v>-239</v>
      </c>
      <c r="AJ677" s="74">
        <f>tblData[[#This Row],[Outbound Logistics]]+tblData[[#This Row],[Direct Selling]]</f>
        <v>-152</v>
      </c>
      <c r="AK677" s="74">
        <f>tblData[[#This Row],[Gross Profit]]+tblData[[#This Row],[AP Spend]]+tblData[[#This Row],[Cost to Serve]]</f>
        <v>617</v>
      </c>
    </row>
    <row r="678" spans="2:37" x14ac:dyDescent="0.25">
      <c r="B678" s="71" t="s">
        <v>50</v>
      </c>
      <c r="C678" s="71">
        <v>2026</v>
      </c>
      <c r="D678" s="71">
        <v>6</v>
      </c>
      <c r="E678" s="71" t="s">
        <v>37</v>
      </c>
      <c r="F678" s="71" t="s">
        <v>42</v>
      </c>
      <c r="G678" s="72">
        <v>258.3</v>
      </c>
      <c r="H678" s="73">
        <v>1550</v>
      </c>
      <c r="I678" s="73">
        <v>-294</v>
      </c>
      <c r="J678" s="73">
        <v>-23</v>
      </c>
      <c r="K678" s="73">
        <v>-491</v>
      </c>
      <c r="L678" s="73">
        <v>-123</v>
      </c>
      <c r="M678" s="73">
        <v>-68</v>
      </c>
      <c r="N678" s="73">
        <v>-30</v>
      </c>
      <c r="O678" s="73">
        <v>-16</v>
      </c>
      <c r="P678" s="73">
        <v>-62</v>
      </c>
      <c r="Q678" s="73">
        <v>-46</v>
      </c>
      <c r="R678" s="73">
        <v>0</v>
      </c>
      <c r="S678" s="73">
        <v>0</v>
      </c>
      <c r="T678" s="73">
        <v>0</v>
      </c>
      <c r="U678" s="73">
        <v>0</v>
      </c>
      <c r="V678" s="73">
        <v>0</v>
      </c>
      <c r="W678" s="73">
        <v>0</v>
      </c>
      <c r="X678" s="73">
        <v>0</v>
      </c>
      <c r="Y678" s="73">
        <v>0</v>
      </c>
      <c r="Z678" s="73">
        <v>2175</v>
      </c>
      <c r="AA678" s="73">
        <v>2407</v>
      </c>
      <c r="AB678" s="73">
        <v>0</v>
      </c>
      <c r="AC678" s="73">
        <v>0</v>
      </c>
      <c r="AD678" s="73">
        <v>0</v>
      </c>
      <c r="AE678" s="73">
        <v>0</v>
      </c>
      <c r="AF678" s="74">
        <f>tblData[[#This Row],[Gross Sales]]+tblData[[#This Row],[Trade Discounts]]+tblData[[#This Row],[Returns]]</f>
        <v>1233</v>
      </c>
      <c r="AG678" s="74">
        <f>tblData[[#This Row],[Material Cost]]+tblData[[#This Row],[Conversion Cost]]+tblData[[#This Row],[Inbound Freight]]</f>
        <v>-682</v>
      </c>
      <c r="AH678" s="74">
        <f>tblData[[#This Row],[Net Revenue]]+tblData[[#This Row],[COGS]]</f>
        <v>551</v>
      </c>
      <c r="AI678" s="74">
        <f>tblData[[#This Row],[Advertising]]+tblData[[#This Row],[Promotions]]</f>
        <v>-46</v>
      </c>
      <c r="AJ678" s="74">
        <f>tblData[[#This Row],[Outbound Logistics]]+tblData[[#This Row],[Direct Selling]]</f>
        <v>-108</v>
      </c>
      <c r="AK678" s="74">
        <f>tblData[[#This Row],[Gross Profit]]+tblData[[#This Row],[AP Spend]]+tblData[[#This Row],[Cost to Serve]]</f>
        <v>397</v>
      </c>
    </row>
    <row r="679" spans="2:37" x14ac:dyDescent="0.25">
      <c r="B679" s="71" t="s">
        <v>50</v>
      </c>
      <c r="C679" s="71">
        <v>2026</v>
      </c>
      <c r="D679" s="71">
        <v>6</v>
      </c>
      <c r="E679" s="71" t="s">
        <v>37</v>
      </c>
      <c r="F679" s="71" t="s">
        <v>43</v>
      </c>
      <c r="G679" s="72">
        <v>51.7</v>
      </c>
      <c r="H679" s="73">
        <v>930</v>
      </c>
      <c r="I679" s="73">
        <v>-177</v>
      </c>
      <c r="J679" s="73">
        <v>-14</v>
      </c>
      <c r="K679" s="73">
        <v>-254</v>
      </c>
      <c r="L679" s="73">
        <v>-64</v>
      </c>
      <c r="M679" s="73">
        <v>-35</v>
      </c>
      <c r="N679" s="73">
        <v>-85</v>
      </c>
      <c r="O679" s="73">
        <v>-46</v>
      </c>
      <c r="P679" s="73">
        <v>-37</v>
      </c>
      <c r="Q679" s="73">
        <v>-28</v>
      </c>
      <c r="R679" s="73">
        <v>0</v>
      </c>
      <c r="S679" s="73">
        <v>0</v>
      </c>
      <c r="T679" s="73">
        <v>0</v>
      </c>
      <c r="U679" s="73">
        <v>0</v>
      </c>
      <c r="V679" s="73">
        <v>0</v>
      </c>
      <c r="W679" s="73">
        <v>0</v>
      </c>
      <c r="X679" s="73">
        <v>0</v>
      </c>
      <c r="Y679" s="73">
        <v>0</v>
      </c>
      <c r="Z679" s="73">
        <v>1305</v>
      </c>
      <c r="AA679" s="73">
        <v>1361</v>
      </c>
      <c r="AB679" s="73">
        <v>0</v>
      </c>
      <c r="AC679" s="73">
        <v>0</v>
      </c>
      <c r="AD679" s="73">
        <v>0</v>
      </c>
      <c r="AE679" s="73">
        <v>0</v>
      </c>
      <c r="AF679" s="74">
        <f>tblData[[#This Row],[Gross Sales]]+tblData[[#This Row],[Trade Discounts]]+tblData[[#This Row],[Returns]]</f>
        <v>739</v>
      </c>
      <c r="AG679" s="74">
        <f>tblData[[#This Row],[Material Cost]]+tblData[[#This Row],[Conversion Cost]]+tblData[[#This Row],[Inbound Freight]]</f>
        <v>-353</v>
      </c>
      <c r="AH679" s="74">
        <f>tblData[[#This Row],[Net Revenue]]+tblData[[#This Row],[COGS]]</f>
        <v>386</v>
      </c>
      <c r="AI679" s="74">
        <f>tblData[[#This Row],[Advertising]]+tblData[[#This Row],[Promotions]]</f>
        <v>-131</v>
      </c>
      <c r="AJ679" s="74">
        <f>tblData[[#This Row],[Outbound Logistics]]+tblData[[#This Row],[Direct Selling]]</f>
        <v>-65</v>
      </c>
      <c r="AK679" s="74">
        <f>tblData[[#This Row],[Gross Profit]]+tblData[[#This Row],[AP Spend]]+tblData[[#This Row],[Cost to Serve]]</f>
        <v>190</v>
      </c>
    </row>
    <row r="680" spans="2:37" x14ac:dyDescent="0.25">
      <c r="B680" s="71" t="s">
        <v>50</v>
      </c>
      <c r="C680" s="71">
        <v>2026</v>
      </c>
      <c r="D680" s="71">
        <v>6</v>
      </c>
      <c r="E680" s="71" t="s">
        <v>44</v>
      </c>
      <c r="F680" s="71" t="s">
        <v>38</v>
      </c>
      <c r="G680" s="72">
        <v>248</v>
      </c>
      <c r="H680" s="73">
        <v>3472</v>
      </c>
      <c r="I680" s="73">
        <v>-555</v>
      </c>
      <c r="J680" s="73">
        <v>-42</v>
      </c>
      <c r="K680" s="73">
        <v>-750</v>
      </c>
      <c r="L680" s="73">
        <v>-187</v>
      </c>
      <c r="M680" s="73">
        <v>-104</v>
      </c>
      <c r="N680" s="73">
        <v>-203</v>
      </c>
      <c r="O680" s="73">
        <v>-109</v>
      </c>
      <c r="P680" s="73">
        <v>-139</v>
      </c>
      <c r="Q680" s="73">
        <v>-104</v>
      </c>
      <c r="R680" s="73">
        <v>0</v>
      </c>
      <c r="S680" s="73">
        <v>0</v>
      </c>
      <c r="T680" s="73">
        <v>0</v>
      </c>
      <c r="U680" s="73">
        <v>0</v>
      </c>
      <c r="V680" s="73">
        <v>0</v>
      </c>
      <c r="W680" s="73">
        <v>0</v>
      </c>
      <c r="X680" s="73">
        <v>0</v>
      </c>
      <c r="Y680" s="73">
        <v>0</v>
      </c>
      <c r="Z680" s="73">
        <v>4612</v>
      </c>
      <c r="AA680" s="73">
        <v>3175</v>
      </c>
      <c r="AB680" s="73">
        <v>0</v>
      </c>
      <c r="AC680" s="73">
        <v>0</v>
      </c>
      <c r="AD680" s="73">
        <v>0</v>
      </c>
      <c r="AE680" s="73">
        <v>0</v>
      </c>
      <c r="AF680" s="74">
        <f>tblData[[#This Row],[Gross Sales]]+tblData[[#This Row],[Trade Discounts]]+tblData[[#This Row],[Returns]]</f>
        <v>2875</v>
      </c>
      <c r="AG680" s="74">
        <f>tblData[[#This Row],[Material Cost]]+tblData[[#This Row],[Conversion Cost]]+tblData[[#This Row],[Inbound Freight]]</f>
        <v>-1041</v>
      </c>
      <c r="AH680" s="74">
        <f>tblData[[#This Row],[Net Revenue]]+tblData[[#This Row],[COGS]]</f>
        <v>1834</v>
      </c>
      <c r="AI680" s="74">
        <f>tblData[[#This Row],[Advertising]]+tblData[[#This Row],[Promotions]]</f>
        <v>-312</v>
      </c>
      <c r="AJ680" s="74">
        <f>tblData[[#This Row],[Outbound Logistics]]+tblData[[#This Row],[Direct Selling]]</f>
        <v>-243</v>
      </c>
      <c r="AK680" s="74">
        <f>tblData[[#This Row],[Gross Profit]]+tblData[[#This Row],[AP Spend]]+tblData[[#This Row],[Cost to Serve]]</f>
        <v>1279</v>
      </c>
    </row>
    <row r="681" spans="2:37" x14ac:dyDescent="0.25">
      <c r="B681" s="71" t="s">
        <v>50</v>
      </c>
      <c r="C681" s="71">
        <v>2026</v>
      </c>
      <c r="D681" s="71">
        <v>6</v>
      </c>
      <c r="E681" s="71" t="s">
        <v>44</v>
      </c>
      <c r="F681" s="71" t="s">
        <v>39</v>
      </c>
      <c r="G681" s="72">
        <v>330.6</v>
      </c>
      <c r="H681" s="73">
        <v>2976</v>
      </c>
      <c r="I681" s="73">
        <v>-476</v>
      </c>
      <c r="J681" s="73">
        <v>-36</v>
      </c>
      <c r="K681" s="73">
        <v>-771</v>
      </c>
      <c r="L681" s="73">
        <v>-193</v>
      </c>
      <c r="M681" s="73">
        <v>-107</v>
      </c>
      <c r="N681" s="73">
        <v>-116</v>
      </c>
      <c r="O681" s="73">
        <v>-62</v>
      </c>
      <c r="P681" s="73">
        <v>-119</v>
      </c>
      <c r="Q681" s="73">
        <v>-89</v>
      </c>
      <c r="R681" s="73">
        <v>0</v>
      </c>
      <c r="S681" s="73">
        <v>0</v>
      </c>
      <c r="T681" s="73">
        <v>0</v>
      </c>
      <c r="U681" s="73">
        <v>0</v>
      </c>
      <c r="V681" s="73">
        <v>0</v>
      </c>
      <c r="W681" s="73">
        <v>0</v>
      </c>
      <c r="X681" s="73">
        <v>0</v>
      </c>
      <c r="Y681" s="73">
        <v>0</v>
      </c>
      <c r="Z681" s="73">
        <v>3953</v>
      </c>
      <c r="AA681" s="73">
        <v>2750</v>
      </c>
      <c r="AB681" s="73">
        <v>0</v>
      </c>
      <c r="AC681" s="73">
        <v>0</v>
      </c>
      <c r="AD681" s="73">
        <v>0</v>
      </c>
      <c r="AE681" s="73">
        <v>0</v>
      </c>
      <c r="AF681" s="74">
        <f>tblData[[#This Row],[Gross Sales]]+tblData[[#This Row],[Trade Discounts]]+tblData[[#This Row],[Returns]]</f>
        <v>2464</v>
      </c>
      <c r="AG681" s="74">
        <f>tblData[[#This Row],[Material Cost]]+tblData[[#This Row],[Conversion Cost]]+tblData[[#This Row],[Inbound Freight]]</f>
        <v>-1071</v>
      </c>
      <c r="AH681" s="74">
        <f>tblData[[#This Row],[Net Revenue]]+tblData[[#This Row],[COGS]]</f>
        <v>1393</v>
      </c>
      <c r="AI681" s="74">
        <f>tblData[[#This Row],[Advertising]]+tblData[[#This Row],[Promotions]]</f>
        <v>-178</v>
      </c>
      <c r="AJ681" s="74">
        <f>tblData[[#This Row],[Outbound Logistics]]+tblData[[#This Row],[Direct Selling]]</f>
        <v>-208</v>
      </c>
      <c r="AK681" s="74">
        <f>tblData[[#This Row],[Gross Profit]]+tblData[[#This Row],[AP Spend]]+tblData[[#This Row],[Cost to Serve]]</f>
        <v>1007</v>
      </c>
    </row>
    <row r="682" spans="2:37" x14ac:dyDescent="0.25">
      <c r="B682" s="71" t="s">
        <v>50</v>
      </c>
      <c r="C682" s="71">
        <v>2026</v>
      </c>
      <c r="D682" s="71">
        <v>6</v>
      </c>
      <c r="E682" s="71" t="s">
        <v>44</v>
      </c>
      <c r="F682" s="71" t="s">
        <v>40</v>
      </c>
      <c r="G682" s="72">
        <v>318.8</v>
      </c>
      <c r="H682" s="73">
        <v>2232</v>
      </c>
      <c r="I682" s="73">
        <v>-357</v>
      </c>
      <c r="J682" s="73">
        <v>-27</v>
      </c>
      <c r="K682" s="73">
        <v>-643</v>
      </c>
      <c r="L682" s="73">
        <v>-161</v>
      </c>
      <c r="M682" s="73">
        <v>-89</v>
      </c>
      <c r="N682" s="73">
        <v>-58</v>
      </c>
      <c r="O682" s="73">
        <v>-31</v>
      </c>
      <c r="P682" s="73">
        <v>-89</v>
      </c>
      <c r="Q682" s="73">
        <v>-67</v>
      </c>
      <c r="R682" s="73">
        <v>0</v>
      </c>
      <c r="S682" s="73">
        <v>0</v>
      </c>
      <c r="T682" s="73">
        <v>0</v>
      </c>
      <c r="U682" s="73">
        <v>0</v>
      </c>
      <c r="V682" s="73">
        <v>0</v>
      </c>
      <c r="W682" s="73">
        <v>0</v>
      </c>
      <c r="X682" s="73">
        <v>0</v>
      </c>
      <c r="Y682" s="73">
        <v>0</v>
      </c>
      <c r="Z682" s="73">
        <v>2965</v>
      </c>
      <c r="AA682" s="73">
        <v>2149</v>
      </c>
      <c r="AB682" s="73">
        <v>0</v>
      </c>
      <c r="AC682" s="73">
        <v>0</v>
      </c>
      <c r="AD682" s="73">
        <v>0</v>
      </c>
      <c r="AE682" s="73">
        <v>0</v>
      </c>
      <c r="AF682" s="74">
        <f>tblData[[#This Row],[Gross Sales]]+tblData[[#This Row],[Trade Discounts]]+tblData[[#This Row],[Returns]]</f>
        <v>1848</v>
      </c>
      <c r="AG682" s="74">
        <f>tblData[[#This Row],[Material Cost]]+tblData[[#This Row],[Conversion Cost]]+tblData[[#This Row],[Inbound Freight]]</f>
        <v>-893</v>
      </c>
      <c r="AH682" s="74">
        <f>tblData[[#This Row],[Net Revenue]]+tblData[[#This Row],[COGS]]</f>
        <v>955</v>
      </c>
      <c r="AI682" s="74">
        <f>tblData[[#This Row],[Advertising]]+tblData[[#This Row],[Promotions]]</f>
        <v>-89</v>
      </c>
      <c r="AJ682" s="74">
        <f>tblData[[#This Row],[Outbound Logistics]]+tblData[[#This Row],[Direct Selling]]</f>
        <v>-156</v>
      </c>
      <c r="AK682" s="74">
        <f>tblData[[#This Row],[Gross Profit]]+tblData[[#This Row],[AP Spend]]+tblData[[#This Row],[Cost to Serve]]</f>
        <v>710</v>
      </c>
    </row>
    <row r="683" spans="2:37" x14ac:dyDescent="0.25">
      <c r="B683" s="71" t="s">
        <v>50</v>
      </c>
      <c r="C683" s="71">
        <v>2026</v>
      </c>
      <c r="D683" s="71">
        <v>6</v>
      </c>
      <c r="E683" s="71" t="s">
        <v>44</v>
      </c>
      <c r="F683" s="71" t="s">
        <v>41</v>
      </c>
      <c r="G683" s="72">
        <v>157.80000000000001</v>
      </c>
      <c r="H683" s="73">
        <v>1736</v>
      </c>
      <c r="I683" s="73">
        <v>-278</v>
      </c>
      <c r="J683" s="73">
        <v>-21</v>
      </c>
      <c r="K683" s="73">
        <v>-412</v>
      </c>
      <c r="L683" s="73">
        <v>-103</v>
      </c>
      <c r="M683" s="73">
        <v>-57</v>
      </c>
      <c r="N683" s="73">
        <v>-124</v>
      </c>
      <c r="O683" s="73">
        <v>-67</v>
      </c>
      <c r="P683" s="73">
        <v>-69</v>
      </c>
      <c r="Q683" s="73">
        <v>-52</v>
      </c>
      <c r="R683" s="73">
        <v>0</v>
      </c>
      <c r="S683" s="73">
        <v>0</v>
      </c>
      <c r="T683" s="73">
        <v>0</v>
      </c>
      <c r="U683" s="73">
        <v>0</v>
      </c>
      <c r="V683" s="73">
        <v>0</v>
      </c>
      <c r="W683" s="73">
        <v>0</v>
      </c>
      <c r="X683" s="73">
        <v>0</v>
      </c>
      <c r="Y683" s="73">
        <v>0</v>
      </c>
      <c r="Z683" s="73">
        <v>2306</v>
      </c>
      <c r="AA683" s="73">
        <v>1654</v>
      </c>
      <c r="AB683" s="73">
        <v>0</v>
      </c>
      <c r="AC683" s="73">
        <v>0</v>
      </c>
      <c r="AD683" s="73">
        <v>0</v>
      </c>
      <c r="AE683" s="73">
        <v>0</v>
      </c>
      <c r="AF683" s="74">
        <f>tblData[[#This Row],[Gross Sales]]+tblData[[#This Row],[Trade Discounts]]+tblData[[#This Row],[Returns]]</f>
        <v>1437</v>
      </c>
      <c r="AG683" s="74">
        <f>tblData[[#This Row],[Material Cost]]+tblData[[#This Row],[Conversion Cost]]+tblData[[#This Row],[Inbound Freight]]</f>
        <v>-572</v>
      </c>
      <c r="AH683" s="74">
        <f>tblData[[#This Row],[Net Revenue]]+tblData[[#This Row],[COGS]]</f>
        <v>865</v>
      </c>
      <c r="AI683" s="74">
        <f>tblData[[#This Row],[Advertising]]+tblData[[#This Row],[Promotions]]</f>
        <v>-191</v>
      </c>
      <c r="AJ683" s="74">
        <f>tblData[[#This Row],[Outbound Logistics]]+tblData[[#This Row],[Direct Selling]]</f>
        <v>-121</v>
      </c>
      <c r="AK683" s="74">
        <f>tblData[[#This Row],[Gross Profit]]+tblData[[#This Row],[AP Spend]]+tblData[[#This Row],[Cost to Serve]]</f>
        <v>553</v>
      </c>
    </row>
    <row r="684" spans="2:37" x14ac:dyDescent="0.25">
      <c r="B684" s="71" t="s">
        <v>50</v>
      </c>
      <c r="C684" s="71">
        <v>2026</v>
      </c>
      <c r="D684" s="71">
        <v>6</v>
      </c>
      <c r="E684" s="71" t="s">
        <v>44</v>
      </c>
      <c r="F684" s="71" t="s">
        <v>42</v>
      </c>
      <c r="G684" s="72">
        <v>206.6</v>
      </c>
      <c r="H684" s="73">
        <v>1240</v>
      </c>
      <c r="I684" s="73">
        <v>-198</v>
      </c>
      <c r="J684" s="73">
        <v>-15</v>
      </c>
      <c r="K684" s="73">
        <v>-393</v>
      </c>
      <c r="L684" s="73">
        <v>-98</v>
      </c>
      <c r="M684" s="73">
        <v>-55</v>
      </c>
      <c r="N684" s="73">
        <v>-24</v>
      </c>
      <c r="O684" s="73">
        <v>-13</v>
      </c>
      <c r="P684" s="73">
        <v>-50</v>
      </c>
      <c r="Q684" s="73">
        <v>-37</v>
      </c>
      <c r="R684" s="73">
        <v>0</v>
      </c>
      <c r="S684" s="73">
        <v>0</v>
      </c>
      <c r="T684" s="73">
        <v>0</v>
      </c>
      <c r="U684" s="73">
        <v>0</v>
      </c>
      <c r="V684" s="73">
        <v>0</v>
      </c>
      <c r="W684" s="73">
        <v>0</v>
      </c>
      <c r="X684" s="73">
        <v>0</v>
      </c>
      <c r="Y684" s="73">
        <v>0</v>
      </c>
      <c r="Z684" s="73">
        <v>1647</v>
      </c>
      <c r="AA684" s="73">
        <v>1926</v>
      </c>
      <c r="AB684" s="73">
        <v>0</v>
      </c>
      <c r="AC684" s="73">
        <v>0</v>
      </c>
      <c r="AD684" s="73">
        <v>0</v>
      </c>
      <c r="AE684" s="73">
        <v>0</v>
      </c>
      <c r="AF684" s="74">
        <f>tblData[[#This Row],[Gross Sales]]+tblData[[#This Row],[Trade Discounts]]+tblData[[#This Row],[Returns]]</f>
        <v>1027</v>
      </c>
      <c r="AG684" s="74">
        <f>tblData[[#This Row],[Material Cost]]+tblData[[#This Row],[Conversion Cost]]+tblData[[#This Row],[Inbound Freight]]</f>
        <v>-546</v>
      </c>
      <c r="AH684" s="74">
        <f>tblData[[#This Row],[Net Revenue]]+tblData[[#This Row],[COGS]]</f>
        <v>481</v>
      </c>
      <c r="AI684" s="74">
        <f>tblData[[#This Row],[Advertising]]+tblData[[#This Row],[Promotions]]</f>
        <v>-37</v>
      </c>
      <c r="AJ684" s="74">
        <f>tblData[[#This Row],[Outbound Logistics]]+tblData[[#This Row],[Direct Selling]]</f>
        <v>-87</v>
      </c>
      <c r="AK684" s="74">
        <f>tblData[[#This Row],[Gross Profit]]+tblData[[#This Row],[AP Spend]]+tblData[[#This Row],[Cost to Serve]]</f>
        <v>357</v>
      </c>
    </row>
    <row r="685" spans="2:37" x14ac:dyDescent="0.25">
      <c r="B685" s="71" t="s">
        <v>50</v>
      </c>
      <c r="C685" s="71">
        <v>2026</v>
      </c>
      <c r="D685" s="71">
        <v>6</v>
      </c>
      <c r="E685" s="71" t="s">
        <v>44</v>
      </c>
      <c r="F685" s="71" t="s">
        <v>43</v>
      </c>
      <c r="G685" s="72">
        <v>41.3</v>
      </c>
      <c r="H685" s="73">
        <v>744</v>
      </c>
      <c r="I685" s="73">
        <v>-119</v>
      </c>
      <c r="J685" s="73">
        <v>-9</v>
      </c>
      <c r="K685" s="73">
        <v>-204</v>
      </c>
      <c r="L685" s="73">
        <v>-51</v>
      </c>
      <c r="M685" s="73">
        <v>-28</v>
      </c>
      <c r="N685" s="73">
        <v>-68</v>
      </c>
      <c r="O685" s="73">
        <v>-36</v>
      </c>
      <c r="P685" s="73">
        <v>-30</v>
      </c>
      <c r="Q685" s="73">
        <v>-22</v>
      </c>
      <c r="R685" s="73">
        <v>0</v>
      </c>
      <c r="S685" s="73">
        <v>0</v>
      </c>
      <c r="T685" s="73">
        <v>0</v>
      </c>
      <c r="U685" s="73">
        <v>0</v>
      </c>
      <c r="V685" s="73">
        <v>0</v>
      </c>
      <c r="W685" s="73">
        <v>0</v>
      </c>
      <c r="X685" s="73">
        <v>0</v>
      </c>
      <c r="Y685" s="73">
        <v>0</v>
      </c>
      <c r="Z685" s="73">
        <v>988</v>
      </c>
      <c r="AA685" s="73">
        <v>1089</v>
      </c>
      <c r="AB685" s="73">
        <v>0</v>
      </c>
      <c r="AC685" s="73">
        <v>0</v>
      </c>
      <c r="AD685" s="73">
        <v>0</v>
      </c>
      <c r="AE685" s="73">
        <v>0</v>
      </c>
      <c r="AF685" s="74">
        <f>tblData[[#This Row],[Gross Sales]]+tblData[[#This Row],[Trade Discounts]]+tblData[[#This Row],[Returns]]</f>
        <v>616</v>
      </c>
      <c r="AG685" s="74">
        <f>tblData[[#This Row],[Material Cost]]+tblData[[#This Row],[Conversion Cost]]+tblData[[#This Row],[Inbound Freight]]</f>
        <v>-283</v>
      </c>
      <c r="AH685" s="74">
        <f>tblData[[#This Row],[Net Revenue]]+tblData[[#This Row],[COGS]]</f>
        <v>333</v>
      </c>
      <c r="AI685" s="74">
        <f>tblData[[#This Row],[Advertising]]+tblData[[#This Row],[Promotions]]</f>
        <v>-104</v>
      </c>
      <c r="AJ685" s="74">
        <f>tblData[[#This Row],[Outbound Logistics]]+tblData[[#This Row],[Direct Selling]]</f>
        <v>-52</v>
      </c>
      <c r="AK685" s="74">
        <f>tblData[[#This Row],[Gross Profit]]+tblData[[#This Row],[AP Spend]]+tblData[[#This Row],[Cost to Serve]]</f>
        <v>177</v>
      </c>
    </row>
    <row r="686" spans="2:37" x14ac:dyDescent="0.25">
      <c r="B686" s="71" t="s">
        <v>50</v>
      </c>
      <c r="C686" s="71">
        <v>2026</v>
      </c>
      <c r="D686" s="71">
        <v>6</v>
      </c>
      <c r="E686" s="71" t="s">
        <v>45</v>
      </c>
      <c r="F686" s="71" t="s">
        <v>38</v>
      </c>
      <c r="G686" s="72">
        <v>144.6</v>
      </c>
      <c r="H686" s="73">
        <v>2025</v>
      </c>
      <c r="I686" s="73">
        <v>-446</v>
      </c>
      <c r="J686" s="73">
        <v>-20</v>
      </c>
      <c r="K686" s="73">
        <v>-437</v>
      </c>
      <c r="L686" s="73">
        <v>-109</v>
      </c>
      <c r="M686" s="73">
        <v>-61</v>
      </c>
      <c r="N686" s="73">
        <v>-118</v>
      </c>
      <c r="O686" s="73">
        <v>-64</v>
      </c>
      <c r="P686" s="73">
        <v>-71</v>
      </c>
      <c r="Q686" s="73">
        <v>-41</v>
      </c>
      <c r="R686" s="73">
        <v>0</v>
      </c>
      <c r="S686" s="73">
        <v>0</v>
      </c>
      <c r="T686" s="73">
        <v>0</v>
      </c>
      <c r="U686" s="73">
        <v>0</v>
      </c>
      <c r="V686" s="73">
        <v>0</v>
      </c>
      <c r="W686" s="73">
        <v>0</v>
      </c>
      <c r="X686" s="73">
        <v>0</v>
      </c>
      <c r="Y686" s="73">
        <v>0</v>
      </c>
      <c r="Z686" s="73">
        <v>2252</v>
      </c>
      <c r="AA686" s="73">
        <v>1852</v>
      </c>
      <c r="AB686" s="73">
        <v>0</v>
      </c>
      <c r="AC686" s="73">
        <v>0</v>
      </c>
      <c r="AD686" s="73">
        <v>0</v>
      </c>
      <c r="AE686" s="73">
        <v>0</v>
      </c>
      <c r="AF686" s="74">
        <f>tblData[[#This Row],[Gross Sales]]+tblData[[#This Row],[Trade Discounts]]+tblData[[#This Row],[Returns]]</f>
        <v>1559</v>
      </c>
      <c r="AG686" s="74">
        <f>tblData[[#This Row],[Material Cost]]+tblData[[#This Row],[Conversion Cost]]+tblData[[#This Row],[Inbound Freight]]</f>
        <v>-607</v>
      </c>
      <c r="AH686" s="74">
        <f>tblData[[#This Row],[Net Revenue]]+tblData[[#This Row],[COGS]]</f>
        <v>952</v>
      </c>
      <c r="AI686" s="74">
        <f>tblData[[#This Row],[Advertising]]+tblData[[#This Row],[Promotions]]</f>
        <v>-182</v>
      </c>
      <c r="AJ686" s="74">
        <f>tblData[[#This Row],[Outbound Logistics]]+tblData[[#This Row],[Direct Selling]]</f>
        <v>-112</v>
      </c>
      <c r="AK686" s="74">
        <f>tblData[[#This Row],[Gross Profit]]+tblData[[#This Row],[AP Spend]]+tblData[[#This Row],[Cost to Serve]]</f>
        <v>658</v>
      </c>
    </row>
    <row r="687" spans="2:37" x14ac:dyDescent="0.25">
      <c r="B687" s="71" t="s">
        <v>50</v>
      </c>
      <c r="C687" s="71">
        <v>2026</v>
      </c>
      <c r="D687" s="71">
        <v>6</v>
      </c>
      <c r="E687" s="71" t="s">
        <v>45</v>
      </c>
      <c r="F687" s="71" t="s">
        <v>39</v>
      </c>
      <c r="G687" s="72">
        <v>192.9</v>
      </c>
      <c r="H687" s="73">
        <v>1736</v>
      </c>
      <c r="I687" s="73">
        <v>-382</v>
      </c>
      <c r="J687" s="73">
        <v>-17</v>
      </c>
      <c r="K687" s="73">
        <v>-450</v>
      </c>
      <c r="L687" s="73">
        <v>-112</v>
      </c>
      <c r="M687" s="73">
        <v>-62</v>
      </c>
      <c r="N687" s="73">
        <v>-68</v>
      </c>
      <c r="O687" s="73">
        <v>-36</v>
      </c>
      <c r="P687" s="73">
        <v>-61</v>
      </c>
      <c r="Q687" s="73">
        <v>-35</v>
      </c>
      <c r="R687" s="73">
        <v>0</v>
      </c>
      <c r="S687" s="73">
        <v>0</v>
      </c>
      <c r="T687" s="73">
        <v>0</v>
      </c>
      <c r="U687" s="73">
        <v>0</v>
      </c>
      <c r="V687" s="73">
        <v>0</v>
      </c>
      <c r="W687" s="73">
        <v>0</v>
      </c>
      <c r="X687" s="73">
        <v>0</v>
      </c>
      <c r="Y687" s="73">
        <v>0</v>
      </c>
      <c r="Z687" s="73">
        <v>1930</v>
      </c>
      <c r="AA687" s="73">
        <v>1604</v>
      </c>
      <c r="AB687" s="73">
        <v>0</v>
      </c>
      <c r="AC687" s="73">
        <v>0</v>
      </c>
      <c r="AD687" s="73">
        <v>0</v>
      </c>
      <c r="AE687" s="73">
        <v>0</v>
      </c>
      <c r="AF687" s="74">
        <f>tblData[[#This Row],[Gross Sales]]+tblData[[#This Row],[Trade Discounts]]+tblData[[#This Row],[Returns]]</f>
        <v>1337</v>
      </c>
      <c r="AG687" s="74">
        <f>tblData[[#This Row],[Material Cost]]+tblData[[#This Row],[Conversion Cost]]+tblData[[#This Row],[Inbound Freight]]</f>
        <v>-624</v>
      </c>
      <c r="AH687" s="74">
        <f>tblData[[#This Row],[Net Revenue]]+tblData[[#This Row],[COGS]]</f>
        <v>713</v>
      </c>
      <c r="AI687" s="74">
        <f>tblData[[#This Row],[Advertising]]+tblData[[#This Row],[Promotions]]</f>
        <v>-104</v>
      </c>
      <c r="AJ687" s="74">
        <f>tblData[[#This Row],[Outbound Logistics]]+tblData[[#This Row],[Direct Selling]]</f>
        <v>-96</v>
      </c>
      <c r="AK687" s="74">
        <f>tblData[[#This Row],[Gross Profit]]+tblData[[#This Row],[AP Spend]]+tblData[[#This Row],[Cost to Serve]]</f>
        <v>513</v>
      </c>
    </row>
    <row r="688" spans="2:37" x14ac:dyDescent="0.25">
      <c r="B688" s="71" t="s">
        <v>50</v>
      </c>
      <c r="C688" s="71">
        <v>2026</v>
      </c>
      <c r="D688" s="71">
        <v>6</v>
      </c>
      <c r="E688" s="71" t="s">
        <v>45</v>
      </c>
      <c r="F688" s="71" t="s">
        <v>40</v>
      </c>
      <c r="G688" s="72">
        <v>186</v>
      </c>
      <c r="H688" s="73">
        <v>1302</v>
      </c>
      <c r="I688" s="73">
        <v>-286</v>
      </c>
      <c r="J688" s="73">
        <v>-13</v>
      </c>
      <c r="K688" s="73">
        <v>-375</v>
      </c>
      <c r="L688" s="73">
        <v>-94</v>
      </c>
      <c r="M688" s="73">
        <v>-52</v>
      </c>
      <c r="N688" s="73">
        <v>-34</v>
      </c>
      <c r="O688" s="73">
        <v>-18</v>
      </c>
      <c r="P688" s="73">
        <v>-46</v>
      </c>
      <c r="Q688" s="73">
        <v>-26</v>
      </c>
      <c r="R688" s="73">
        <v>0</v>
      </c>
      <c r="S688" s="73">
        <v>0</v>
      </c>
      <c r="T688" s="73">
        <v>0</v>
      </c>
      <c r="U688" s="73">
        <v>0</v>
      </c>
      <c r="V688" s="73">
        <v>0</v>
      </c>
      <c r="W688" s="73">
        <v>0</v>
      </c>
      <c r="X688" s="73">
        <v>0</v>
      </c>
      <c r="Y688" s="73">
        <v>0</v>
      </c>
      <c r="Z688" s="73">
        <v>1448</v>
      </c>
      <c r="AA688" s="73">
        <v>1253</v>
      </c>
      <c r="AB688" s="73">
        <v>0</v>
      </c>
      <c r="AC688" s="73">
        <v>0</v>
      </c>
      <c r="AD688" s="73">
        <v>0</v>
      </c>
      <c r="AE688" s="73">
        <v>0</v>
      </c>
      <c r="AF688" s="74">
        <f>tblData[[#This Row],[Gross Sales]]+tblData[[#This Row],[Trade Discounts]]+tblData[[#This Row],[Returns]]</f>
        <v>1003</v>
      </c>
      <c r="AG688" s="74">
        <f>tblData[[#This Row],[Material Cost]]+tblData[[#This Row],[Conversion Cost]]+tblData[[#This Row],[Inbound Freight]]</f>
        <v>-521</v>
      </c>
      <c r="AH688" s="74">
        <f>tblData[[#This Row],[Net Revenue]]+tblData[[#This Row],[COGS]]</f>
        <v>482</v>
      </c>
      <c r="AI688" s="74">
        <f>tblData[[#This Row],[Advertising]]+tblData[[#This Row],[Promotions]]</f>
        <v>-52</v>
      </c>
      <c r="AJ688" s="74">
        <f>tblData[[#This Row],[Outbound Logistics]]+tblData[[#This Row],[Direct Selling]]</f>
        <v>-72</v>
      </c>
      <c r="AK688" s="74">
        <f>tblData[[#This Row],[Gross Profit]]+tblData[[#This Row],[AP Spend]]+tblData[[#This Row],[Cost to Serve]]</f>
        <v>358</v>
      </c>
    </row>
    <row r="689" spans="2:37" x14ac:dyDescent="0.25">
      <c r="B689" s="71" t="s">
        <v>50</v>
      </c>
      <c r="C689" s="71">
        <v>2026</v>
      </c>
      <c r="D689" s="71">
        <v>6</v>
      </c>
      <c r="E689" s="71" t="s">
        <v>45</v>
      </c>
      <c r="F689" s="71" t="s">
        <v>41</v>
      </c>
      <c r="G689" s="72">
        <v>92</v>
      </c>
      <c r="H689" s="73">
        <v>1013</v>
      </c>
      <c r="I689" s="73">
        <v>-223</v>
      </c>
      <c r="J689" s="73">
        <v>-10</v>
      </c>
      <c r="K689" s="73">
        <v>-241</v>
      </c>
      <c r="L689" s="73">
        <v>-60</v>
      </c>
      <c r="M689" s="73">
        <v>-33</v>
      </c>
      <c r="N689" s="73">
        <v>-72</v>
      </c>
      <c r="O689" s="73">
        <v>-39</v>
      </c>
      <c r="P689" s="73">
        <v>-35</v>
      </c>
      <c r="Q689" s="73">
        <v>-20</v>
      </c>
      <c r="R689" s="73">
        <v>0</v>
      </c>
      <c r="S689" s="73">
        <v>0</v>
      </c>
      <c r="T689" s="73">
        <v>0</v>
      </c>
      <c r="U689" s="73">
        <v>0</v>
      </c>
      <c r="V689" s="73">
        <v>0</v>
      </c>
      <c r="W689" s="73">
        <v>0</v>
      </c>
      <c r="X689" s="73">
        <v>0</v>
      </c>
      <c r="Y689" s="73">
        <v>0</v>
      </c>
      <c r="Z689" s="73">
        <v>1126</v>
      </c>
      <c r="AA689" s="73">
        <v>965</v>
      </c>
      <c r="AB689" s="73">
        <v>0</v>
      </c>
      <c r="AC689" s="73">
        <v>0</v>
      </c>
      <c r="AD689" s="73">
        <v>0</v>
      </c>
      <c r="AE689" s="73">
        <v>0</v>
      </c>
      <c r="AF689" s="74">
        <f>tblData[[#This Row],[Gross Sales]]+tblData[[#This Row],[Trade Discounts]]+tblData[[#This Row],[Returns]]</f>
        <v>780</v>
      </c>
      <c r="AG689" s="74">
        <f>tblData[[#This Row],[Material Cost]]+tblData[[#This Row],[Conversion Cost]]+tblData[[#This Row],[Inbound Freight]]</f>
        <v>-334</v>
      </c>
      <c r="AH689" s="74">
        <f>tblData[[#This Row],[Net Revenue]]+tblData[[#This Row],[COGS]]</f>
        <v>446</v>
      </c>
      <c r="AI689" s="74">
        <f>tblData[[#This Row],[Advertising]]+tblData[[#This Row],[Promotions]]</f>
        <v>-111</v>
      </c>
      <c r="AJ689" s="74">
        <f>tblData[[#This Row],[Outbound Logistics]]+tblData[[#This Row],[Direct Selling]]</f>
        <v>-55</v>
      </c>
      <c r="AK689" s="74">
        <f>tblData[[#This Row],[Gross Profit]]+tblData[[#This Row],[AP Spend]]+tblData[[#This Row],[Cost to Serve]]</f>
        <v>280</v>
      </c>
    </row>
    <row r="690" spans="2:37" x14ac:dyDescent="0.25">
      <c r="B690" s="71" t="s">
        <v>50</v>
      </c>
      <c r="C690" s="71">
        <v>2026</v>
      </c>
      <c r="D690" s="71">
        <v>6</v>
      </c>
      <c r="E690" s="71" t="s">
        <v>45</v>
      </c>
      <c r="F690" s="71" t="s">
        <v>42</v>
      </c>
      <c r="G690" s="72">
        <v>120.5</v>
      </c>
      <c r="H690" s="73">
        <v>723</v>
      </c>
      <c r="I690" s="73">
        <v>-159</v>
      </c>
      <c r="J690" s="73">
        <v>-7</v>
      </c>
      <c r="K690" s="73">
        <v>-229</v>
      </c>
      <c r="L690" s="73">
        <v>-57</v>
      </c>
      <c r="M690" s="73">
        <v>-32</v>
      </c>
      <c r="N690" s="73">
        <v>-14</v>
      </c>
      <c r="O690" s="73">
        <v>-8</v>
      </c>
      <c r="P690" s="73">
        <v>-25</v>
      </c>
      <c r="Q690" s="73">
        <v>-14</v>
      </c>
      <c r="R690" s="73">
        <v>0</v>
      </c>
      <c r="S690" s="73">
        <v>0</v>
      </c>
      <c r="T690" s="73">
        <v>0</v>
      </c>
      <c r="U690" s="73">
        <v>0</v>
      </c>
      <c r="V690" s="73">
        <v>0</v>
      </c>
      <c r="W690" s="73">
        <v>0</v>
      </c>
      <c r="X690" s="73">
        <v>0</v>
      </c>
      <c r="Y690" s="73">
        <v>0</v>
      </c>
      <c r="Z690" s="73">
        <v>804</v>
      </c>
      <c r="AA690" s="73">
        <v>1123</v>
      </c>
      <c r="AB690" s="73">
        <v>0</v>
      </c>
      <c r="AC690" s="73">
        <v>0</v>
      </c>
      <c r="AD690" s="73">
        <v>0</v>
      </c>
      <c r="AE690" s="73">
        <v>0</v>
      </c>
      <c r="AF690" s="74">
        <f>tblData[[#This Row],[Gross Sales]]+tblData[[#This Row],[Trade Discounts]]+tblData[[#This Row],[Returns]]</f>
        <v>557</v>
      </c>
      <c r="AG690" s="74">
        <f>tblData[[#This Row],[Material Cost]]+tblData[[#This Row],[Conversion Cost]]+tblData[[#This Row],[Inbound Freight]]</f>
        <v>-318</v>
      </c>
      <c r="AH690" s="74">
        <f>tblData[[#This Row],[Net Revenue]]+tblData[[#This Row],[COGS]]</f>
        <v>239</v>
      </c>
      <c r="AI690" s="74">
        <f>tblData[[#This Row],[Advertising]]+tblData[[#This Row],[Promotions]]</f>
        <v>-22</v>
      </c>
      <c r="AJ690" s="74">
        <f>tblData[[#This Row],[Outbound Logistics]]+tblData[[#This Row],[Direct Selling]]</f>
        <v>-39</v>
      </c>
      <c r="AK690" s="74">
        <f>tblData[[#This Row],[Gross Profit]]+tblData[[#This Row],[AP Spend]]+tblData[[#This Row],[Cost to Serve]]</f>
        <v>178</v>
      </c>
    </row>
    <row r="691" spans="2:37" x14ac:dyDescent="0.25">
      <c r="B691" s="71" t="s">
        <v>50</v>
      </c>
      <c r="C691" s="71">
        <v>2026</v>
      </c>
      <c r="D691" s="71">
        <v>6</v>
      </c>
      <c r="E691" s="71" t="s">
        <v>45</v>
      </c>
      <c r="F691" s="71" t="s">
        <v>43</v>
      </c>
      <c r="G691" s="72">
        <v>24.1</v>
      </c>
      <c r="H691" s="73">
        <v>434</v>
      </c>
      <c r="I691" s="73">
        <v>-95</v>
      </c>
      <c r="J691" s="73">
        <v>-4</v>
      </c>
      <c r="K691" s="73">
        <v>-119</v>
      </c>
      <c r="L691" s="73">
        <v>-30</v>
      </c>
      <c r="M691" s="73">
        <v>-16</v>
      </c>
      <c r="N691" s="73">
        <v>-39</v>
      </c>
      <c r="O691" s="73">
        <v>-21</v>
      </c>
      <c r="P691" s="73">
        <v>-15</v>
      </c>
      <c r="Q691" s="73">
        <v>-9</v>
      </c>
      <c r="R691" s="73">
        <v>0</v>
      </c>
      <c r="S691" s="73">
        <v>0</v>
      </c>
      <c r="T691" s="73">
        <v>0</v>
      </c>
      <c r="U691" s="73">
        <v>0</v>
      </c>
      <c r="V691" s="73">
        <v>0</v>
      </c>
      <c r="W691" s="73">
        <v>0</v>
      </c>
      <c r="X691" s="73">
        <v>0</v>
      </c>
      <c r="Y691" s="73">
        <v>0</v>
      </c>
      <c r="Z691" s="73">
        <v>483</v>
      </c>
      <c r="AA691" s="73">
        <v>635</v>
      </c>
      <c r="AB691" s="73">
        <v>0</v>
      </c>
      <c r="AC691" s="73">
        <v>0</v>
      </c>
      <c r="AD691" s="73">
        <v>0</v>
      </c>
      <c r="AE691" s="73">
        <v>0</v>
      </c>
      <c r="AF691" s="74">
        <f>tblData[[#This Row],[Gross Sales]]+tblData[[#This Row],[Trade Discounts]]+tblData[[#This Row],[Returns]]</f>
        <v>335</v>
      </c>
      <c r="AG691" s="74">
        <f>tblData[[#This Row],[Material Cost]]+tblData[[#This Row],[Conversion Cost]]+tblData[[#This Row],[Inbound Freight]]</f>
        <v>-165</v>
      </c>
      <c r="AH691" s="74">
        <f>tblData[[#This Row],[Net Revenue]]+tblData[[#This Row],[COGS]]</f>
        <v>170</v>
      </c>
      <c r="AI691" s="74">
        <f>tblData[[#This Row],[Advertising]]+tblData[[#This Row],[Promotions]]</f>
        <v>-60</v>
      </c>
      <c r="AJ691" s="74">
        <f>tblData[[#This Row],[Outbound Logistics]]+tblData[[#This Row],[Direct Selling]]</f>
        <v>-24</v>
      </c>
      <c r="AK691" s="74">
        <f>tblData[[#This Row],[Gross Profit]]+tblData[[#This Row],[AP Spend]]+tblData[[#This Row],[Cost to Serve]]</f>
        <v>86</v>
      </c>
    </row>
    <row r="692" spans="2:37" x14ac:dyDescent="0.25">
      <c r="B692" s="71" t="s">
        <v>50</v>
      </c>
      <c r="C692" s="71">
        <v>2026</v>
      </c>
      <c r="D692" s="71">
        <v>6</v>
      </c>
      <c r="E692" s="71" t="s">
        <v>46</v>
      </c>
      <c r="F692" s="71" t="s">
        <v>38</v>
      </c>
      <c r="G692" s="72">
        <v>165.3</v>
      </c>
      <c r="H692" s="73">
        <v>2314</v>
      </c>
      <c r="I692" s="73">
        <v>-255</v>
      </c>
      <c r="J692" s="73">
        <v>-93</v>
      </c>
      <c r="K692" s="73">
        <v>-500</v>
      </c>
      <c r="L692" s="73">
        <v>-125</v>
      </c>
      <c r="M692" s="73">
        <v>-69</v>
      </c>
      <c r="N692" s="73">
        <v>-135</v>
      </c>
      <c r="O692" s="73">
        <v>-73</v>
      </c>
      <c r="P692" s="73">
        <v>-174</v>
      </c>
      <c r="Q692" s="73">
        <v>-46</v>
      </c>
      <c r="R692" s="73">
        <v>0</v>
      </c>
      <c r="S692" s="73">
        <v>0</v>
      </c>
      <c r="T692" s="73">
        <v>0</v>
      </c>
      <c r="U692" s="73">
        <v>0</v>
      </c>
      <c r="V692" s="73">
        <v>0</v>
      </c>
      <c r="W692" s="73">
        <v>0</v>
      </c>
      <c r="X692" s="73">
        <v>0</v>
      </c>
      <c r="Y692" s="73">
        <v>0</v>
      </c>
      <c r="Z692" s="73">
        <v>1578</v>
      </c>
      <c r="AA692" s="73">
        <v>2117</v>
      </c>
      <c r="AB692" s="73">
        <v>0</v>
      </c>
      <c r="AC692" s="73">
        <v>0</v>
      </c>
      <c r="AD692" s="73">
        <v>0</v>
      </c>
      <c r="AE692" s="73">
        <v>0</v>
      </c>
      <c r="AF692" s="74">
        <f>tblData[[#This Row],[Gross Sales]]+tblData[[#This Row],[Trade Discounts]]+tblData[[#This Row],[Returns]]</f>
        <v>1966</v>
      </c>
      <c r="AG692" s="74">
        <f>tblData[[#This Row],[Material Cost]]+tblData[[#This Row],[Conversion Cost]]+tblData[[#This Row],[Inbound Freight]]</f>
        <v>-694</v>
      </c>
      <c r="AH692" s="74">
        <f>tblData[[#This Row],[Net Revenue]]+tblData[[#This Row],[COGS]]</f>
        <v>1272</v>
      </c>
      <c r="AI692" s="74">
        <f>tblData[[#This Row],[Advertising]]+tblData[[#This Row],[Promotions]]</f>
        <v>-208</v>
      </c>
      <c r="AJ692" s="74">
        <f>tblData[[#This Row],[Outbound Logistics]]+tblData[[#This Row],[Direct Selling]]</f>
        <v>-220</v>
      </c>
      <c r="AK692" s="74">
        <f>tblData[[#This Row],[Gross Profit]]+tblData[[#This Row],[AP Spend]]+tblData[[#This Row],[Cost to Serve]]</f>
        <v>844</v>
      </c>
    </row>
    <row r="693" spans="2:37" x14ac:dyDescent="0.25">
      <c r="B693" s="71" t="s">
        <v>50</v>
      </c>
      <c r="C693" s="71">
        <v>2026</v>
      </c>
      <c r="D693" s="71">
        <v>6</v>
      </c>
      <c r="E693" s="71" t="s">
        <v>46</v>
      </c>
      <c r="F693" s="71" t="s">
        <v>39</v>
      </c>
      <c r="G693" s="72">
        <v>220.4</v>
      </c>
      <c r="H693" s="73">
        <v>1984</v>
      </c>
      <c r="I693" s="73">
        <v>-218</v>
      </c>
      <c r="J693" s="73">
        <v>-79</v>
      </c>
      <c r="K693" s="73">
        <v>-514</v>
      </c>
      <c r="L693" s="73">
        <v>-129</v>
      </c>
      <c r="M693" s="73">
        <v>-71</v>
      </c>
      <c r="N693" s="73">
        <v>-77</v>
      </c>
      <c r="O693" s="73">
        <v>-42</v>
      </c>
      <c r="P693" s="73">
        <v>-149</v>
      </c>
      <c r="Q693" s="73">
        <v>-40</v>
      </c>
      <c r="R693" s="73">
        <v>0</v>
      </c>
      <c r="S693" s="73">
        <v>0</v>
      </c>
      <c r="T693" s="73">
        <v>0</v>
      </c>
      <c r="U693" s="73">
        <v>0</v>
      </c>
      <c r="V693" s="73">
        <v>0</v>
      </c>
      <c r="W693" s="73">
        <v>0</v>
      </c>
      <c r="X693" s="73">
        <v>0</v>
      </c>
      <c r="Y693" s="73">
        <v>0</v>
      </c>
      <c r="Z693" s="73">
        <v>1353</v>
      </c>
      <c r="AA693" s="73">
        <v>1833</v>
      </c>
      <c r="AB693" s="73">
        <v>0</v>
      </c>
      <c r="AC693" s="73">
        <v>0</v>
      </c>
      <c r="AD693" s="73">
        <v>0</v>
      </c>
      <c r="AE693" s="73">
        <v>0</v>
      </c>
      <c r="AF693" s="74">
        <f>tblData[[#This Row],[Gross Sales]]+tblData[[#This Row],[Trade Discounts]]+tblData[[#This Row],[Returns]]</f>
        <v>1687</v>
      </c>
      <c r="AG693" s="74">
        <f>tblData[[#This Row],[Material Cost]]+tblData[[#This Row],[Conversion Cost]]+tblData[[#This Row],[Inbound Freight]]</f>
        <v>-714</v>
      </c>
      <c r="AH693" s="74">
        <f>tblData[[#This Row],[Net Revenue]]+tblData[[#This Row],[COGS]]</f>
        <v>973</v>
      </c>
      <c r="AI693" s="74">
        <f>tblData[[#This Row],[Advertising]]+tblData[[#This Row],[Promotions]]</f>
        <v>-119</v>
      </c>
      <c r="AJ693" s="74">
        <f>tblData[[#This Row],[Outbound Logistics]]+tblData[[#This Row],[Direct Selling]]</f>
        <v>-189</v>
      </c>
      <c r="AK693" s="74">
        <f>tblData[[#This Row],[Gross Profit]]+tblData[[#This Row],[AP Spend]]+tblData[[#This Row],[Cost to Serve]]</f>
        <v>665</v>
      </c>
    </row>
    <row r="694" spans="2:37" x14ac:dyDescent="0.25">
      <c r="B694" s="71" t="s">
        <v>50</v>
      </c>
      <c r="C694" s="71">
        <v>2026</v>
      </c>
      <c r="D694" s="71">
        <v>6</v>
      </c>
      <c r="E694" s="71" t="s">
        <v>46</v>
      </c>
      <c r="F694" s="71" t="s">
        <v>40</v>
      </c>
      <c r="G694" s="72">
        <v>212.5</v>
      </c>
      <c r="H694" s="73">
        <v>1488</v>
      </c>
      <c r="I694" s="73">
        <v>-164</v>
      </c>
      <c r="J694" s="73">
        <v>-60</v>
      </c>
      <c r="K694" s="73">
        <v>-428</v>
      </c>
      <c r="L694" s="73">
        <v>-107</v>
      </c>
      <c r="M694" s="73">
        <v>-60</v>
      </c>
      <c r="N694" s="73">
        <v>-39</v>
      </c>
      <c r="O694" s="73">
        <v>-21</v>
      </c>
      <c r="P694" s="73">
        <v>-112</v>
      </c>
      <c r="Q694" s="73">
        <v>-30</v>
      </c>
      <c r="R694" s="73">
        <v>0</v>
      </c>
      <c r="S694" s="73">
        <v>0</v>
      </c>
      <c r="T694" s="73">
        <v>0</v>
      </c>
      <c r="U694" s="73">
        <v>0</v>
      </c>
      <c r="V694" s="73">
        <v>0</v>
      </c>
      <c r="W694" s="73">
        <v>0</v>
      </c>
      <c r="X694" s="73">
        <v>0</v>
      </c>
      <c r="Y694" s="73">
        <v>0</v>
      </c>
      <c r="Z694" s="73">
        <v>1015</v>
      </c>
      <c r="AA694" s="73">
        <v>1432</v>
      </c>
      <c r="AB694" s="73">
        <v>0</v>
      </c>
      <c r="AC694" s="73">
        <v>0</v>
      </c>
      <c r="AD694" s="73">
        <v>0</v>
      </c>
      <c r="AE694" s="73">
        <v>0</v>
      </c>
      <c r="AF694" s="74">
        <f>tblData[[#This Row],[Gross Sales]]+tblData[[#This Row],[Trade Discounts]]+tblData[[#This Row],[Returns]]</f>
        <v>1264</v>
      </c>
      <c r="AG694" s="74">
        <f>tblData[[#This Row],[Material Cost]]+tblData[[#This Row],[Conversion Cost]]+tblData[[#This Row],[Inbound Freight]]</f>
        <v>-595</v>
      </c>
      <c r="AH694" s="74">
        <f>tblData[[#This Row],[Net Revenue]]+tblData[[#This Row],[COGS]]</f>
        <v>669</v>
      </c>
      <c r="AI694" s="74">
        <f>tblData[[#This Row],[Advertising]]+tblData[[#This Row],[Promotions]]</f>
        <v>-60</v>
      </c>
      <c r="AJ694" s="74">
        <f>tblData[[#This Row],[Outbound Logistics]]+tblData[[#This Row],[Direct Selling]]</f>
        <v>-142</v>
      </c>
      <c r="AK694" s="74">
        <f>tblData[[#This Row],[Gross Profit]]+tblData[[#This Row],[AP Spend]]+tblData[[#This Row],[Cost to Serve]]</f>
        <v>467</v>
      </c>
    </row>
    <row r="695" spans="2:37" x14ac:dyDescent="0.25">
      <c r="B695" s="71" t="s">
        <v>50</v>
      </c>
      <c r="C695" s="71">
        <v>2026</v>
      </c>
      <c r="D695" s="71">
        <v>6</v>
      </c>
      <c r="E695" s="71" t="s">
        <v>46</v>
      </c>
      <c r="F695" s="71" t="s">
        <v>41</v>
      </c>
      <c r="G695" s="72">
        <v>105.2</v>
      </c>
      <c r="H695" s="73">
        <v>1157</v>
      </c>
      <c r="I695" s="73">
        <v>-127</v>
      </c>
      <c r="J695" s="73">
        <v>-46</v>
      </c>
      <c r="K695" s="73">
        <v>-275</v>
      </c>
      <c r="L695" s="73">
        <v>-69</v>
      </c>
      <c r="M695" s="73">
        <v>-38</v>
      </c>
      <c r="N695" s="73">
        <v>-83</v>
      </c>
      <c r="O695" s="73">
        <v>-45</v>
      </c>
      <c r="P695" s="73">
        <v>-87</v>
      </c>
      <c r="Q695" s="73">
        <v>-23</v>
      </c>
      <c r="R695" s="73">
        <v>0</v>
      </c>
      <c r="S695" s="73">
        <v>0</v>
      </c>
      <c r="T695" s="73">
        <v>0</v>
      </c>
      <c r="U695" s="73">
        <v>0</v>
      </c>
      <c r="V695" s="73">
        <v>0</v>
      </c>
      <c r="W695" s="73">
        <v>0</v>
      </c>
      <c r="X695" s="73">
        <v>0</v>
      </c>
      <c r="Y695" s="73">
        <v>0</v>
      </c>
      <c r="Z695" s="73">
        <v>789</v>
      </c>
      <c r="AA695" s="73">
        <v>1103</v>
      </c>
      <c r="AB695" s="73">
        <v>0</v>
      </c>
      <c r="AC695" s="73">
        <v>0</v>
      </c>
      <c r="AD695" s="73">
        <v>0</v>
      </c>
      <c r="AE695" s="73">
        <v>0</v>
      </c>
      <c r="AF695" s="74">
        <f>tblData[[#This Row],[Gross Sales]]+tblData[[#This Row],[Trade Discounts]]+tblData[[#This Row],[Returns]]</f>
        <v>984</v>
      </c>
      <c r="AG695" s="74">
        <f>tblData[[#This Row],[Material Cost]]+tblData[[#This Row],[Conversion Cost]]+tblData[[#This Row],[Inbound Freight]]</f>
        <v>-382</v>
      </c>
      <c r="AH695" s="74">
        <f>tblData[[#This Row],[Net Revenue]]+tblData[[#This Row],[COGS]]</f>
        <v>602</v>
      </c>
      <c r="AI695" s="74">
        <f>tblData[[#This Row],[Advertising]]+tblData[[#This Row],[Promotions]]</f>
        <v>-128</v>
      </c>
      <c r="AJ695" s="74">
        <f>tblData[[#This Row],[Outbound Logistics]]+tblData[[#This Row],[Direct Selling]]</f>
        <v>-110</v>
      </c>
      <c r="AK695" s="74">
        <f>tblData[[#This Row],[Gross Profit]]+tblData[[#This Row],[AP Spend]]+tblData[[#This Row],[Cost to Serve]]</f>
        <v>364</v>
      </c>
    </row>
    <row r="696" spans="2:37" x14ac:dyDescent="0.25">
      <c r="B696" s="71" t="s">
        <v>50</v>
      </c>
      <c r="C696" s="71">
        <v>2026</v>
      </c>
      <c r="D696" s="71">
        <v>6</v>
      </c>
      <c r="E696" s="71" t="s">
        <v>46</v>
      </c>
      <c r="F696" s="71" t="s">
        <v>42</v>
      </c>
      <c r="G696" s="72">
        <v>137.80000000000001</v>
      </c>
      <c r="H696" s="73">
        <v>827</v>
      </c>
      <c r="I696" s="73">
        <v>-91</v>
      </c>
      <c r="J696" s="73">
        <v>-33</v>
      </c>
      <c r="K696" s="73">
        <v>-262</v>
      </c>
      <c r="L696" s="73">
        <v>-65</v>
      </c>
      <c r="M696" s="73">
        <v>-36</v>
      </c>
      <c r="N696" s="73">
        <v>-16</v>
      </c>
      <c r="O696" s="73">
        <v>-9</v>
      </c>
      <c r="P696" s="73">
        <v>-62</v>
      </c>
      <c r="Q696" s="73">
        <v>-17</v>
      </c>
      <c r="R696" s="73">
        <v>0</v>
      </c>
      <c r="S696" s="73">
        <v>0</v>
      </c>
      <c r="T696" s="73">
        <v>0</v>
      </c>
      <c r="U696" s="73">
        <v>0</v>
      </c>
      <c r="V696" s="73">
        <v>0</v>
      </c>
      <c r="W696" s="73">
        <v>0</v>
      </c>
      <c r="X696" s="73">
        <v>0</v>
      </c>
      <c r="Y696" s="73">
        <v>0</v>
      </c>
      <c r="Z696" s="73">
        <v>564</v>
      </c>
      <c r="AA696" s="73">
        <v>1284</v>
      </c>
      <c r="AB696" s="73">
        <v>0</v>
      </c>
      <c r="AC696" s="73">
        <v>0</v>
      </c>
      <c r="AD696" s="73">
        <v>0</v>
      </c>
      <c r="AE696" s="73">
        <v>0</v>
      </c>
      <c r="AF696" s="74">
        <f>tblData[[#This Row],[Gross Sales]]+tblData[[#This Row],[Trade Discounts]]+tblData[[#This Row],[Returns]]</f>
        <v>703</v>
      </c>
      <c r="AG696" s="74">
        <f>tblData[[#This Row],[Material Cost]]+tblData[[#This Row],[Conversion Cost]]+tblData[[#This Row],[Inbound Freight]]</f>
        <v>-363</v>
      </c>
      <c r="AH696" s="74">
        <f>tblData[[#This Row],[Net Revenue]]+tblData[[#This Row],[COGS]]</f>
        <v>340</v>
      </c>
      <c r="AI696" s="74">
        <f>tblData[[#This Row],[Advertising]]+tblData[[#This Row],[Promotions]]</f>
        <v>-25</v>
      </c>
      <c r="AJ696" s="74">
        <f>tblData[[#This Row],[Outbound Logistics]]+tblData[[#This Row],[Direct Selling]]</f>
        <v>-79</v>
      </c>
      <c r="AK696" s="74">
        <f>tblData[[#This Row],[Gross Profit]]+tblData[[#This Row],[AP Spend]]+tblData[[#This Row],[Cost to Serve]]</f>
        <v>236</v>
      </c>
    </row>
    <row r="697" spans="2:37" x14ac:dyDescent="0.25">
      <c r="B697" s="71" t="s">
        <v>50</v>
      </c>
      <c r="C697" s="71">
        <v>2026</v>
      </c>
      <c r="D697" s="71">
        <v>6</v>
      </c>
      <c r="E697" s="71" t="s">
        <v>46</v>
      </c>
      <c r="F697" s="71" t="s">
        <v>43</v>
      </c>
      <c r="G697" s="72">
        <v>27.6</v>
      </c>
      <c r="H697" s="73">
        <v>496</v>
      </c>
      <c r="I697" s="73">
        <v>-55</v>
      </c>
      <c r="J697" s="73">
        <v>-20</v>
      </c>
      <c r="K697" s="73">
        <v>-136</v>
      </c>
      <c r="L697" s="73">
        <v>-34</v>
      </c>
      <c r="M697" s="73">
        <v>-19</v>
      </c>
      <c r="N697" s="73">
        <v>-45</v>
      </c>
      <c r="O697" s="73">
        <v>-24</v>
      </c>
      <c r="P697" s="73">
        <v>-37</v>
      </c>
      <c r="Q697" s="73">
        <v>-10</v>
      </c>
      <c r="R697" s="73">
        <v>0</v>
      </c>
      <c r="S697" s="73">
        <v>0</v>
      </c>
      <c r="T697" s="73">
        <v>0</v>
      </c>
      <c r="U697" s="73">
        <v>0</v>
      </c>
      <c r="V697" s="73">
        <v>0</v>
      </c>
      <c r="W697" s="73">
        <v>0</v>
      </c>
      <c r="X697" s="73">
        <v>0</v>
      </c>
      <c r="Y697" s="73">
        <v>0</v>
      </c>
      <c r="Z697" s="73">
        <v>338</v>
      </c>
      <c r="AA697" s="73">
        <v>726</v>
      </c>
      <c r="AB697" s="73">
        <v>0</v>
      </c>
      <c r="AC697" s="73">
        <v>0</v>
      </c>
      <c r="AD697" s="73">
        <v>0</v>
      </c>
      <c r="AE697" s="73">
        <v>0</v>
      </c>
      <c r="AF697" s="74">
        <f>tblData[[#This Row],[Gross Sales]]+tblData[[#This Row],[Trade Discounts]]+tblData[[#This Row],[Returns]]</f>
        <v>421</v>
      </c>
      <c r="AG697" s="74">
        <f>tblData[[#This Row],[Material Cost]]+tblData[[#This Row],[Conversion Cost]]+tblData[[#This Row],[Inbound Freight]]</f>
        <v>-189</v>
      </c>
      <c r="AH697" s="74">
        <f>tblData[[#This Row],[Net Revenue]]+tblData[[#This Row],[COGS]]</f>
        <v>232</v>
      </c>
      <c r="AI697" s="74">
        <f>tblData[[#This Row],[Advertising]]+tblData[[#This Row],[Promotions]]</f>
        <v>-69</v>
      </c>
      <c r="AJ697" s="74">
        <f>tblData[[#This Row],[Outbound Logistics]]+tblData[[#This Row],[Direct Selling]]</f>
        <v>-47</v>
      </c>
      <c r="AK697" s="74">
        <f>tblData[[#This Row],[Gross Profit]]+tblData[[#This Row],[AP Spend]]+tblData[[#This Row],[Cost to Serve]]</f>
        <v>116</v>
      </c>
    </row>
    <row r="698" spans="2:37" x14ac:dyDescent="0.25">
      <c r="B698" s="71" t="s">
        <v>50</v>
      </c>
      <c r="C698" s="71">
        <v>2026</v>
      </c>
      <c r="D698" s="71">
        <v>6</v>
      </c>
      <c r="E698" s="71" t="s">
        <v>47</v>
      </c>
      <c r="F698" s="71" t="s">
        <v>38</v>
      </c>
      <c r="G698" s="72">
        <v>62</v>
      </c>
      <c r="H698" s="73">
        <v>868</v>
      </c>
      <c r="I698" s="73">
        <v>-26</v>
      </c>
      <c r="J698" s="73">
        <v>-43</v>
      </c>
      <c r="K698" s="73">
        <v>-187</v>
      </c>
      <c r="L698" s="73">
        <v>-47</v>
      </c>
      <c r="M698" s="73">
        <v>-26</v>
      </c>
      <c r="N698" s="73">
        <v>-51</v>
      </c>
      <c r="O698" s="73">
        <v>-27</v>
      </c>
      <c r="P698" s="73">
        <v>-104</v>
      </c>
      <c r="Q698" s="73">
        <v>-35</v>
      </c>
      <c r="R698" s="73">
        <v>0</v>
      </c>
      <c r="S698" s="73">
        <v>0</v>
      </c>
      <c r="T698" s="73">
        <v>0</v>
      </c>
      <c r="U698" s="73">
        <v>0</v>
      </c>
      <c r="V698" s="73">
        <v>0</v>
      </c>
      <c r="W698" s="73">
        <v>0</v>
      </c>
      <c r="X698" s="73">
        <v>0</v>
      </c>
      <c r="Y698" s="73">
        <v>0</v>
      </c>
      <c r="Z698" s="73">
        <v>77</v>
      </c>
      <c r="AA698" s="73">
        <v>794</v>
      </c>
      <c r="AB698" s="73">
        <v>0</v>
      </c>
      <c r="AC698" s="73">
        <v>0</v>
      </c>
      <c r="AD698" s="73">
        <v>0</v>
      </c>
      <c r="AE698" s="73">
        <v>0</v>
      </c>
      <c r="AF698" s="74">
        <f>tblData[[#This Row],[Gross Sales]]+tblData[[#This Row],[Trade Discounts]]+tblData[[#This Row],[Returns]]</f>
        <v>799</v>
      </c>
      <c r="AG698" s="74">
        <f>tblData[[#This Row],[Material Cost]]+tblData[[#This Row],[Conversion Cost]]+tblData[[#This Row],[Inbound Freight]]</f>
        <v>-260</v>
      </c>
      <c r="AH698" s="74">
        <f>tblData[[#This Row],[Net Revenue]]+tblData[[#This Row],[COGS]]</f>
        <v>539</v>
      </c>
      <c r="AI698" s="74">
        <f>tblData[[#This Row],[Advertising]]+tblData[[#This Row],[Promotions]]</f>
        <v>-78</v>
      </c>
      <c r="AJ698" s="74">
        <f>tblData[[#This Row],[Outbound Logistics]]+tblData[[#This Row],[Direct Selling]]</f>
        <v>-139</v>
      </c>
      <c r="AK698" s="74">
        <f>tblData[[#This Row],[Gross Profit]]+tblData[[#This Row],[AP Spend]]+tblData[[#This Row],[Cost to Serve]]</f>
        <v>322</v>
      </c>
    </row>
    <row r="699" spans="2:37" x14ac:dyDescent="0.25">
      <c r="B699" s="71" t="s">
        <v>50</v>
      </c>
      <c r="C699" s="71">
        <v>2026</v>
      </c>
      <c r="D699" s="71">
        <v>6</v>
      </c>
      <c r="E699" s="71" t="s">
        <v>47</v>
      </c>
      <c r="F699" s="71" t="s">
        <v>39</v>
      </c>
      <c r="G699" s="72">
        <v>82.7</v>
      </c>
      <c r="H699" s="73">
        <v>744</v>
      </c>
      <c r="I699" s="73">
        <v>-22</v>
      </c>
      <c r="J699" s="73">
        <v>-37</v>
      </c>
      <c r="K699" s="73">
        <v>-193</v>
      </c>
      <c r="L699" s="73">
        <v>-48</v>
      </c>
      <c r="M699" s="73">
        <v>-27</v>
      </c>
      <c r="N699" s="73">
        <v>-29</v>
      </c>
      <c r="O699" s="73">
        <v>-16</v>
      </c>
      <c r="P699" s="73">
        <v>-89</v>
      </c>
      <c r="Q699" s="73">
        <v>-30</v>
      </c>
      <c r="R699" s="73">
        <v>0</v>
      </c>
      <c r="S699" s="73">
        <v>0</v>
      </c>
      <c r="T699" s="73">
        <v>0</v>
      </c>
      <c r="U699" s="73">
        <v>0</v>
      </c>
      <c r="V699" s="73">
        <v>0</v>
      </c>
      <c r="W699" s="73">
        <v>0</v>
      </c>
      <c r="X699" s="73">
        <v>0</v>
      </c>
      <c r="Y699" s="73">
        <v>0</v>
      </c>
      <c r="Z699" s="73">
        <v>66</v>
      </c>
      <c r="AA699" s="73">
        <v>688</v>
      </c>
      <c r="AB699" s="73">
        <v>0</v>
      </c>
      <c r="AC699" s="73">
        <v>0</v>
      </c>
      <c r="AD699" s="73">
        <v>0</v>
      </c>
      <c r="AE699" s="73">
        <v>0</v>
      </c>
      <c r="AF699" s="74">
        <f>tblData[[#This Row],[Gross Sales]]+tblData[[#This Row],[Trade Discounts]]+tblData[[#This Row],[Returns]]</f>
        <v>685</v>
      </c>
      <c r="AG699" s="74">
        <f>tblData[[#This Row],[Material Cost]]+tblData[[#This Row],[Conversion Cost]]+tblData[[#This Row],[Inbound Freight]]</f>
        <v>-268</v>
      </c>
      <c r="AH699" s="74">
        <f>tblData[[#This Row],[Net Revenue]]+tblData[[#This Row],[COGS]]</f>
        <v>417</v>
      </c>
      <c r="AI699" s="74">
        <f>tblData[[#This Row],[Advertising]]+tblData[[#This Row],[Promotions]]</f>
        <v>-45</v>
      </c>
      <c r="AJ699" s="74">
        <f>tblData[[#This Row],[Outbound Logistics]]+tblData[[#This Row],[Direct Selling]]</f>
        <v>-119</v>
      </c>
      <c r="AK699" s="74">
        <f>tblData[[#This Row],[Gross Profit]]+tblData[[#This Row],[AP Spend]]+tblData[[#This Row],[Cost to Serve]]</f>
        <v>253</v>
      </c>
    </row>
    <row r="700" spans="2:37" x14ac:dyDescent="0.25">
      <c r="B700" s="71" t="s">
        <v>50</v>
      </c>
      <c r="C700" s="71">
        <v>2026</v>
      </c>
      <c r="D700" s="71">
        <v>6</v>
      </c>
      <c r="E700" s="71" t="s">
        <v>47</v>
      </c>
      <c r="F700" s="71" t="s">
        <v>40</v>
      </c>
      <c r="G700" s="72">
        <v>79.7</v>
      </c>
      <c r="H700" s="73">
        <v>558</v>
      </c>
      <c r="I700" s="73">
        <v>-17</v>
      </c>
      <c r="J700" s="73">
        <v>-28</v>
      </c>
      <c r="K700" s="73">
        <v>-161</v>
      </c>
      <c r="L700" s="73">
        <v>-40</v>
      </c>
      <c r="M700" s="73">
        <v>-22</v>
      </c>
      <c r="N700" s="73">
        <v>-15</v>
      </c>
      <c r="O700" s="73">
        <v>-8</v>
      </c>
      <c r="P700" s="73">
        <v>-67</v>
      </c>
      <c r="Q700" s="73">
        <v>-22</v>
      </c>
      <c r="R700" s="73">
        <v>0</v>
      </c>
      <c r="S700" s="73">
        <v>0</v>
      </c>
      <c r="T700" s="73">
        <v>0</v>
      </c>
      <c r="U700" s="73">
        <v>0</v>
      </c>
      <c r="V700" s="73">
        <v>0</v>
      </c>
      <c r="W700" s="73">
        <v>0</v>
      </c>
      <c r="X700" s="73">
        <v>0</v>
      </c>
      <c r="Y700" s="73">
        <v>0</v>
      </c>
      <c r="Z700" s="73">
        <v>49</v>
      </c>
      <c r="AA700" s="73">
        <v>537</v>
      </c>
      <c r="AB700" s="73">
        <v>0</v>
      </c>
      <c r="AC700" s="73">
        <v>0</v>
      </c>
      <c r="AD700" s="73">
        <v>0</v>
      </c>
      <c r="AE700" s="73">
        <v>0</v>
      </c>
      <c r="AF700" s="74">
        <f>tblData[[#This Row],[Gross Sales]]+tblData[[#This Row],[Trade Discounts]]+tblData[[#This Row],[Returns]]</f>
        <v>513</v>
      </c>
      <c r="AG700" s="74">
        <f>tblData[[#This Row],[Material Cost]]+tblData[[#This Row],[Conversion Cost]]+tblData[[#This Row],[Inbound Freight]]</f>
        <v>-223</v>
      </c>
      <c r="AH700" s="74">
        <f>tblData[[#This Row],[Net Revenue]]+tblData[[#This Row],[COGS]]</f>
        <v>290</v>
      </c>
      <c r="AI700" s="74">
        <f>tblData[[#This Row],[Advertising]]+tblData[[#This Row],[Promotions]]</f>
        <v>-23</v>
      </c>
      <c r="AJ700" s="74">
        <f>tblData[[#This Row],[Outbound Logistics]]+tblData[[#This Row],[Direct Selling]]</f>
        <v>-89</v>
      </c>
      <c r="AK700" s="74">
        <f>tblData[[#This Row],[Gross Profit]]+tblData[[#This Row],[AP Spend]]+tblData[[#This Row],[Cost to Serve]]</f>
        <v>178</v>
      </c>
    </row>
    <row r="701" spans="2:37" x14ac:dyDescent="0.25">
      <c r="B701" s="71" t="s">
        <v>50</v>
      </c>
      <c r="C701" s="71">
        <v>2026</v>
      </c>
      <c r="D701" s="71">
        <v>6</v>
      </c>
      <c r="E701" s="71" t="s">
        <v>47</v>
      </c>
      <c r="F701" s="71" t="s">
        <v>41</v>
      </c>
      <c r="G701" s="72">
        <v>39.4</v>
      </c>
      <c r="H701" s="73">
        <v>434</v>
      </c>
      <c r="I701" s="73">
        <v>-13</v>
      </c>
      <c r="J701" s="73">
        <v>-22</v>
      </c>
      <c r="K701" s="73">
        <v>-103</v>
      </c>
      <c r="L701" s="73">
        <v>-26</v>
      </c>
      <c r="M701" s="73">
        <v>-14</v>
      </c>
      <c r="N701" s="73">
        <v>-31</v>
      </c>
      <c r="O701" s="73">
        <v>-17</v>
      </c>
      <c r="P701" s="73">
        <v>-52</v>
      </c>
      <c r="Q701" s="73">
        <v>-17</v>
      </c>
      <c r="R701" s="73">
        <v>0</v>
      </c>
      <c r="S701" s="73">
        <v>0</v>
      </c>
      <c r="T701" s="73">
        <v>0</v>
      </c>
      <c r="U701" s="73">
        <v>0</v>
      </c>
      <c r="V701" s="73">
        <v>0</v>
      </c>
      <c r="W701" s="73">
        <v>0</v>
      </c>
      <c r="X701" s="73">
        <v>0</v>
      </c>
      <c r="Y701" s="73">
        <v>0</v>
      </c>
      <c r="Z701" s="73">
        <v>38</v>
      </c>
      <c r="AA701" s="73">
        <v>414</v>
      </c>
      <c r="AB701" s="73">
        <v>0</v>
      </c>
      <c r="AC701" s="73">
        <v>0</v>
      </c>
      <c r="AD701" s="73">
        <v>0</v>
      </c>
      <c r="AE701" s="73">
        <v>0</v>
      </c>
      <c r="AF701" s="74">
        <f>tblData[[#This Row],[Gross Sales]]+tblData[[#This Row],[Trade Discounts]]+tblData[[#This Row],[Returns]]</f>
        <v>399</v>
      </c>
      <c r="AG701" s="74">
        <f>tblData[[#This Row],[Material Cost]]+tblData[[#This Row],[Conversion Cost]]+tblData[[#This Row],[Inbound Freight]]</f>
        <v>-143</v>
      </c>
      <c r="AH701" s="74">
        <f>tblData[[#This Row],[Net Revenue]]+tblData[[#This Row],[COGS]]</f>
        <v>256</v>
      </c>
      <c r="AI701" s="74">
        <f>tblData[[#This Row],[Advertising]]+tblData[[#This Row],[Promotions]]</f>
        <v>-48</v>
      </c>
      <c r="AJ701" s="74">
        <f>tblData[[#This Row],[Outbound Logistics]]+tblData[[#This Row],[Direct Selling]]</f>
        <v>-69</v>
      </c>
      <c r="AK701" s="74">
        <f>tblData[[#This Row],[Gross Profit]]+tblData[[#This Row],[AP Spend]]+tblData[[#This Row],[Cost to Serve]]</f>
        <v>139</v>
      </c>
    </row>
    <row r="702" spans="2:37" x14ac:dyDescent="0.25">
      <c r="B702" s="71" t="s">
        <v>50</v>
      </c>
      <c r="C702" s="71">
        <v>2026</v>
      </c>
      <c r="D702" s="71">
        <v>6</v>
      </c>
      <c r="E702" s="71" t="s">
        <v>47</v>
      </c>
      <c r="F702" s="71" t="s">
        <v>42</v>
      </c>
      <c r="G702" s="72">
        <v>51.7</v>
      </c>
      <c r="H702" s="73">
        <v>310</v>
      </c>
      <c r="I702" s="73">
        <v>-9</v>
      </c>
      <c r="J702" s="73">
        <v>-15</v>
      </c>
      <c r="K702" s="73">
        <v>-98</v>
      </c>
      <c r="L702" s="73">
        <v>-25</v>
      </c>
      <c r="M702" s="73">
        <v>-14</v>
      </c>
      <c r="N702" s="73">
        <v>-6</v>
      </c>
      <c r="O702" s="73">
        <v>-3</v>
      </c>
      <c r="P702" s="73">
        <v>-37</v>
      </c>
      <c r="Q702" s="73">
        <v>-12</v>
      </c>
      <c r="R702" s="73">
        <v>0</v>
      </c>
      <c r="S702" s="73">
        <v>0</v>
      </c>
      <c r="T702" s="73">
        <v>0</v>
      </c>
      <c r="U702" s="73">
        <v>0</v>
      </c>
      <c r="V702" s="73">
        <v>0</v>
      </c>
      <c r="W702" s="73">
        <v>0</v>
      </c>
      <c r="X702" s="73">
        <v>0</v>
      </c>
      <c r="Y702" s="73">
        <v>0</v>
      </c>
      <c r="Z702" s="73">
        <v>27</v>
      </c>
      <c r="AA702" s="73">
        <v>481</v>
      </c>
      <c r="AB702" s="73">
        <v>0</v>
      </c>
      <c r="AC702" s="73">
        <v>0</v>
      </c>
      <c r="AD702" s="73">
        <v>0</v>
      </c>
      <c r="AE702" s="73">
        <v>0</v>
      </c>
      <c r="AF702" s="74">
        <f>tblData[[#This Row],[Gross Sales]]+tblData[[#This Row],[Trade Discounts]]+tblData[[#This Row],[Returns]]</f>
        <v>286</v>
      </c>
      <c r="AG702" s="74">
        <f>tblData[[#This Row],[Material Cost]]+tblData[[#This Row],[Conversion Cost]]+tblData[[#This Row],[Inbound Freight]]</f>
        <v>-137</v>
      </c>
      <c r="AH702" s="74">
        <f>tblData[[#This Row],[Net Revenue]]+tblData[[#This Row],[COGS]]</f>
        <v>149</v>
      </c>
      <c r="AI702" s="74">
        <f>tblData[[#This Row],[Advertising]]+tblData[[#This Row],[Promotions]]</f>
        <v>-9</v>
      </c>
      <c r="AJ702" s="74">
        <f>tblData[[#This Row],[Outbound Logistics]]+tblData[[#This Row],[Direct Selling]]</f>
        <v>-49</v>
      </c>
      <c r="AK702" s="74">
        <f>tblData[[#This Row],[Gross Profit]]+tblData[[#This Row],[AP Spend]]+tblData[[#This Row],[Cost to Serve]]</f>
        <v>91</v>
      </c>
    </row>
    <row r="703" spans="2:37" x14ac:dyDescent="0.25">
      <c r="B703" s="71" t="s">
        <v>50</v>
      </c>
      <c r="C703" s="71">
        <v>2026</v>
      </c>
      <c r="D703" s="71">
        <v>6</v>
      </c>
      <c r="E703" s="71" t="s">
        <v>47</v>
      </c>
      <c r="F703" s="71" t="s">
        <v>43</v>
      </c>
      <c r="G703" s="72">
        <v>10.3</v>
      </c>
      <c r="H703" s="73">
        <v>186</v>
      </c>
      <c r="I703" s="73">
        <v>-6</v>
      </c>
      <c r="J703" s="73">
        <v>-9</v>
      </c>
      <c r="K703" s="73">
        <v>-51</v>
      </c>
      <c r="L703" s="73">
        <v>-13</v>
      </c>
      <c r="M703" s="73">
        <v>-7</v>
      </c>
      <c r="N703" s="73">
        <v>-17</v>
      </c>
      <c r="O703" s="73">
        <v>-9</v>
      </c>
      <c r="P703" s="73">
        <v>-22</v>
      </c>
      <c r="Q703" s="73">
        <v>-7</v>
      </c>
      <c r="R703" s="73">
        <v>0</v>
      </c>
      <c r="S703" s="73">
        <v>0</v>
      </c>
      <c r="T703" s="73">
        <v>0</v>
      </c>
      <c r="U703" s="73">
        <v>0</v>
      </c>
      <c r="V703" s="73">
        <v>0</v>
      </c>
      <c r="W703" s="73">
        <v>0</v>
      </c>
      <c r="X703" s="73">
        <v>0</v>
      </c>
      <c r="Y703" s="73">
        <v>0</v>
      </c>
      <c r="Z703" s="73">
        <v>16</v>
      </c>
      <c r="AA703" s="73">
        <v>272</v>
      </c>
      <c r="AB703" s="73">
        <v>0</v>
      </c>
      <c r="AC703" s="73">
        <v>0</v>
      </c>
      <c r="AD703" s="73">
        <v>0</v>
      </c>
      <c r="AE703" s="73">
        <v>0</v>
      </c>
      <c r="AF703" s="74">
        <f>tblData[[#This Row],[Gross Sales]]+tblData[[#This Row],[Trade Discounts]]+tblData[[#This Row],[Returns]]</f>
        <v>171</v>
      </c>
      <c r="AG703" s="74">
        <f>tblData[[#This Row],[Material Cost]]+tblData[[#This Row],[Conversion Cost]]+tblData[[#This Row],[Inbound Freight]]</f>
        <v>-71</v>
      </c>
      <c r="AH703" s="74">
        <f>tblData[[#This Row],[Net Revenue]]+tblData[[#This Row],[COGS]]</f>
        <v>100</v>
      </c>
      <c r="AI703" s="74">
        <f>tblData[[#This Row],[Advertising]]+tblData[[#This Row],[Promotions]]</f>
        <v>-26</v>
      </c>
      <c r="AJ703" s="74">
        <f>tblData[[#This Row],[Outbound Logistics]]+tblData[[#This Row],[Direct Selling]]</f>
        <v>-29</v>
      </c>
      <c r="AK703" s="74">
        <f>tblData[[#This Row],[Gross Profit]]+tblData[[#This Row],[AP Spend]]+tblData[[#This Row],[Cost to Serve]]</f>
        <v>45</v>
      </c>
    </row>
    <row r="704" spans="2:37" x14ac:dyDescent="0.25">
      <c r="B704" s="71" t="s">
        <v>50</v>
      </c>
      <c r="C704" s="71">
        <v>2026</v>
      </c>
      <c r="D704" s="71">
        <v>6</v>
      </c>
      <c r="E704" s="71" t="s">
        <v>48</v>
      </c>
      <c r="F704" s="71" t="s">
        <v>38</v>
      </c>
      <c r="G704" s="72">
        <v>103.3</v>
      </c>
      <c r="H704" s="73">
        <v>1446</v>
      </c>
      <c r="I704" s="73">
        <v>-130</v>
      </c>
      <c r="J704" s="73">
        <v>-14</v>
      </c>
      <c r="K704" s="73">
        <v>-312</v>
      </c>
      <c r="L704" s="73">
        <v>-78</v>
      </c>
      <c r="M704" s="73">
        <v>-43</v>
      </c>
      <c r="N704" s="73">
        <v>-85</v>
      </c>
      <c r="O704" s="73">
        <v>-46</v>
      </c>
      <c r="P704" s="73">
        <v>-43</v>
      </c>
      <c r="Q704" s="73">
        <v>-22</v>
      </c>
      <c r="R704" s="73">
        <v>0</v>
      </c>
      <c r="S704" s="73">
        <v>0</v>
      </c>
      <c r="T704" s="73">
        <v>0</v>
      </c>
      <c r="U704" s="73">
        <v>0</v>
      </c>
      <c r="V704" s="73">
        <v>0</v>
      </c>
      <c r="W704" s="73">
        <v>0</v>
      </c>
      <c r="X704" s="73">
        <v>0</v>
      </c>
      <c r="Y704" s="73">
        <v>0</v>
      </c>
      <c r="Z704" s="73">
        <v>2925</v>
      </c>
      <c r="AA704" s="73">
        <v>1323</v>
      </c>
      <c r="AB704" s="73">
        <v>0</v>
      </c>
      <c r="AC704" s="73">
        <v>0</v>
      </c>
      <c r="AD704" s="73">
        <v>0</v>
      </c>
      <c r="AE704" s="73">
        <v>0</v>
      </c>
      <c r="AF704" s="74">
        <f>tblData[[#This Row],[Gross Sales]]+tblData[[#This Row],[Trade Discounts]]+tblData[[#This Row],[Returns]]</f>
        <v>1302</v>
      </c>
      <c r="AG704" s="74">
        <f>tblData[[#This Row],[Material Cost]]+tblData[[#This Row],[Conversion Cost]]+tblData[[#This Row],[Inbound Freight]]</f>
        <v>-433</v>
      </c>
      <c r="AH704" s="74">
        <f>tblData[[#This Row],[Net Revenue]]+tblData[[#This Row],[COGS]]</f>
        <v>869</v>
      </c>
      <c r="AI704" s="74">
        <f>tblData[[#This Row],[Advertising]]+tblData[[#This Row],[Promotions]]</f>
        <v>-131</v>
      </c>
      <c r="AJ704" s="74">
        <f>tblData[[#This Row],[Outbound Logistics]]+tblData[[#This Row],[Direct Selling]]</f>
        <v>-65</v>
      </c>
      <c r="AK704" s="74">
        <f>tblData[[#This Row],[Gross Profit]]+tblData[[#This Row],[AP Spend]]+tblData[[#This Row],[Cost to Serve]]</f>
        <v>673</v>
      </c>
    </row>
    <row r="705" spans="2:37" x14ac:dyDescent="0.25">
      <c r="B705" s="71" t="s">
        <v>50</v>
      </c>
      <c r="C705" s="71">
        <v>2026</v>
      </c>
      <c r="D705" s="71">
        <v>6</v>
      </c>
      <c r="E705" s="71" t="s">
        <v>48</v>
      </c>
      <c r="F705" s="71" t="s">
        <v>39</v>
      </c>
      <c r="G705" s="72">
        <v>137.80000000000001</v>
      </c>
      <c r="H705" s="73">
        <v>1240</v>
      </c>
      <c r="I705" s="73">
        <v>-112</v>
      </c>
      <c r="J705" s="73">
        <v>-12</v>
      </c>
      <c r="K705" s="73">
        <v>-321</v>
      </c>
      <c r="L705" s="73">
        <v>-80</v>
      </c>
      <c r="M705" s="73">
        <v>-45</v>
      </c>
      <c r="N705" s="73">
        <v>-48</v>
      </c>
      <c r="O705" s="73">
        <v>-26</v>
      </c>
      <c r="P705" s="73">
        <v>-37</v>
      </c>
      <c r="Q705" s="73">
        <v>-19</v>
      </c>
      <c r="R705" s="73">
        <v>0</v>
      </c>
      <c r="S705" s="73">
        <v>0</v>
      </c>
      <c r="T705" s="73">
        <v>0</v>
      </c>
      <c r="U705" s="73">
        <v>0</v>
      </c>
      <c r="V705" s="73">
        <v>0</v>
      </c>
      <c r="W705" s="73">
        <v>0</v>
      </c>
      <c r="X705" s="73">
        <v>0</v>
      </c>
      <c r="Y705" s="73">
        <v>0</v>
      </c>
      <c r="Z705" s="73">
        <v>2507</v>
      </c>
      <c r="AA705" s="73">
        <v>1146</v>
      </c>
      <c r="AB705" s="73">
        <v>0</v>
      </c>
      <c r="AC705" s="73">
        <v>0</v>
      </c>
      <c r="AD705" s="73">
        <v>0</v>
      </c>
      <c r="AE705" s="73">
        <v>0</v>
      </c>
      <c r="AF705" s="74">
        <f>tblData[[#This Row],[Gross Sales]]+tblData[[#This Row],[Trade Discounts]]+tblData[[#This Row],[Returns]]</f>
        <v>1116</v>
      </c>
      <c r="AG705" s="74">
        <f>tblData[[#This Row],[Material Cost]]+tblData[[#This Row],[Conversion Cost]]+tblData[[#This Row],[Inbound Freight]]</f>
        <v>-446</v>
      </c>
      <c r="AH705" s="74">
        <f>tblData[[#This Row],[Net Revenue]]+tblData[[#This Row],[COGS]]</f>
        <v>670</v>
      </c>
      <c r="AI705" s="74">
        <f>tblData[[#This Row],[Advertising]]+tblData[[#This Row],[Promotions]]</f>
        <v>-74</v>
      </c>
      <c r="AJ705" s="74">
        <f>tblData[[#This Row],[Outbound Logistics]]+tblData[[#This Row],[Direct Selling]]</f>
        <v>-56</v>
      </c>
      <c r="AK705" s="74">
        <f>tblData[[#This Row],[Gross Profit]]+tblData[[#This Row],[AP Spend]]+tblData[[#This Row],[Cost to Serve]]</f>
        <v>540</v>
      </c>
    </row>
    <row r="706" spans="2:37" x14ac:dyDescent="0.25">
      <c r="B706" s="71" t="s">
        <v>50</v>
      </c>
      <c r="C706" s="71">
        <v>2026</v>
      </c>
      <c r="D706" s="71">
        <v>6</v>
      </c>
      <c r="E706" s="71" t="s">
        <v>48</v>
      </c>
      <c r="F706" s="71" t="s">
        <v>40</v>
      </c>
      <c r="G706" s="72">
        <v>132.80000000000001</v>
      </c>
      <c r="H706" s="73">
        <v>930</v>
      </c>
      <c r="I706" s="73">
        <v>-84</v>
      </c>
      <c r="J706" s="73">
        <v>-9</v>
      </c>
      <c r="K706" s="73">
        <v>-268</v>
      </c>
      <c r="L706" s="73">
        <v>-67</v>
      </c>
      <c r="M706" s="73">
        <v>-37</v>
      </c>
      <c r="N706" s="73">
        <v>-24</v>
      </c>
      <c r="O706" s="73">
        <v>-13</v>
      </c>
      <c r="P706" s="73">
        <v>-28</v>
      </c>
      <c r="Q706" s="73">
        <v>-14</v>
      </c>
      <c r="R706" s="73">
        <v>0</v>
      </c>
      <c r="S706" s="73">
        <v>0</v>
      </c>
      <c r="T706" s="73">
        <v>0</v>
      </c>
      <c r="U706" s="73">
        <v>0</v>
      </c>
      <c r="V706" s="73">
        <v>0</v>
      </c>
      <c r="W706" s="73">
        <v>0</v>
      </c>
      <c r="X706" s="73">
        <v>0</v>
      </c>
      <c r="Y706" s="73">
        <v>0</v>
      </c>
      <c r="Z706" s="73">
        <v>1880</v>
      </c>
      <c r="AA706" s="73">
        <v>895</v>
      </c>
      <c r="AB706" s="73">
        <v>0</v>
      </c>
      <c r="AC706" s="73">
        <v>0</v>
      </c>
      <c r="AD706" s="73">
        <v>0</v>
      </c>
      <c r="AE706" s="73">
        <v>0</v>
      </c>
      <c r="AF706" s="74">
        <f>tblData[[#This Row],[Gross Sales]]+tblData[[#This Row],[Trade Discounts]]+tblData[[#This Row],[Returns]]</f>
        <v>837</v>
      </c>
      <c r="AG706" s="74">
        <f>tblData[[#This Row],[Material Cost]]+tblData[[#This Row],[Conversion Cost]]+tblData[[#This Row],[Inbound Freight]]</f>
        <v>-372</v>
      </c>
      <c r="AH706" s="74">
        <f>tblData[[#This Row],[Net Revenue]]+tblData[[#This Row],[COGS]]</f>
        <v>465</v>
      </c>
      <c r="AI706" s="74">
        <f>tblData[[#This Row],[Advertising]]+tblData[[#This Row],[Promotions]]</f>
        <v>-37</v>
      </c>
      <c r="AJ706" s="74">
        <f>tblData[[#This Row],[Outbound Logistics]]+tblData[[#This Row],[Direct Selling]]</f>
        <v>-42</v>
      </c>
      <c r="AK706" s="74">
        <f>tblData[[#This Row],[Gross Profit]]+tblData[[#This Row],[AP Spend]]+tblData[[#This Row],[Cost to Serve]]</f>
        <v>386</v>
      </c>
    </row>
    <row r="707" spans="2:37" x14ac:dyDescent="0.25">
      <c r="B707" s="71" t="s">
        <v>50</v>
      </c>
      <c r="C707" s="71">
        <v>2026</v>
      </c>
      <c r="D707" s="71">
        <v>6</v>
      </c>
      <c r="E707" s="71" t="s">
        <v>48</v>
      </c>
      <c r="F707" s="71" t="s">
        <v>41</v>
      </c>
      <c r="G707" s="72">
        <v>65.7</v>
      </c>
      <c r="H707" s="73">
        <v>723</v>
      </c>
      <c r="I707" s="73">
        <v>-65</v>
      </c>
      <c r="J707" s="73">
        <v>-7</v>
      </c>
      <c r="K707" s="73">
        <v>-172</v>
      </c>
      <c r="L707" s="73">
        <v>-43</v>
      </c>
      <c r="M707" s="73">
        <v>-24</v>
      </c>
      <c r="N707" s="73">
        <v>-52</v>
      </c>
      <c r="O707" s="73">
        <v>-28</v>
      </c>
      <c r="P707" s="73">
        <v>-22</v>
      </c>
      <c r="Q707" s="73">
        <v>-11</v>
      </c>
      <c r="R707" s="73">
        <v>0</v>
      </c>
      <c r="S707" s="73">
        <v>0</v>
      </c>
      <c r="T707" s="73">
        <v>0</v>
      </c>
      <c r="U707" s="73">
        <v>0</v>
      </c>
      <c r="V707" s="73">
        <v>0</v>
      </c>
      <c r="W707" s="73">
        <v>0</v>
      </c>
      <c r="X707" s="73">
        <v>0</v>
      </c>
      <c r="Y707" s="73">
        <v>0</v>
      </c>
      <c r="Z707" s="73">
        <v>1462</v>
      </c>
      <c r="AA707" s="73">
        <v>689</v>
      </c>
      <c r="AB707" s="73">
        <v>0</v>
      </c>
      <c r="AC707" s="73">
        <v>0</v>
      </c>
      <c r="AD707" s="73">
        <v>0</v>
      </c>
      <c r="AE707" s="73">
        <v>0</v>
      </c>
      <c r="AF707" s="74">
        <f>tblData[[#This Row],[Gross Sales]]+tblData[[#This Row],[Trade Discounts]]+tblData[[#This Row],[Returns]]</f>
        <v>651</v>
      </c>
      <c r="AG707" s="74">
        <f>tblData[[#This Row],[Material Cost]]+tblData[[#This Row],[Conversion Cost]]+tblData[[#This Row],[Inbound Freight]]</f>
        <v>-239</v>
      </c>
      <c r="AH707" s="74">
        <f>tblData[[#This Row],[Net Revenue]]+tblData[[#This Row],[COGS]]</f>
        <v>412</v>
      </c>
      <c r="AI707" s="74">
        <f>tblData[[#This Row],[Advertising]]+tblData[[#This Row],[Promotions]]</f>
        <v>-80</v>
      </c>
      <c r="AJ707" s="74">
        <f>tblData[[#This Row],[Outbound Logistics]]+tblData[[#This Row],[Direct Selling]]</f>
        <v>-33</v>
      </c>
      <c r="AK707" s="74">
        <f>tblData[[#This Row],[Gross Profit]]+tblData[[#This Row],[AP Spend]]+tblData[[#This Row],[Cost to Serve]]</f>
        <v>299</v>
      </c>
    </row>
    <row r="708" spans="2:37" x14ac:dyDescent="0.25">
      <c r="B708" s="71" t="s">
        <v>50</v>
      </c>
      <c r="C708" s="71">
        <v>2026</v>
      </c>
      <c r="D708" s="71">
        <v>6</v>
      </c>
      <c r="E708" s="71" t="s">
        <v>48</v>
      </c>
      <c r="F708" s="71" t="s">
        <v>42</v>
      </c>
      <c r="G708" s="72">
        <v>86.1</v>
      </c>
      <c r="H708" s="73">
        <v>517</v>
      </c>
      <c r="I708" s="73">
        <v>-46</v>
      </c>
      <c r="J708" s="73">
        <v>-5</v>
      </c>
      <c r="K708" s="73">
        <v>-164</v>
      </c>
      <c r="L708" s="73">
        <v>-41</v>
      </c>
      <c r="M708" s="73">
        <v>-23</v>
      </c>
      <c r="N708" s="73">
        <v>-10</v>
      </c>
      <c r="O708" s="73">
        <v>-5</v>
      </c>
      <c r="P708" s="73">
        <v>-15</v>
      </c>
      <c r="Q708" s="73">
        <v>-8</v>
      </c>
      <c r="R708" s="73">
        <v>0</v>
      </c>
      <c r="S708" s="73">
        <v>0</v>
      </c>
      <c r="T708" s="73">
        <v>0</v>
      </c>
      <c r="U708" s="73">
        <v>0</v>
      </c>
      <c r="V708" s="73">
        <v>0</v>
      </c>
      <c r="W708" s="73">
        <v>0</v>
      </c>
      <c r="X708" s="73">
        <v>0</v>
      </c>
      <c r="Y708" s="73">
        <v>0</v>
      </c>
      <c r="Z708" s="73">
        <v>1044</v>
      </c>
      <c r="AA708" s="73">
        <v>802</v>
      </c>
      <c r="AB708" s="73">
        <v>0</v>
      </c>
      <c r="AC708" s="73">
        <v>0</v>
      </c>
      <c r="AD708" s="73">
        <v>0</v>
      </c>
      <c r="AE708" s="73">
        <v>0</v>
      </c>
      <c r="AF708" s="74">
        <f>tblData[[#This Row],[Gross Sales]]+tblData[[#This Row],[Trade Discounts]]+tblData[[#This Row],[Returns]]</f>
        <v>466</v>
      </c>
      <c r="AG708" s="74">
        <f>tblData[[#This Row],[Material Cost]]+tblData[[#This Row],[Conversion Cost]]+tblData[[#This Row],[Inbound Freight]]</f>
        <v>-228</v>
      </c>
      <c r="AH708" s="74">
        <f>tblData[[#This Row],[Net Revenue]]+tblData[[#This Row],[COGS]]</f>
        <v>238</v>
      </c>
      <c r="AI708" s="74">
        <f>tblData[[#This Row],[Advertising]]+tblData[[#This Row],[Promotions]]</f>
        <v>-15</v>
      </c>
      <c r="AJ708" s="74">
        <f>tblData[[#This Row],[Outbound Logistics]]+tblData[[#This Row],[Direct Selling]]</f>
        <v>-23</v>
      </c>
      <c r="AK708" s="74">
        <f>tblData[[#This Row],[Gross Profit]]+tblData[[#This Row],[AP Spend]]+tblData[[#This Row],[Cost to Serve]]</f>
        <v>200</v>
      </c>
    </row>
    <row r="709" spans="2:37" x14ac:dyDescent="0.25">
      <c r="B709" s="71" t="s">
        <v>50</v>
      </c>
      <c r="C709" s="71">
        <v>2026</v>
      </c>
      <c r="D709" s="71">
        <v>6</v>
      </c>
      <c r="E709" s="71" t="s">
        <v>48</v>
      </c>
      <c r="F709" s="71" t="s">
        <v>43</v>
      </c>
      <c r="G709" s="72">
        <v>17.2</v>
      </c>
      <c r="H709" s="73">
        <v>310</v>
      </c>
      <c r="I709" s="73">
        <v>-28</v>
      </c>
      <c r="J709" s="73">
        <v>-3</v>
      </c>
      <c r="K709" s="73">
        <v>-85</v>
      </c>
      <c r="L709" s="73">
        <v>-21</v>
      </c>
      <c r="M709" s="73">
        <v>-12</v>
      </c>
      <c r="N709" s="73">
        <v>-28</v>
      </c>
      <c r="O709" s="73">
        <v>-15</v>
      </c>
      <c r="P709" s="73">
        <v>-9</v>
      </c>
      <c r="Q709" s="73">
        <v>-5</v>
      </c>
      <c r="R709" s="73">
        <v>0</v>
      </c>
      <c r="S709" s="73">
        <v>0</v>
      </c>
      <c r="T709" s="73">
        <v>0</v>
      </c>
      <c r="U709" s="73">
        <v>0</v>
      </c>
      <c r="V709" s="73">
        <v>0</v>
      </c>
      <c r="W709" s="73">
        <v>0</v>
      </c>
      <c r="X709" s="73">
        <v>0</v>
      </c>
      <c r="Y709" s="73">
        <v>0</v>
      </c>
      <c r="Z709" s="73">
        <v>627</v>
      </c>
      <c r="AA709" s="73">
        <v>454</v>
      </c>
      <c r="AB709" s="73">
        <v>0</v>
      </c>
      <c r="AC709" s="73">
        <v>0</v>
      </c>
      <c r="AD709" s="73">
        <v>0</v>
      </c>
      <c r="AE709" s="73">
        <v>0</v>
      </c>
      <c r="AF709" s="74">
        <f>tblData[[#This Row],[Gross Sales]]+tblData[[#This Row],[Trade Discounts]]+tblData[[#This Row],[Returns]]</f>
        <v>279</v>
      </c>
      <c r="AG709" s="74">
        <f>tblData[[#This Row],[Material Cost]]+tblData[[#This Row],[Conversion Cost]]+tblData[[#This Row],[Inbound Freight]]</f>
        <v>-118</v>
      </c>
      <c r="AH709" s="74">
        <f>tblData[[#This Row],[Net Revenue]]+tblData[[#This Row],[COGS]]</f>
        <v>161</v>
      </c>
      <c r="AI709" s="74">
        <f>tblData[[#This Row],[Advertising]]+tblData[[#This Row],[Promotions]]</f>
        <v>-43</v>
      </c>
      <c r="AJ709" s="74">
        <f>tblData[[#This Row],[Outbound Logistics]]+tblData[[#This Row],[Direct Selling]]</f>
        <v>-14</v>
      </c>
      <c r="AK709" s="74">
        <f>tblData[[#This Row],[Gross Profit]]+tblData[[#This Row],[AP Spend]]+tblData[[#This Row],[Cost to Serve]]</f>
        <v>104</v>
      </c>
    </row>
    <row r="710" spans="2:37" x14ac:dyDescent="0.25">
      <c r="B710" s="71" t="s">
        <v>50</v>
      </c>
      <c r="C710" s="71">
        <v>2026</v>
      </c>
      <c r="D710" s="71">
        <v>6</v>
      </c>
      <c r="E710" s="71" t="s">
        <v>49</v>
      </c>
      <c r="F710" s="71" t="s">
        <v>49</v>
      </c>
      <c r="G710" s="72">
        <v>0</v>
      </c>
      <c r="H710" s="73">
        <v>0</v>
      </c>
      <c r="I710" s="73">
        <v>0</v>
      </c>
      <c r="J710" s="73">
        <v>0</v>
      </c>
      <c r="K710" s="73">
        <v>0</v>
      </c>
      <c r="L710" s="73">
        <v>0</v>
      </c>
      <c r="M710" s="73">
        <v>0</v>
      </c>
      <c r="N710" s="73">
        <v>0</v>
      </c>
      <c r="O710" s="73">
        <v>0</v>
      </c>
      <c r="P710" s="73">
        <v>0</v>
      </c>
      <c r="Q710" s="73">
        <v>0</v>
      </c>
      <c r="R710" s="73">
        <v>-4233</v>
      </c>
      <c r="S710" s="73">
        <v>-1020</v>
      </c>
      <c r="T710" s="73">
        <v>-1320</v>
      </c>
      <c r="U710" s="73">
        <v>-1130</v>
      </c>
      <c r="V710" s="73">
        <v>-1480</v>
      </c>
      <c r="W710" s="73">
        <v>-703</v>
      </c>
      <c r="X710" s="73">
        <v>-1693</v>
      </c>
      <c r="Y710" s="73">
        <v>-1323</v>
      </c>
      <c r="Z710" s="73">
        <v>0</v>
      </c>
      <c r="AA710" s="73">
        <v>0</v>
      </c>
      <c r="AB710" s="73">
        <v>35029</v>
      </c>
      <c r="AC710" s="73">
        <v>56100</v>
      </c>
      <c r="AD710" s="73">
        <v>185000</v>
      </c>
      <c r="AE710" s="73">
        <v>1190</v>
      </c>
      <c r="AF710" s="74">
        <f>tblData[[#This Row],[Gross Sales]]+tblData[[#This Row],[Trade Discounts]]+tblData[[#This Row],[Returns]]</f>
        <v>0</v>
      </c>
      <c r="AG710" s="74">
        <f>tblData[[#This Row],[Material Cost]]+tblData[[#This Row],[Conversion Cost]]+tblData[[#This Row],[Inbound Freight]]</f>
        <v>0</v>
      </c>
      <c r="AH710" s="74">
        <f>tblData[[#This Row],[Net Revenue]]+tblData[[#This Row],[COGS]]</f>
        <v>0</v>
      </c>
      <c r="AI710" s="74">
        <f>tblData[[#This Row],[Advertising]]+tblData[[#This Row],[Promotions]]</f>
        <v>0</v>
      </c>
      <c r="AJ710" s="74">
        <f>tblData[[#This Row],[Outbound Logistics]]+tblData[[#This Row],[Direct Selling]]</f>
        <v>0</v>
      </c>
      <c r="AK710" s="74">
        <f>tblData[[#This Row],[Gross Profit]]+tblData[[#This Row],[AP Spend]]+tblData[[#This Row],[Cost to Serve]]</f>
        <v>0</v>
      </c>
    </row>
    <row r="711" spans="2:37" x14ac:dyDescent="0.25">
      <c r="B711" s="71" t="s">
        <v>50</v>
      </c>
      <c r="C711" s="71">
        <v>2026</v>
      </c>
      <c r="D711" s="71">
        <v>7</v>
      </c>
      <c r="E711" s="71" t="s">
        <v>37</v>
      </c>
      <c r="F711" s="71" t="s">
        <v>38</v>
      </c>
      <c r="G711" s="72">
        <v>302.39999999999998</v>
      </c>
      <c r="H711" s="73">
        <v>4234</v>
      </c>
      <c r="I711" s="73">
        <v>-804</v>
      </c>
      <c r="J711" s="73">
        <v>-64</v>
      </c>
      <c r="K711" s="73">
        <v>-914</v>
      </c>
      <c r="L711" s="73">
        <v>-229</v>
      </c>
      <c r="M711" s="73">
        <v>-127</v>
      </c>
      <c r="N711" s="73">
        <v>-248</v>
      </c>
      <c r="O711" s="73">
        <v>-133</v>
      </c>
      <c r="P711" s="73">
        <v>-169</v>
      </c>
      <c r="Q711" s="73">
        <v>-127</v>
      </c>
      <c r="R711" s="73">
        <v>0</v>
      </c>
      <c r="S711" s="73">
        <v>0</v>
      </c>
      <c r="T711" s="73">
        <v>0</v>
      </c>
      <c r="U711" s="73">
        <v>0</v>
      </c>
      <c r="V711" s="73">
        <v>0</v>
      </c>
      <c r="W711" s="73">
        <v>0</v>
      </c>
      <c r="X711" s="73">
        <v>0</v>
      </c>
      <c r="Y711" s="73">
        <v>0</v>
      </c>
      <c r="Z711" s="73">
        <v>6140</v>
      </c>
      <c r="AA711" s="73">
        <v>4002</v>
      </c>
      <c r="AB711" s="73">
        <v>0</v>
      </c>
      <c r="AC711" s="73">
        <v>0</v>
      </c>
      <c r="AD711" s="73">
        <v>0</v>
      </c>
      <c r="AE711" s="73">
        <v>0</v>
      </c>
      <c r="AF711" s="74">
        <f>tblData[[#This Row],[Gross Sales]]+tblData[[#This Row],[Trade Discounts]]+tblData[[#This Row],[Returns]]</f>
        <v>3366</v>
      </c>
      <c r="AG711" s="74">
        <f>tblData[[#This Row],[Material Cost]]+tblData[[#This Row],[Conversion Cost]]+tblData[[#This Row],[Inbound Freight]]</f>
        <v>-1270</v>
      </c>
      <c r="AH711" s="74">
        <f>tblData[[#This Row],[Net Revenue]]+tblData[[#This Row],[COGS]]</f>
        <v>2096</v>
      </c>
      <c r="AI711" s="74">
        <f>tblData[[#This Row],[Advertising]]+tblData[[#This Row],[Promotions]]</f>
        <v>-381</v>
      </c>
      <c r="AJ711" s="74">
        <f>tblData[[#This Row],[Outbound Logistics]]+tblData[[#This Row],[Direct Selling]]</f>
        <v>-296</v>
      </c>
      <c r="AK711" s="74">
        <f>tblData[[#This Row],[Gross Profit]]+tblData[[#This Row],[AP Spend]]+tblData[[#This Row],[Cost to Serve]]</f>
        <v>1419</v>
      </c>
    </row>
    <row r="712" spans="2:37" x14ac:dyDescent="0.25">
      <c r="B712" s="71" t="s">
        <v>50</v>
      </c>
      <c r="C712" s="71">
        <v>2026</v>
      </c>
      <c r="D712" s="71">
        <v>7</v>
      </c>
      <c r="E712" s="71" t="s">
        <v>37</v>
      </c>
      <c r="F712" s="71" t="s">
        <v>39</v>
      </c>
      <c r="G712" s="72">
        <v>403.2</v>
      </c>
      <c r="H712" s="73">
        <v>3629</v>
      </c>
      <c r="I712" s="73">
        <v>-689</v>
      </c>
      <c r="J712" s="73">
        <v>-54</v>
      </c>
      <c r="K712" s="73">
        <v>-941</v>
      </c>
      <c r="L712" s="73">
        <v>-235</v>
      </c>
      <c r="M712" s="73">
        <v>-131</v>
      </c>
      <c r="N712" s="73">
        <v>-142</v>
      </c>
      <c r="O712" s="73">
        <v>-76</v>
      </c>
      <c r="P712" s="73">
        <v>-145</v>
      </c>
      <c r="Q712" s="73">
        <v>-109</v>
      </c>
      <c r="R712" s="73">
        <v>0</v>
      </c>
      <c r="S712" s="73">
        <v>0</v>
      </c>
      <c r="T712" s="73">
        <v>0</v>
      </c>
      <c r="U712" s="73">
        <v>0</v>
      </c>
      <c r="V712" s="73">
        <v>0</v>
      </c>
      <c r="W712" s="73">
        <v>0</v>
      </c>
      <c r="X712" s="73">
        <v>0</v>
      </c>
      <c r="Y712" s="73">
        <v>0</v>
      </c>
      <c r="Z712" s="73">
        <v>5263</v>
      </c>
      <c r="AA712" s="73">
        <v>3466</v>
      </c>
      <c r="AB712" s="73">
        <v>0</v>
      </c>
      <c r="AC712" s="73">
        <v>0</v>
      </c>
      <c r="AD712" s="73">
        <v>0</v>
      </c>
      <c r="AE712" s="73">
        <v>0</v>
      </c>
      <c r="AF712" s="74">
        <f>tblData[[#This Row],[Gross Sales]]+tblData[[#This Row],[Trade Discounts]]+tblData[[#This Row],[Returns]]</f>
        <v>2886</v>
      </c>
      <c r="AG712" s="74">
        <f>tblData[[#This Row],[Material Cost]]+tblData[[#This Row],[Conversion Cost]]+tblData[[#This Row],[Inbound Freight]]</f>
        <v>-1307</v>
      </c>
      <c r="AH712" s="74">
        <f>tblData[[#This Row],[Net Revenue]]+tblData[[#This Row],[COGS]]</f>
        <v>1579</v>
      </c>
      <c r="AI712" s="74">
        <f>tblData[[#This Row],[Advertising]]+tblData[[#This Row],[Promotions]]</f>
        <v>-218</v>
      </c>
      <c r="AJ712" s="74">
        <f>tblData[[#This Row],[Outbound Logistics]]+tblData[[#This Row],[Direct Selling]]</f>
        <v>-254</v>
      </c>
      <c r="AK712" s="74">
        <f>tblData[[#This Row],[Gross Profit]]+tblData[[#This Row],[AP Spend]]+tblData[[#This Row],[Cost to Serve]]</f>
        <v>1107</v>
      </c>
    </row>
    <row r="713" spans="2:37" x14ac:dyDescent="0.25">
      <c r="B713" s="71" t="s">
        <v>50</v>
      </c>
      <c r="C713" s="71">
        <v>2026</v>
      </c>
      <c r="D713" s="71">
        <v>7</v>
      </c>
      <c r="E713" s="71" t="s">
        <v>37</v>
      </c>
      <c r="F713" s="71" t="s">
        <v>40</v>
      </c>
      <c r="G713" s="72">
        <v>388.8</v>
      </c>
      <c r="H713" s="73">
        <v>2722</v>
      </c>
      <c r="I713" s="73">
        <v>-517</v>
      </c>
      <c r="J713" s="73">
        <v>-41</v>
      </c>
      <c r="K713" s="73">
        <v>-784</v>
      </c>
      <c r="L713" s="73">
        <v>-196</v>
      </c>
      <c r="M713" s="73">
        <v>-109</v>
      </c>
      <c r="N713" s="73">
        <v>-71</v>
      </c>
      <c r="O713" s="73">
        <v>-38</v>
      </c>
      <c r="P713" s="73">
        <v>-109</v>
      </c>
      <c r="Q713" s="73">
        <v>-82</v>
      </c>
      <c r="R713" s="73">
        <v>0</v>
      </c>
      <c r="S713" s="73">
        <v>0</v>
      </c>
      <c r="T713" s="73">
        <v>0</v>
      </c>
      <c r="U713" s="73">
        <v>0</v>
      </c>
      <c r="V713" s="73">
        <v>0</v>
      </c>
      <c r="W713" s="73">
        <v>0</v>
      </c>
      <c r="X713" s="73">
        <v>0</v>
      </c>
      <c r="Y713" s="73">
        <v>0</v>
      </c>
      <c r="Z713" s="73">
        <v>3947</v>
      </c>
      <c r="AA713" s="73">
        <v>2708</v>
      </c>
      <c r="AB713" s="73">
        <v>0</v>
      </c>
      <c r="AC713" s="73">
        <v>0</v>
      </c>
      <c r="AD713" s="73">
        <v>0</v>
      </c>
      <c r="AE713" s="73">
        <v>0</v>
      </c>
      <c r="AF713" s="74">
        <f>tblData[[#This Row],[Gross Sales]]+tblData[[#This Row],[Trade Discounts]]+tblData[[#This Row],[Returns]]</f>
        <v>2164</v>
      </c>
      <c r="AG713" s="74">
        <f>tblData[[#This Row],[Material Cost]]+tblData[[#This Row],[Conversion Cost]]+tblData[[#This Row],[Inbound Freight]]</f>
        <v>-1089</v>
      </c>
      <c r="AH713" s="74">
        <f>tblData[[#This Row],[Net Revenue]]+tblData[[#This Row],[COGS]]</f>
        <v>1075</v>
      </c>
      <c r="AI713" s="74">
        <f>tblData[[#This Row],[Advertising]]+tblData[[#This Row],[Promotions]]</f>
        <v>-109</v>
      </c>
      <c r="AJ713" s="74">
        <f>tblData[[#This Row],[Outbound Logistics]]+tblData[[#This Row],[Direct Selling]]</f>
        <v>-191</v>
      </c>
      <c r="AK713" s="74">
        <f>tblData[[#This Row],[Gross Profit]]+tblData[[#This Row],[AP Spend]]+tblData[[#This Row],[Cost to Serve]]</f>
        <v>775</v>
      </c>
    </row>
    <row r="714" spans="2:37" x14ac:dyDescent="0.25">
      <c r="B714" s="71" t="s">
        <v>50</v>
      </c>
      <c r="C714" s="71">
        <v>2026</v>
      </c>
      <c r="D714" s="71">
        <v>7</v>
      </c>
      <c r="E714" s="71" t="s">
        <v>37</v>
      </c>
      <c r="F714" s="71" t="s">
        <v>41</v>
      </c>
      <c r="G714" s="72">
        <v>192.4</v>
      </c>
      <c r="H714" s="73">
        <v>2117</v>
      </c>
      <c r="I714" s="73">
        <v>-402</v>
      </c>
      <c r="J714" s="73">
        <v>-32</v>
      </c>
      <c r="K714" s="73">
        <v>-503</v>
      </c>
      <c r="L714" s="73">
        <v>-126</v>
      </c>
      <c r="M714" s="73">
        <v>-70</v>
      </c>
      <c r="N714" s="73">
        <v>-151</v>
      </c>
      <c r="O714" s="73">
        <v>-81</v>
      </c>
      <c r="P714" s="73">
        <v>-85</v>
      </c>
      <c r="Q714" s="73">
        <v>-64</v>
      </c>
      <c r="R714" s="73">
        <v>0</v>
      </c>
      <c r="S714" s="73">
        <v>0</v>
      </c>
      <c r="T714" s="73">
        <v>0</v>
      </c>
      <c r="U714" s="73">
        <v>0</v>
      </c>
      <c r="V714" s="73">
        <v>0</v>
      </c>
      <c r="W714" s="73">
        <v>0</v>
      </c>
      <c r="X714" s="73">
        <v>0</v>
      </c>
      <c r="Y714" s="73">
        <v>0</v>
      </c>
      <c r="Z714" s="73">
        <v>3070</v>
      </c>
      <c r="AA714" s="73">
        <v>2085</v>
      </c>
      <c r="AB714" s="73">
        <v>0</v>
      </c>
      <c r="AC714" s="73">
        <v>0</v>
      </c>
      <c r="AD714" s="73">
        <v>0</v>
      </c>
      <c r="AE714" s="73">
        <v>0</v>
      </c>
      <c r="AF714" s="74">
        <f>tblData[[#This Row],[Gross Sales]]+tblData[[#This Row],[Trade Discounts]]+tblData[[#This Row],[Returns]]</f>
        <v>1683</v>
      </c>
      <c r="AG714" s="74">
        <f>tblData[[#This Row],[Material Cost]]+tblData[[#This Row],[Conversion Cost]]+tblData[[#This Row],[Inbound Freight]]</f>
        <v>-699</v>
      </c>
      <c r="AH714" s="74">
        <f>tblData[[#This Row],[Net Revenue]]+tblData[[#This Row],[COGS]]</f>
        <v>984</v>
      </c>
      <c r="AI714" s="74">
        <f>tblData[[#This Row],[Advertising]]+tblData[[#This Row],[Promotions]]</f>
        <v>-232</v>
      </c>
      <c r="AJ714" s="74">
        <f>tblData[[#This Row],[Outbound Logistics]]+tblData[[#This Row],[Direct Selling]]</f>
        <v>-149</v>
      </c>
      <c r="AK714" s="74">
        <f>tblData[[#This Row],[Gross Profit]]+tblData[[#This Row],[AP Spend]]+tblData[[#This Row],[Cost to Serve]]</f>
        <v>603</v>
      </c>
    </row>
    <row r="715" spans="2:37" x14ac:dyDescent="0.25">
      <c r="B715" s="71" t="s">
        <v>50</v>
      </c>
      <c r="C715" s="71">
        <v>2026</v>
      </c>
      <c r="D715" s="71">
        <v>7</v>
      </c>
      <c r="E715" s="71" t="s">
        <v>37</v>
      </c>
      <c r="F715" s="71" t="s">
        <v>42</v>
      </c>
      <c r="G715" s="72">
        <v>252</v>
      </c>
      <c r="H715" s="73">
        <v>1512</v>
      </c>
      <c r="I715" s="73">
        <v>-287</v>
      </c>
      <c r="J715" s="73">
        <v>-23</v>
      </c>
      <c r="K715" s="73">
        <v>-479</v>
      </c>
      <c r="L715" s="73">
        <v>-120</v>
      </c>
      <c r="M715" s="73">
        <v>-67</v>
      </c>
      <c r="N715" s="73">
        <v>-29</v>
      </c>
      <c r="O715" s="73">
        <v>-16</v>
      </c>
      <c r="P715" s="73">
        <v>-60</v>
      </c>
      <c r="Q715" s="73">
        <v>-45</v>
      </c>
      <c r="R715" s="73">
        <v>0</v>
      </c>
      <c r="S715" s="73">
        <v>0</v>
      </c>
      <c r="T715" s="73">
        <v>0</v>
      </c>
      <c r="U715" s="73">
        <v>0</v>
      </c>
      <c r="V715" s="73">
        <v>0</v>
      </c>
      <c r="W715" s="73">
        <v>0</v>
      </c>
      <c r="X715" s="73">
        <v>0</v>
      </c>
      <c r="Y715" s="73">
        <v>0</v>
      </c>
      <c r="Z715" s="73">
        <v>2193</v>
      </c>
      <c r="AA715" s="73">
        <v>2427</v>
      </c>
      <c r="AB715" s="73">
        <v>0</v>
      </c>
      <c r="AC715" s="73">
        <v>0</v>
      </c>
      <c r="AD715" s="73">
        <v>0</v>
      </c>
      <c r="AE715" s="73">
        <v>0</v>
      </c>
      <c r="AF715" s="74">
        <f>tblData[[#This Row],[Gross Sales]]+tblData[[#This Row],[Trade Discounts]]+tblData[[#This Row],[Returns]]</f>
        <v>1202</v>
      </c>
      <c r="AG715" s="74">
        <f>tblData[[#This Row],[Material Cost]]+tblData[[#This Row],[Conversion Cost]]+tblData[[#This Row],[Inbound Freight]]</f>
        <v>-666</v>
      </c>
      <c r="AH715" s="74">
        <f>tblData[[#This Row],[Net Revenue]]+tblData[[#This Row],[COGS]]</f>
        <v>536</v>
      </c>
      <c r="AI715" s="74">
        <f>tblData[[#This Row],[Advertising]]+tblData[[#This Row],[Promotions]]</f>
        <v>-45</v>
      </c>
      <c r="AJ715" s="74">
        <f>tblData[[#This Row],[Outbound Logistics]]+tblData[[#This Row],[Direct Selling]]</f>
        <v>-105</v>
      </c>
      <c r="AK715" s="74">
        <f>tblData[[#This Row],[Gross Profit]]+tblData[[#This Row],[AP Spend]]+tblData[[#This Row],[Cost to Serve]]</f>
        <v>386</v>
      </c>
    </row>
    <row r="716" spans="2:37" x14ac:dyDescent="0.25">
      <c r="B716" s="71" t="s">
        <v>50</v>
      </c>
      <c r="C716" s="71">
        <v>2026</v>
      </c>
      <c r="D716" s="71">
        <v>7</v>
      </c>
      <c r="E716" s="71" t="s">
        <v>37</v>
      </c>
      <c r="F716" s="71" t="s">
        <v>43</v>
      </c>
      <c r="G716" s="72">
        <v>50.4</v>
      </c>
      <c r="H716" s="73">
        <v>907</v>
      </c>
      <c r="I716" s="73">
        <v>-172</v>
      </c>
      <c r="J716" s="73">
        <v>-14</v>
      </c>
      <c r="K716" s="73">
        <v>-248</v>
      </c>
      <c r="L716" s="73">
        <v>-62</v>
      </c>
      <c r="M716" s="73">
        <v>-34</v>
      </c>
      <c r="N716" s="73">
        <v>-83</v>
      </c>
      <c r="O716" s="73">
        <v>-44</v>
      </c>
      <c r="P716" s="73">
        <v>-36</v>
      </c>
      <c r="Q716" s="73">
        <v>-27</v>
      </c>
      <c r="R716" s="73">
        <v>0</v>
      </c>
      <c r="S716" s="73">
        <v>0</v>
      </c>
      <c r="T716" s="73">
        <v>0</v>
      </c>
      <c r="U716" s="73">
        <v>0</v>
      </c>
      <c r="V716" s="73">
        <v>0</v>
      </c>
      <c r="W716" s="73">
        <v>0</v>
      </c>
      <c r="X716" s="73">
        <v>0</v>
      </c>
      <c r="Y716" s="73">
        <v>0</v>
      </c>
      <c r="Z716" s="73">
        <v>1316</v>
      </c>
      <c r="AA716" s="73">
        <v>1372</v>
      </c>
      <c r="AB716" s="73">
        <v>0</v>
      </c>
      <c r="AC716" s="73">
        <v>0</v>
      </c>
      <c r="AD716" s="73">
        <v>0</v>
      </c>
      <c r="AE716" s="73">
        <v>0</v>
      </c>
      <c r="AF716" s="74">
        <f>tblData[[#This Row],[Gross Sales]]+tblData[[#This Row],[Trade Discounts]]+tblData[[#This Row],[Returns]]</f>
        <v>721</v>
      </c>
      <c r="AG716" s="74">
        <f>tblData[[#This Row],[Material Cost]]+tblData[[#This Row],[Conversion Cost]]+tblData[[#This Row],[Inbound Freight]]</f>
        <v>-344</v>
      </c>
      <c r="AH716" s="74">
        <f>tblData[[#This Row],[Net Revenue]]+tblData[[#This Row],[COGS]]</f>
        <v>377</v>
      </c>
      <c r="AI716" s="74">
        <f>tblData[[#This Row],[Advertising]]+tblData[[#This Row],[Promotions]]</f>
        <v>-127</v>
      </c>
      <c r="AJ716" s="74">
        <f>tblData[[#This Row],[Outbound Logistics]]+tblData[[#This Row],[Direct Selling]]</f>
        <v>-63</v>
      </c>
      <c r="AK716" s="74">
        <f>tblData[[#This Row],[Gross Profit]]+tblData[[#This Row],[AP Spend]]+tblData[[#This Row],[Cost to Serve]]</f>
        <v>187</v>
      </c>
    </row>
    <row r="717" spans="2:37" x14ac:dyDescent="0.25">
      <c r="B717" s="71" t="s">
        <v>50</v>
      </c>
      <c r="C717" s="71">
        <v>2026</v>
      </c>
      <c r="D717" s="71">
        <v>7</v>
      </c>
      <c r="E717" s="71" t="s">
        <v>44</v>
      </c>
      <c r="F717" s="71" t="s">
        <v>38</v>
      </c>
      <c r="G717" s="72">
        <v>241.9</v>
      </c>
      <c r="H717" s="73">
        <v>3387</v>
      </c>
      <c r="I717" s="73">
        <v>-542</v>
      </c>
      <c r="J717" s="73">
        <v>-41</v>
      </c>
      <c r="K717" s="73">
        <v>-732</v>
      </c>
      <c r="L717" s="73">
        <v>-183</v>
      </c>
      <c r="M717" s="73">
        <v>-102</v>
      </c>
      <c r="N717" s="73">
        <v>-198</v>
      </c>
      <c r="O717" s="73">
        <v>-107</v>
      </c>
      <c r="P717" s="73">
        <v>-135</v>
      </c>
      <c r="Q717" s="73">
        <v>-102</v>
      </c>
      <c r="R717" s="73">
        <v>0</v>
      </c>
      <c r="S717" s="73">
        <v>0</v>
      </c>
      <c r="T717" s="73">
        <v>0</v>
      </c>
      <c r="U717" s="73">
        <v>0</v>
      </c>
      <c r="V717" s="73">
        <v>0</v>
      </c>
      <c r="W717" s="73">
        <v>0</v>
      </c>
      <c r="X717" s="73">
        <v>0</v>
      </c>
      <c r="Y717" s="73">
        <v>0</v>
      </c>
      <c r="Z717" s="73">
        <v>4651</v>
      </c>
      <c r="AA717" s="73">
        <v>3202</v>
      </c>
      <c r="AB717" s="73">
        <v>0</v>
      </c>
      <c r="AC717" s="73">
        <v>0</v>
      </c>
      <c r="AD717" s="73">
        <v>0</v>
      </c>
      <c r="AE717" s="73">
        <v>0</v>
      </c>
      <c r="AF717" s="74">
        <f>tblData[[#This Row],[Gross Sales]]+tblData[[#This Row],[Trade Discounts]]+tblData[[#This Row],[Returns]]</f>
        <v>2804</v>
      </c>
      <c r="AG717" s="74">
        <f>tblData[[#This Row],[Material Cost]]+tblData[[#This Row],[Conversion Cost]]+tblData[[#This Row],[Inbound Freight]]</f>
        <v>-1017</v>
      </c>
      <c r="AH717" s="74">
        <f>tblData[[#This Row],[Net Revenue]]+tblData[[#This Row],[COGS]]</f>
        <v>1787</v>
      </c>
      <c r="AI717" s="74">
        <f>tblData[[#This Row],[Advertising]]+tblData[[#This Row],[Promotions]]</f>
        <v>-305</v>
      </c>
      <c r="AJ717" s="74">
        <f>tblData[[#This Row],[Outbound Logistics]]+tblData[[#This Row],[Direct Selling]]</f>
        <v>-237</v>
      </c>
      <c r="AK717" s="74">
        <f>tblData[[#This Row],[Gross Profit]]+tblData[[#This Row],[AP Spend]]+tblData[[#This Row],[Cost to Serve]]</f>
        <v>1245</v>
      </c>
    </row>
    <row r="718" spans="2:37" x14ac:dyDescent="0.25">
      <c r="B718" s="71" t="s">
        <v>50</v>
      </c>
      <c r="C718" s="71">
        <v>2026</v>
      </c>
      <c r="D718" s="71">
        <v>7</v>
      </c>
      <c r="E718" s="71" t="s">
        <v>44</v>
      </c>
      <c r="F718" s="71" t="s">
        <v>39</v>
      </c>
      <c r="G718" s="72">
        <v>322.60000000000002</v>
      </c>
      <c r="H718" s="73">
        <v>2903</v>
      </c>
      <c r="I718" s="73">
        <v>-464</v>
      </c>
      <c r="J718" s="73">
        <v>-35</v>
      </c>
      <c r="K718" s="73">
        <v>-752</v>
      </c>
      <c r="L718" s="73">
        <v>-188</v>
      </c>
      <c r="M718" s="73">
        <v>-105</v>
      </c>
      <c r="N718" s="73">
        <v>-113</v>
      </c>
      <c r="O718" s="73">
        <v>-61</v>
      </c>
      <c r="P718" s="73">
        <v>-116</v>
      </c>
      <c r="Q718" s="73">
        <v>-87</v>
      </c>
      <c r="R718" s="73">
        <v>0</v>
      </c>
      <c r="S718" s="73">
        <v>0</v>
      </c>
      <c r="T718" s="73">
        <v>0</v>
      </c>
      <c r="U718" s="73">
        <v>0</v>
      </c>
      <c r="V718" s="73">
        <v>0</v>
      </c>
      <c r="W718" s="73">
        <v>0</v>
      </c>
      <c r="X718" s="73">
        <v>0</v>
      </c>
      <c r="Y718" s="73">
        <v>0</v>
      </c>
      <c r="Z718" s="73">
        <v>3986</v>
      </c>
      <c r="AA718" s="73">
        <v>2773</v>
      </c>
      <c r="AB718" s="73">
        <v>0</v>
      </c>
      <c r="AC718" s="73">
        <v>0</v>
      </c>
      <c r="AD718" s="73">
        <v>0</v>
      </c>
      <c r="AE718" s="73">
        <v>0</v>
      </c>
      <c r="AF718" s="74">
        <f>tblData[[#This Row],[Gross Sales]]+tblData[[#This Row],[Trade Discounts]]+tblData[[#This Row],[Returns]]</f>
        <v>2404</v>
      </c>
      <c r="AG718" s="74">
        <f>tblData[[#This Row],[Material Cost]]+tblData[[#This Row],[Conversion Cost]]+tblData[[#This Row],[Inbound Freight]]</f>
        <v>-1045</v>
      </c>
      <c r="AH718" s="74">
        <f>tblData[[#This Row],[Net Revenue]]+tblData[[#This Row],[COGS]]</f>
        <v>1359</v>
      </c>
      <c r="AI718" s="74">
        <f>tblData[[#This Row],[Advertising]]+tblData[[#This Row],[Promotions]]</f>
        <v>-174</v>
      </c>
      <c r="AJ718" s="74">
        <f>tblData[[#This Row],[Outbound Logistics]]+tblData[[#This Row],[Direct Selling]]</f>
        <v>-203</v>
      </c>
      <c r="AK718" s="74">
        <f>tblData[[#This Row],[Gross Profit]]+tblData[[#This Row],[AP Spend]]+tblData[[#This Row],[Cost to Serve]]</f>
        <v>982</v>
      </c>
    </row>
    <row r="719" spans="2:37" x14ac:dyDescent="0.25">
      <c r="B719" s="71" t="s">
        <v>50</v>
      </c>
      <c r="C719" s="71">
        <v>2026</v>
      </c>
      <c r="D719" s="71">
        <v>7</v>
      </c>
      <c r="E719" s="71" t="s">
        <v>44</v>
      </c>
      <c r="F719" s="71" t="s">
        <v>40</v>
      </c>
      <c r="G719" s="72">
        <v>311</v>
      </c>
      <c r="H719" s="73">
        <v>2177</v>
      </c>
      <c r="I719" s="73">
        <v>-348</v>
      </c>
      <c r="J719" s="73">
        <v>-26</v>
      </c>
      <c r="K719" s="73">
        <v>-627</v>
      </c>
      <c r="L719" s="73">
        <v>-157</v>
      </c>
      <c r="M719" s="73">
        <v>-87</v>
      </c>
      <c r="N719" s="73">
        <v>-57</v>
      </c>
      <c r="O719" s="73">
        <v>-30</v>
      </c>
      <c r="P719" s="73">
        <v>-87</v>
      </c>
      <c r="Q719" s="73">
        <v>-65</v>
      </c>
      <c r="R719" s="73">
        <v>0</v>
      </c>
      <c r="S719" s="73">
        <v>0</v>
      </c>
      <c r="T719" s="73">
        <v>0</v>
      </c>
      <c r="U719" s="73">
        <v>0</v>
      </c>
      <c r="V719" s="73">
        <v>0</v>
      </c>
      <c r="W719" s="73">
        <v>0</v>
      </c>
      <c r="X719" s="73">
        <v>0</v>
      </c>
      <c r="Y719" s="73">
        <v>0</v>
      </c>
      <c r="Z719" s="73">
        <v>2990</v>
      </c>
      <c r="AA719" s="73">
        <v>2167</v>
      </c>
      <c r="AB719" s="73">
        <v>0</v>
      </c>
      <c r="AC719" s="73">
        <v>0</v>
      </c>
      <c r="AD719" s="73">
        <v>0</v>
      </c>
      <c r="AE719" s="73">
        <v>0</v>
      </c>
      <c r="AF719" s="74">
        <f>tblData[[#This Row],[Gross Sales]]+tblData[[#This Row],[Trade Discounts]]+tblData[[#This Row],[Returns]]</f>
        <v>1803</v>
      </c>
      <c r="AG719" s="74">
        <f>tblData[[#This Row],[Material Cost]]+tblData[[#This Row],[Conversion Cost]]+tblData[[#This Row],[Inbound Freight]]</f>
        <v>-871</v>
      </c>
      <c r="AH719" s="74">
        <f>tblData[[#This Row],[Net Revenue]]+tblData[[#This Row],[COGS]]</f>
        <v>932</v>
      </c>
      <c r="AI719" s="74">
        <f>tblData[[#This Row],[Advertising]]+tblData[[#This Row],[Promotions]]</f>
        <v>-87</v>
      </c>
      <c r="AJ719" s="74">
        <f>tblData[[#This Row],[Outbound Logistics]]+tblData[[#This Row],[Direct Selling]]</f>
        <v>-152</v>
      </c>
      <c r="AK719" s="74">
        <f>tblData[[#This Row],[Gross Profit]]+tblData[[#This Row],[AP Spend]]+tblData[[#This Row],[Cost to Serve]]</f>
        <v>693</v>
      </c>
    </row>
    <row r="720" spans="2:37" x14ac:dyDescent="0.25">
      <c r="B720" s="71" t="s">
        <v>50</v>
      </c>
      <c r="C720" s="71">
        <v>2026</v>
      </c>
      <c r="D720" s="71">
        <v>7</v>
      </c>
      <c r="E720" s="71" t="s">
        <v>44</v>
      </c>
      <c r="F720" s="71" t="s">
        <v>41</v>
      </c>
      <c r="G720" s="72">
        <v>153.9</v>
      </c>
      <c r="H720" s="73">
        <v>1693</v>
      </c>
      <c r="I720" s="73">
        <v>-271</v>
      </c>
      <c r="J720" s="73">
        <v>-20</v>
      </c>
      <c r="K720" s="73">
        <v>-402</v>
      </c>
      <c r="L720" s="73">
        <v>-101</v>
      </c>
      <c r="M720" s="73">
        <v>-56</v>
      </c>
      <c r="N720" s="73">
        <v>-121</v>
      </c>
      <c r="O720" s="73">
        <v>-65</v>
      </c>
      <c r="P720" s="73">
        <v>-68</v>
      </c>
      <c r="Q720" s="73">
        <v>-51</v>
      </c>
      <c r="R720" s="73">
        <v>0</v>
      </c>
      <c r="S720" s="73">
        <v>0</v>
      </c>
      <c r="T720" s="73">
        <v>0</v>
      </c>
      <c r="U720" s="73">
        <v>0</v>
      </c>
      <c r="V720" s="73">
        <v>0</v>
      </c>
      <c r="W720" s="73">
        <v>0</v>
      </c>
      <c r="X720" s="73">
        <v>0</v>
      </c>
      <c r="Y720" s="73">
        <v>0</v>
      </c>
      <c r="Z720" s="73">
        <v>2325</v>
      </c>
      <c r="AA720" s="73">
        <v>1668</v>
      </c>
      <c r="AB720" s="73">
        <v>0</v>
      </c>
      <c r="AC720" s="73">
        <v>0</v>
      </c>
      <c r="AD720" s="73">
        <v>0</v>
      </c>
      <c r="AE720" s="73">
        <v>0</v>
      </c>
      <c r="AF720" s="74">
        <f>tblData[[#This Row],[Gross Sales]]+tblData[[#This Row],[Trade Discounts]]+tblData[[#This Row],[Returns]]</f>
        <v>1402</v>
      </c>
      <c r="AG720" s="74">
        <f>tblData[[#This Row],[Material Cost]]+tblData[[#This Row],[Conversion Cost]]+tblData[[#This Row],[Inbound Freight]]</f>
        <v>-559</v>
      </c>
      <c r="AH720" s="74">
        <f>tblData[[#This Row],[Net Revenue]]+tblData[[#This Row],[COGS]]</f>
        <v>843</v>
      </c>
      <c r="AI720" s="74">
        <f>tblData[[#This Row],[Advertising]]+tblData[[#This Row],[Promotions]]</f>
        <v>-186</v>
      </c>
      <c r="AJ720" s="74">
        <f>tblData[[#This Row],[Outbound Logistics]]+tblData[[#This Row],[Direct Selling]]</f>
        <v>-119</v>
      </c>
      <c r="AK720" s="74">
        <f>tblData[[#This Row],[Gross Profit]]+tblData[[#This Row],[AP Spend]]+tblData[[#This Row],[Cost to Serve]]</f>
        <v>538</v>
      </c>
    </row>
    <row r="721" spans="2:37" x14ac:dyDescent="0.25">
      <c r="B721" s="71" t="s">
        <v>50</v>
      </c>
      <c r="C721" s="71">
        <v>2026</v>
      </c>
      <c r="D721" s="71">
        <v>7</v>
      </c>
      <c r="E721" s="71" t="s">
        <v>44</v>
      </c>
      <c r="F721" s="71" t="s">
        <v>42</v>
      </c>
      <c r="G721" s="72">
        <v>201.6</v>
      </c>
      <c r="H721" s="73">
        <v>1210</v>
      </c>
      <c r="I721" s="73">
        <v>-194</v>
      </c>
      <c r="J721" s="73">
        <v>-15</v>
      </c>
      <c r="K721" s="73">
        <v>-383</v>
      </c>
      <c r="L721" s="73">
        <v>-96</v>
      </c>
      <c r="M721" s="73">
        <v>-53</v>
      </c>
      <c r="N721" s="73">
        <v>-24</v>
      </c>
      <c r="O721" s="73">
        <v>-13</v>
      </c>
      <c r="P721" s="73">
        <v>-48</v>
      </c>
      <c r="Q721" s="73">
        <v>-36</v>
      </c>
      <c r="R721" s="73">
        <v>0</v>
      </c>
      <c r="S721" s="73">
        <v>0</v>
      </c>
      <c r="T721" s="73">
        <v>0</v>
      </c>
      <c r="U721" s="73">
        <v>0</v>
      </c>
      <c r="V721" s="73">
        <v>0</v>
      </c>
      <c r="W721" s="73">
        <v>0</v>
      </c>
      <c r="X721" s="73">
        <v>0</v>
      </c>
      <c r="Y721" s="73">
        <v>0</v>
      </c>
      <c r="Z721" s="73">
        <v>1661</v>
      </c>
      <c r="AA721" s="73">
        <v>1942</v>
      </c>
      <c r="AB721" s="73">
        <v>0</v>
      </c>
      <c r="AC721" s="73">
        <v>0</v>
      </c>
      <c r="AD721" s="73">
        <v>0</v>
      </c>
      <c r="AE721" s="73">
        <v>0</v>
      </c>
      <c r="AF721" s="74">
        <f>tblData[[#This Row],[Gross Sales]]+tblData[[#This Row],[Trade Discounts]]+tblData[[#This Row],[Returns]]</f>
        <v>1001</v>
      </c>
      <c r="AG721" s="74">
        <f>tblData[[#This Row],[Material Cost]]+tblData[[#This Row],[Conversion Cost]]+tblData[[#This Row],[Inbound Freight]]</f>
        <v>-532</v>
      </c>
      <c r="AH721" s="74">
        <f>tblData[[#This Row],[Net Revenue]]+tblData[[#This Row],[COGS]]</f>
        <v>469</v>
      </c>
      <c r="AI721" s="74">
        <f>tblData[[#This Row],[Advertising]]+tblData[[#This Row],[Promotions]]</f>
        <v>-37</v>
      </c>
      <c r="AJ721" s="74">
        <f>tblData[[#This Row],[Outbound Logistics]]+tblData[[#This Row],[Direct Selling]]</f>
        <v>-84</v>
      </c>
      <c r="AK721" s="74">
        <f>tblData[[#This Row],[Gross Profit]]+tblData[[#This Row],[AP Spend]]+tblData[[#This Row],[Cost to Serve]]</f>
        <v>348</v>
      </c>
    </row>
    <row r="722" spans="2:37" x14ac:dyDescent="0.25">
      <c r="B722" s="71" t="s">
        <v>50</v>
      </c>
      <c r="C722" s="71">
        <v>2026</v>
      </c>
      <c r="D722" s="71">
        <v>7</v>
      </c>
      <c r="E722" s="71" t="s">
        <v>44</v>
      </c>
      <c r="F722" s="71" t="s">
        <v>43</v>
      </c>
      <c r="G722" s="72">
        <v>40.299999999999997</v>
      </c>
      <c r="H722" s="73">
        <v>726</v>
      </c>
      <c r="I722" s="73">
        <v>-116</v>
      </c>
      <c r="J722" s="73">
        <v>-9</v>
      </c>
      <c r="K722" s="73">
        <v>-199</v>
      </c>
      <c r="L722" s="73">
        <v>-50</v>
      </c>
      <c r="M722" s="73">
        <v>-28</v>
      </c>
      <c r="N722" s="73">
        <v>-66</v>
      </c>
      <c r="O722" s="73">
        <v>-36</v>
      </c>
      <c r="P722" s="73">
        <v>-29</v>
      </c>
      <c r="Q722" s="73">
        <v>-22</v>
      </c>
      <c r="R722" s="73">
        <v>0</v>
      </c>
      <c r="S722" s="73">
        <v>0</v>
      </c>
      <c r="T722" s="73">
        <v>0</v>
      </c>
      <c r="U722" s="73">
        <v>0</v>
      </c>
      <c r="V722" s="73">
        <v>0</v>
      </c>
      <c r="W722" s="73">
        <v>0</v>
      </c>
      <c r="X722" s="73">
        <v>0</v>
      </c>
      <c r="Y722" s="73">
        <v>0</v>
      </c>
      <c r="Z722" s="73">
        <v>997</v>
      </c>
      <c r="AA722" s="73">
        <v>1098</v>
      </c>
      <c r="AB722" s="73">
        <v>0</v>
      </c>
      <c r="AC722" s="73">
        <v>0</v>
      </c>
      <c r="AD722" s="73">
        <v>0</v>
      </c>
      <c r="AE722" s="73">
        <v>0</v>
      </c>
      <c r="AF722" s="74">
        <f>tblData[[#This Row],[Gross Sales]]+tblData[[#This Row],[Trade Discounts]]+tblData[[#This Row],[Returns]]</f>
        <v>601</v>
      </c>
      <c r="AG722" s="74">
        <f>tblData[[#This Row],[Material Cost]]+tblData[[#This Row],[Conversion Cost]]+tblData[[#This Row],[Inbound Freight]]</f>
        <v>-277</v>
      </c>
      <c r="AH722" s="74">
        <f>tblData[[#This Row],[Net Revenue]]+tblData[[#This Row],[COGS]]</f>
        <v>324</v>
      </c>
      <c r="AI722" s="74">
        <f>tblData[[#This Row],[Advertising]]+tblData[[#This Row],[Promotions]]</f>
        <v>-102</v>
      </c>
      <c r="AJ722" s="74">
        <f>tblData[[#This Row],[Outbound Logistics]]+tblData[[#This Row],[Direct Selling]]</f>
        <v>-51</v>
      </c>
      <c r="AK722" s="74">
        <f>tblData[[#This Row],[Gross Profit]]+tblData[[#This Row],[AP Spend]]+tblData[[#This Row],[Cost to Serve]]</f>
        <v>171</v>
      </c>
    </row>
    <row r="723" spans="2:37" x14ac:dyDescent="0.25">
      <c r="B723" s="71" t="s">
        <v>50</v>
      </c>
      <c r="C723" s="71">
        <v>2026</v>
      </c>
      <c r="D723" s="71">
        <v>7</v>
      </c>
      <c r="E723" s="71" t="s">
        <v>45</v>
      </c>
      <c r="F723" s="71" t="s">
        <v>38</v>
      </c>
      <c r="G723" s="72">
        <v>141.1</v>
      </c>
      <c r="H723" s="73">
        <v>1976</v>
      </c>
      <c r="I723" s="73">
        <v>-435</v>
      </c>
      <c r="J723" s="73">
        <v>-20</v>
      </c>
      <c r="K723" s="73">
        <v>-427</v>
      </c>
      <c r="L723" s="73">
        <v>-107</v>
      </c>
      <c r="M723" s="73">
        <v>-59</v>
      </c>
      <c r="N723" s="73">
        <v>-116</v>
      </c>
      <c r="O723" s="73">
        <v>-62</v>
      </c>
      <c r="P723" s="73">
        <v>-69</v>
      </c>
      <c r="Q723" s="73">
        <v>-40</v>
      </c>
      <c r="R723" s="73">
        <v>0</v>
      </c>
      <c r="S723" s="73">
        <v>0</v>
      </c>
      <c r="T723" s="73">
        <v>0</v>
      </c>
      <c r="U723" s="73">
        <v>0</v>
      </c>
      <c r="V723" s="73">
        <v>0</v>
      </c>
      <c r="W723" s="73">
        <v>0</v>
      </c>
      <c r="X723" s="73">
        <v>0</v>
      </c>
      <c r="Y723" s="73">
        <v>0</v>
      </c>
      <c r="Z723" s="73">
        <v>2271</v>
      </c>
      <c r="AA723" s="73">
        <v>1868</v>
      </c>
      <c r="AB723" s="73">
        <v>0</v>
      </c>
      <c r="AC723" s="73">
        <v>0</v>
      </c>
      <c r="AD723" s="73">
        <v>0</v>
      </c>
      <c r="AE723" s="73">
        <v>0</v>
      </c>
      <c r="AF723" s="74">
        <f>tblData[[#This Row],[Gross Sales]]+tblData[[#This Row],[Trade Discounts]]+tblData[[#This Row],[Returns]]</f>
        <v>1521</v>
      </c>
      <c r="AG723" s="74">
        <f>tblData[[#This Row],[Material Cost]]+tblData[[#This Row],[Conversion Cost]]+tblData[[#This Row],[Inbound Freight]]</f>
        <v>-593</v>
      </c>
      <c r="AH723" s="74">
        <f>tblData[[#This Row],[Net Revenue]]+tblData[[#This Row],[COGS]]</f>
        <v>928</v>
      </c>
      <c r="AI723" s="74">
        <f>tblData[[#This Row],[Advertising]]+tblData[[#This Row],[Promotions]]</f>
        <v>-178</v>
      </c>
      <c r="AJ723" s="74">
        <f>tblData[[#This Row],[Outbound Logistics]]+tblData[[#This Row],[Direct Selling]]</f>
        <v>-109</v>
      </c>
      <c r="AK723" s="74">
        <f>tblData[[#This Row],[Gross Profit]]+tblData[[#This Row],[AP Spend]]+tblData[[#This Row],[Cost to Serve]]</f>
        <v>641</v>
      </c>
    </row>
    <row r="724" spans="2:37" x14ac:dyDescent="0.25">
      <c r="B724" s="71" t="s">
        <v>50</v>
      </c>
      <c r="C724" s="71">
        <v>2026</v>
      </c>
      <c r="D724" s="71">
        <v>7</v>
      </c>
      <c r="E724" s="71" t="s">
        <v>45</v>
      </c>
      <c r="F724" s="71" t="s">
        <v>39</v>
      </c>
      <c r="G724" s="72">
        <v>188.2</v>
      </c>
      <c r="H724" s="73">
        <v>1693</v>
      </c>
      <c r="I724" s="73">
        <v>-373</v>
      </c>
      <c r="J724" s="73">
        <v>-17</v>
      </c>
      <c r="K724" s="73">
        <v>-439</v>
      </c>
      <c r="L724" s="73">
        <v>-110</v>
      </c>
      <c r="M724" s="73">
        <v>-61</v>
      </c>
      <c r="N724" s="73">
        <v>-66</v>
      </c>
      <c r="O724" s="73">
        <v>-36</v>
      </c>
      <c r="P724" s="73">
        <v>-59</v>
      </c>
      <c r="Q724" s="73">
        <v>-34</v>
      </c>
      <c r="R724" s="73">
        <v>0</v>
      </c>
      <c r="S724" s="73">
        <v>0</v>
      </c>
      <c r="T724" s="73">
        <v>0</v>
      </c>
      <c r="U724" s="73">
        <v>0</v>
      </c>
      <c r="V724" s="73">
        <v>0</v>
      </c>
      <c r="W724" s="73">
        <v>0</v>
      </c>
      <c r="X724" s="73">
        <v>0</v>
      </c>
      <c r="Y724" s="73">
        <v>0</v>
      </c>
      <c r="Z724" s="73">
        <v>1946</v>
      </c>
      <c r="AA724" s="73">
        <v>1618</v>
      </c>
      <c r="AB724" s="73">
        <v>0</v>
      </c>
      <c r="AC724" s="73">
        <v>0</v>
      </c>
      <c r="AD724" s="73">
        <v>0</v>
      </c>
      <c r="AE724" s="73">
        <v>0</v>
      </c>
      <c r="AF724" s="74">
        <f>tblData[[#This Row],[Gross Sales]]+tblData[[#This Row],[Trade Discounts]]+tblData[[#This Row],[Returns]]</f>
        <v>1303</v>
      </c>
      <c r="AG724" s="74">
        <f>tblData[[#This Row],[Material Cost]]+tblData[[#This Row],[Conversion Cost]]+tblData[[#This Row],[Inbound Freight]]</f>
        <v>-610</v>
      </c>
      <c r="AH724" s="74">
        <f>tblData[[#This Row],[Net Revenue]]+tblData[[#This Row],[COGS]]</f>
        <v>693</v>
      </c>
      <c r="AI724" s="74">
        <f>tblData[[#This Row],[Advertising]]+tblData[[#This Row],[Promotions]]</f>
        <v>-102</v>
      </c>
      <c r="AJ724" s="74">
        <f>tblData[[#This Row],[Outbound Logistics]]+tblData[[#This Row],[Direct Selling]]</f>
        <v>-93</v>
      </c>
      <c r="AK724" s="74">
        <f>tblData[[#This Row],[Gross Profit]]+tblData[[#This Row],[AP Spend]]+tblData[[#This Row],[Cost to Serve]]</f>
        <v>498</v>
      </c>
    </row>
    <row r="725" spans="2:37" x14ac:dyDescent="0.25">
      <c r="B725" s="71" t="s">
        <v>50</v>
      </c>
      <c r="C725" s="71">
        <v>2026</v>
      </c>
      <c r="D725" s="71">
        <v>7</v>
      </c>
      <c r="E725" s="71" t="s">
        <v>45</v>
      </c>
      <c r="F725" s="71" t="s">
        <v>40</v>
      </c>
      <c r="G725" s="72">
        <v>181.4</v>
      </c>
      <c r="H725" s="73">
        <v>1270</v>
      </c>
      <c r="I725" s="73">
        <v>-279</v>
      </c>
      <c r="J725" s="73">
        <v>-13</v>
      </c>
      <c r="K725" s="73">
        <v>-366</v>
      </c>
      <c r="L725" s="73">
        <v>-91</v>
      </c>
      <c r="M725" s="73">
        <v>-51</v>
      </c>
      <c r="N725" s="73">
        <v>-33</v>
      </c>
      <c r="O725" s="73">
        <v>-18</v>
      </c>
      <c r="P725" s="73">
        <v>-44</v>
      </c>
      <c r="Q725" s="73">
        <v>-25</v>
      </c>
      <c r="R725" s="73">
        <v>0</v>
      </c>
      <c r="S725" s="73">
        <v>0</v>
      </c>
      <c r="T725" s="73">
        <v>0</v>
      </c>
      <c r="U725" s="73">
        <v>0</v>
      </c>
      <c r="V725" s="73">
        <v>0</v>
      </c>
      <c r="W725" s="73">
        <v>0</v>
      </c>
      <c r="X725" s="73">
        <v>0</v>
      </c>
      <c r="Y725" s="73">
        <v>0</v>
      </c>
      <c r="Z725" s="73">
        <v>1460</v>
      </c>
      <c r="AA725" s="73">
        <v>1264</v>
      </c>
      <c r="AB725" s="73">
        <v>0</v>
      </c>
      <c r="AC725" s="73">
        <v>0</v>
      </c>
      <c r="AD725" s="73">
        <v>0</v>
      </c>
      <c r="AE725" s="73">
        <v>0</v>
      </c>
      <c r="AF725" s="74">
        <f>tblData[[#This Row],[Gross Sales]]+tblData[[#This Row],[Trade Discounts]]+tblData[[#This Row],[Returns]]</f>
        <v>978</v>
      </c>
      <c r="AG725" s="74">
        <f>tblData[[#This Row],[Material Cost]]+tblData[[#This Row],[Conversion Cost]]+tblData[[#This Row],[Inbound Freight]]</f>
        <v>-508</v>
      </c>
      <c r="AH725" s="74">
        <f>tblData[[#This Row],[Net Revenue]]+tblData[[#This Row],[COGS]]</f>
        <v>470</v>
      </c>
      <c r="AI725" s="74">
        <f>tblData[[#This Row],[Advertising]]+tblData[[#This Row],[Promotions]]</f>
        <v>-51</v>
      </c>
      <c r="AJ725" s="74">
        <f>tblData[[#This Row],[Outbound Logistics]]+tblData[[#This Row],[Direct Selling]]</f>
        <v>-69</v>
      </c>
      <c r="AK725" s="74">
        <f>tblData[[#This Row],[Gross Profit]]+tblData[[#This Row],[AP Spend]]+tblData[[#This Row],[Cost to Serve]]</f>
        <v>350</v>
      </c>
    </row>
    <row r="726" spans="2:37" x14ac:dyDescent="0.25">
      <c r="B726" s="71" t="s">
        <v>50</v>
      </c>
      <c r="C726" s="71">
        <v>2026</v>
      </c>
      <c r="D726" s="71">
        <v>7</v>
      </c>
      <c r="E726" s="71" t="s">
        <v>45</v>
      </c>
      <c r="F726" s="71" t="s">
        <v>41</v>
      </c>
      <c r="G726" s="72">
        <v>89.8</v>
      </c>
      <c r="H726" s="73">
        <v>988</v>
      </c>
      <c r="I726" s="73">
        <v>-217</v>
      </c>
      <c r="J726" s="73">
        <v>-10</v>
      </c>
      <c r="K726" s="73">
        <v>-235</v>
      </c>
      <c r="L726" s="73">
        <v>-59</v>
      </c>
      <c r="M726" s="73">
        <v>-33</v>
      </c>
      <c r="N726" s="73">
        <v>-71</v>
      </c>
      <c r="O726" s="73">
        <v>-38</v>
      </c>
      <c r="P726" s="73">
        <v>-35</v>
      </c>
      <c r="Q726" s="73">
        <v>-20</v>
      </c>
      <c r="R726" s="73">
        <v>0</v>
      </c>
      <c r="S726" s="73">
        <v>0</v>
      </c>
      <c r="T726" s="73">
        <v>0</v>
      </c>
      <c r="U726" s="73">
        <v>0</v>
      </c>
      <c r="V726" s="73">
        <v>0</v>
      </c>
      <c r="W726" s="73">
        <v>0</v>
      </c>
      <c r="X726" s="73">
        <v>0</v>
      </c>
      <c r="Y726" s="73">
        <v>0</v>
      </c>
      <c r="Z726" s="73">
        <v>1135</v>
      </c>
      <c r="AA726" s="73">
        <v>973</v>
      </c>
      <c r="AB726" s="73">
        <v>0</v>
      </c>
      <c r="AC726" s="73">
        <v>0</v>
      </c>
      <c r="AD726" s="73">
        <v>0</v>
      </c>
      <c r="AE726" s="73">
        <v>0</v>
      </c>
      <c r="AF726" s="74">
        <f>tblData[[#This Row],[Gross Sales]]+tblData[[#This Row],[Trade Discounts]]+tblData[[#This Row],[Returns]]</f>
        <v>761</v>
      </c>
      <c r="AG726" s="74">
        <f>tblData[[#This Row],[Material Cost]]+tblData[[#This Row],[Conversion Cost]]+tblData[[#This Row],[Inbound Freight]]</f>
        <v>-327</v>
      </c>
      <c r="AH726" s="74">
        <f>tblData[[#This Row],[Net Revenue]]+tblData[[#This Row],[COGS]]</f>
        <v>434</v>
      </c>
      <c r="AI726" s="74">
        <f>tblData[[#This Row],[Advertising]]+tblData[[#This Row],[Promotions]]</f>
        <v>-109</v>
      </c>
      <c r="AJ726" s="74">
        <f>tblData[[#This Row],[Outbound Logistics]]+tblData[[#This Row],[Direct Selling]]</f>
        <v>-55</v>
      </c>
      <c r="AK726" s="74">
        <f>tblData[[#This Row],[Gross Profit]]+tblData[[#This Row],[AP Spend]]+tblData[[#This Row],[Cost to Serve]]</f>
        <v>270</v>
      </c>
    </row>
    <row r="727" spans="2:37" x14ac:dyDescent="0.25">
      <c r="B727" s="71" t="s">
        <v>50</v>
      </c>
      <c r="C727" s="71">
        <v>2026</v>
      </c>
      <c r="D727" s="71">
        <v>7</v>
      </c>
      <c r="E727" s="71" t="s">
        <v>45</v>
      </c>
      <c r="F727" s="71" t="s">
        <v>42</v>
      </c>
      <c r="G727" s="72">
        <v>117.6</v>
      </c>
      <c r="H727" s="73">
        <v>706</v>
      </c>
      <c r="I727" s="73">
        <v>-155</v>
      </c>
      <c r="J727" s="73">
        <v>-7</v>
      </c>
      <c r="K727" s="73">
        <v>-224</v>
      </c>
      <c r="L727" s="73">
        <v>-56</v>
      </c>
      <c r="M727" s="73">
        <v>-31</v>
      </c>
      <c r="N727" s="73">
        <v>-14</v>
      </c>
      <c r="O727" s="73">
        <v>-7</v>
      </c>
      <c r="P727" s="73">
        <v>-25</v>
      </c>
      <c r="Q727" s="73">
        <v>-14</v>
      </c>
      <c r="R727" s="73">
        <v>0</v>
      </c>
      <c r="S727" s="73">
        <v>0</v>
      </c>
      <c r="T727" s="73">
        <v>0</v>
      </c>
      <c r="U727" s="73">
        <v>0</v>
      </c>
      <c r="V727" s="73">
        <v>0</v>
      </c>
      <c r="W727" s="73">
        <v>0</v>
      </c>
      <c r="X727" s="73">
        <v>0</v>
      </c>
      <c r="Y727" s="73">
        <v>0</v>
      </c>
      <c r="Z727" s="73">
        <v>811</v>
      </c>
      <c r="AA727" s="73">
        <v>1133</v>
      </c>
      <c r="AB727" s="73">
        <v>0</v>
      </c>
      <c r="AC727" s="73">
        <v>0</v>
      </c>
      <c r="AD727" s="73">
        <v>0</v>
      </c>
      <c r="AE727" s="73">
        <v>0</v>
      </c>
      <c r="AF727" s="74">
        <f>tblData[[#This Row],[Gross Sales]]+tblData[[#This Row],[Trade Discounts]]+tblData[[#This Row],[Returns]]</f>
        <v>544</v>
      </c>
      <c r="AG727" s="74">
        <f>tblData[[#This Row],[Material Cost]]+tblData[[#This Row],[Conversion Cost]]+tblData[[#This Row],[Inbound Freight]]</f>
        <v>-311</v>
      </c>
      <c r="AH727" s="74">
        <f>tblData[[#This Row],[Net Revenue]]+tblData[[#This Row],[COGS]]</f>
        <v>233</v>
      </c>
      <c r="AI727" s="74">
        <f>tblData[[#This Row],[Advertising]]+tblData[[#This Row],[Promotions]]</f>
        <v>-21</v>
      </c>
      <c r="AJ727" s="74">
        <f>tblData[[#This Row],[Outbound Logistics]]+tblData[[#This Row],[Direct Selling]]</f>
        <v>-39</v>
      </c>
      <c r="AK727" s="74">
        <f>tblData[[#This Row],[Gross Profit]]+tblData[[#This Row],[AP Spend]]+tblData[[#This Row],[Cost to Serve]]</f>
        <v>173</v>
      </c>
    </row>
    <row r="728" spans="2:37" x14ac:dyDescent="0.25">
      <c r="B728" s="71" t="s">
        <v>50</v>
      </c>
      <c r="C728" s="71">
        <v>2026</v>
      </c>
      <c r="D728" s="71">
        <v>7</v>
      </c>
      <c r="E728" s="71" t="s">
        <v>45</v>
      </c>
      <c r="F728" s="71" t="s">
        <v>43</v>
      </c>
      <c r="G728" s="72">
        <v>23.5</v>
      </c>
      <c r="H728" s="73">
        <v>423</v>
      </c>
      <c r="I728" s="73">
        <v>-93</v>
      </c>
      <c r="J728" s="73">
        <v>-4</v>
      </c>
      <c r="K728" s="73">
        <v>-116</v>
      </c>
      <c r="L728" s="73">
        <v>-29</v>
      </c>
      <c r="M728" s="73">
        <v>-16</v>
      </c>
      <c r="N728" s="73">
        <v>-39</v>
      </c>
      <c r="O728" s="73">
        <v>-21</v>
      </c>
      <c r="P728" s="73">
        <v>-15</v>
      </c>
      <c r="Q728" s="73">
        <v>-8</v>
      </c>
      <c r="R728" s="73">
        <v>0</v>
      </c>
      <c r="S728" s="73">
        <v>0</v>
      </c>
      <c r="T728" s="73">
        <v>0</v>
      </c>
      <c r="U728" s="73">
        <v>0</v>
      </c>
      <c r="V728" s="73">
        <v>0</v>
      </c>
      <c r="W728" s="73">
        <v>0</v>
      </c>
      <c r="X728" s="73">
        <v>0</v>
      </c>
      <c r="Y728" s="73">
        <v>0</v>
      </c>
      <c r="Z728" s="73">
        <v>487</v>
      </c>
      <c r="AA728" s="73">
        <v>640</v>
      </c>
      <c r="AB728" s="73">
        <v>0</v>
      </c>
      <c r="AC728" s="73">
        <v>0</v>
      </c>
      <c r="AD728" s="73">
        <v>0</v>
      </c>
      <c r="AE728" s="73">
        <v>0</v>
      </c>
      <c r="AF728" s="74">
        <f>tblData[[#This Row],[Gross Sales]]+tblData[[#This Row],[Trade Discounts]]+tblData[[#This Row],[Returns]]</f>
        <v>326</v>
      </c>
      <c r="AG728" s="74">
        <f>tblData[[#This Row],[Material Cost]]+tblData[[#This Row],[Conversion Cost]]+tblData[[#This Row],[Inbound Freight]]</f>
        <v>-161</v>
      </c>
      <c r="AH728" s="74">
        <f>tblData[[#This Row],[Net Revenue]]+tblData[[#This Row],[COGS]]</f>
        <v>165</v>
      </c>
      <c r="AI728" s="74">
        <f>tblData[[#This Row],[Advertising]]+tblData[[#This Row],[Promotions]]</f>
        <v>-60</v>
      </c>
      <c r="AJ728" s="74">
        <f>tblData[[#This Row],[Outbound Logistics]]+tblData[[#This Row],[Direct Selling]]</f>
        <v>-23</v>
      </c>
      <c r="AK728" s="74">
        <f>tblData[[#This Row],[Gross Profit]]+tblData[[#This Row],[AP Spend]]+tblData[[#This Row],[Cost to Serve]]</f>
        <v>82</v>
      </c>
    </row>
    <row r="729" spans="2:37" x14ac:dyDescent="0.25">
      <c r="B729" s="71" t="s">
        <v>50</v>
      </c>
      <c r="C729" s="71">
        <v>2026</v>
      </c>
      <c r="D729" s="71">
        <v>7</v>
      </c>
      <c r="E729" s="71" t="s">
        <v>46</v>
      </c>
      <c r="F729" s="71" t="s">
        <v>38</v>
      </c>
      <c r="G729" s="72">
        <v>161.30000000000001</v>
      </c>
      <c r="H729" s="73">
        <v>2258</v>
      </c>
      <c r="I729" s="73">
        <v>-248</v>
      </c>
      <c r="J729" s="73">
        <v>-90</v>
      </c>
      <c r="K729" s="73">
        <v>-488</v>
      </c>
      <c r="L729" s="73">
        <v>-122</v>
      </c>
      <c r="M729" s="73">
        <v>-68</v>
      </c>
      <c r="N729" s="73">
        <v>-132</v>
      </c>
      <c r="O729" s="73">
        <v>-71</v>
      </c>
      <c r="P729" s="73">
        <v>-169</v>
      </c>
      <c r="Q729" s="73">
        <v>-45</v>
      </c>
      <c r="R729" s="73">
        <v>0</v>
      </c>
      <c r="S729" s="73">
        <v>0</v>
      </c>
      <c r="T729" s="73">
        <v>0</v>
      </c>
      <c r="U729" s="73">
        <v>0</v>
      </c>
      <c r="V729" s="73">
        <v>0</v>
      </c>
      <c r="W729" s="73">
        <v>0</v>
      </c>
      <c r="X729" s="73">
        <v>0</v>
      </c>
      <c r="Y729" s="73">
        <v>0</v>
      </c>
      <c r="Z729" s="73">
        <v>1591</v>
      </c>
      <c r="AA729" s="73">
        <v>2134</v>
      </c>
      <c r="AB729" s="73">
        <v>0</v>
      </c>
      <c r="AC729" s="73">
        <v>0</v>
      </c>
      <c r="AD729" s="73">
        <v>0</v>
      </c>
      <c r="AE729" s="73">
        <v>0</v>
      </c>
      <c r="AF729" s="74">
        <f>tblData[[#This Row],[Gross Sales]]+tblData[[#This Row],[Trade Discounts]]+tblData[[#This Row],[Returns]]</f>
        <v>1920</v>
      </c>
      <c r="AG729" s="74">
        <f>tblData[[#This Row],[Material Cost]]+tblData[[#This Row],[Conversion Cost]]+tblData[[#This Row],[Inbound Freight]]</f>
        <v>-678</v>
      </c>
      <c r="AH729" s="74">
        <f>tblData[[#This Row],[Net Revenue]]+tblData[[#This Row],[COGS]]</f>
        <v>1242</v>
      </c>
      <c r="AI729" s="74">
        <f>tblData[[#This Row],[Advertising]]+tblData[[#This Row],[Promotions]]</f>
        <v>-203</v>
      </c>
      <c r="AJ729" s="74">
        <f>tblData[[#This Row],[Outbound Logistics]]+tblData[[#This Row],[Direct Selling]]</f>
        <v>-214</v>
      </c>
      <c r="AK729" s="74">
        <f>tblData[[#This Row],[Gross Profit]]+tblData[[#This Row],[AP Spend]]+tblData[[#This Row],[Cost to Serve]]</f>
        <v>825</v>
      </c>
    </row>
    <row r="730" spans="2:37" x14ac:dyDescent="0.25">
      <c r="B730" s="71" t="s">
        <v>50</v>
      </c>
      <c r="C730" s="71">
        <v>2026</v>
      </c>
      <c r="D730" s="71">
        <v>7</v>
      </c>
      <c r="E730" s="71" t="s">
        <v>46</v>
      </c>
      <c r="F730" s="71" t="s">
        <v>39</v>
      </c>
      <c r="G730" s="72">
        <v>215</v>
      </c>
      <c r="H730" s="73">
        <v>1935</v>
      </c>
      <c r="I730" s="73">
        <v>-213</v>
      </c>
      <c r="J730" s="73">
        <v>-77</v>
      </c>
      <c r="K730" s="73">
        <v>-502</v>
      </c>
      <c r="L730" s="73">
        <v>-125</v>
      </c>
      <c r="M730" s="73">
        <v>-70</v>
      </c>
      <c r="N730" s="73">
        <v>-75</v>
      </c>
      <c r="O730" s="73">
        <v>-41</v>
      </c>
      <c r="P730" s="73">
        <v>-145</v>
      </c>
      <c r="Q730" s="73">
        <v>-39</v>
      </c>
      <c r="R730" s="73">
        <v>0</v>
      </c>
      <c r="S730" s="73">
        <v>0</v>
      </c>
      <c r="T730" s="73">
        <v>0</v>
      </c>
      <c r="U730" s="73">
        <v>0</v>
      </c>
      <c r="V730" s="73">
        <v>0</v>
      </c>
      <c r="W730" s="73">
        <v>0</v>
      </c>
      <c r="X730" s="73">
        <v>0</v>
      </c>
      <c r="Y730" s="73">
        <v>0</v>
      </c>
      <c r="Z730" s="73">
        <v>1364</v>
      </c>
      <c r="AA730" s="73">
        <v>1849</v>
      </c>
      <c r="AB730" s="73">
        <v>0</v>
      </c>
      <c r="AC730" s="73">
        <v>0</v>
      </c>
      <c r="AD730" s="73">
        <v>0</v>
      </c>
      <c r="AE730" s="73">
        <v>0</v>
      </c>
      <c r="AF730" s="74">
        <f>tblData[[#This Row],[Gross Sales]]+tblData[[#This Row],[Trade Discounts]]+tblData[[#This Row],[Returns]]</f>
        <v>1645</v>
      </c>
      <c r="AG730" s="74">
        <f>tblData[[#This Row],[Material Cost]]+tblData[[#This Row],[Conversion Cost]]+tblData[[#This Row],[Inbound Freight]]</f>
        <v>-697</v>
      </c>
      <c r="AH730" s="74">
        <f>tblData[[#This Row],[Net Revenue]]+tblData[[#This Row],[COGS]]</f>
        <v>948</v>
      </c>
      <c r="AI730" s="74">
        <f>tblData[[#This Row],[Advertising]]+tblData[[#This Row],[Promotions]]</f>
        <v>-116</v>
      </c>
      <c r="AJ730" s="74">
        <f>tblData[[#This Row],[Outbound Logistics]]+tblData[[#This Row],[Direct Selling]]</f>
        <v>-184</v>
      </c>
      <c r="AK730" s="74">
        <f>tblData[[#This Row],[Gross Profit]]+tblData[[#This Row],[AP Spend]]+tblData[[#This Row],[Cost to Serve]]</f>
        <v>648</v>
      </c>
    </row>
    <row r="731" spans="2:37" x14ac:dyDescent="0.25">
      <c r="B731" s="71" t="s">
        <v>50</v>
      </c>
      <c r="C731" s="71">
        <v>2026</v>
      </c>
      <c r="D731" s="71">
        <v>7</v>
      </c>
      <c r="E731" s="71" t="s">
        <v>46</v>
      </c>
      <c r="F731" s="71" t="s">
        <v>40</v>
      </c>
      <c r="G731" s="72">
        <v>207.4</v>
      </c>
      <c r="H731" s="73">
        <v>1452</v>
      </c>
      <c r="I731" s="73">
        <v>-160</v>
      </c>
      <c r="J731" s="73">
        <v>-58</v>
      </c>
      <c r="K731" s="73">
        <v>-418</v>
      </c>
      <c r="L731" s="73">
        <v>-105</v>
      </c>
      <c r="M731" s="73">
        <v>-58</v>
      </c>
      <c r="N731" s="73">
        <v>-38</v>
      </c>
      <c r="O731" s="73">
        <v>-20</v>
      </c>
      <c r="P731" s="73">
        <v>-109</v>
      </c>
      <c r="Q731" s="73">
        <v>-29</v>
      </c>
      <c r="R731" s="73">
        <v>0</v>
      </c>
      <c r="S731" s="73">
        <v>0</v>
      </c>
      <c r="T731" s="73">
        <v>0</v>
      </c>
      <c r="U731" s="73">
        <v>0</v>
      </c>
      <c r="V731" s="73">
        <v>0</v>
      </c>
      <c r="W731" s="73">
        <v>0</v>
      </c>
      <c r="X731" s="73">
        <v>0</v>
      </c>
      <c r="Y731" s="73">
        <v>0</v>
      </c>
      <c r="Z731" s="73">
        <v>1023</v>
      </c>
      <c r="AA731" s="73">
        <v>1444</v>
      </c>
      <c r="AB731" s="73">
        <v>0</v>
      </c>
      <c r="AC731" s="73">
        <v>0</v>
      </c>
      <c r="AD731" s="73">
        <v>0</v>
      </c>
      <c r="AE731" s="73">
        <v>0</v>
      </c>
      <c r="AF731" s="74">
        <f>tblData[[#This Row],[Gross Sales]]+tblData[[#This Row],[Trade Discounts]]+tblData[[#This Row],[Returns]]</f>
        <v>1234</v>
      </c>
      <c r="AG731" s="74">
        <f>tblData[[#This Row],[Material Cost]]+tblData[[#This Row],[Conversion Cost]]+tblData[[#This Row],[Inbound Freight]]</f>
        <v>-581</v>
      </c>
      <c r="AH731" s="74">
        <f>tblData[[#This Row],[Net Revenue]]+tblData[[#This Row],[COGS]]</f>
        <v>653</v>
      </c>
      <c r="AI731" s="74">
        <f>tblData[[#This Row],[Advertising]]+tblData[[#This Row],[Promotions]]</f>
        <v>-58</v>
      </c>
      <c r="AJ731" s="74">
        <f>tblData[[#This Row],[Outbound Logistics]]+tblData[[#This Row],[Direct Selling]]</f>
        <v>-138</v>
      </c>
      <c r="AK731" s="74">
        <f>tblData[[#This Row],[Gross Profit]]+tblData[[#This Row],[AP Spend]]+tblData[[#This Row],[Cost to Serve]]</f>
        <v>457</v>
      </c>
    </row>
    <row r="732" spans="2:37" x14ac:dyDescent="0.25">
      <c r="B732" s="71" t="s">
        <v>50</v>
      </c>
      <c r="C732" s="71">
        <v>2026</v>
      </c>
      <c r="D732" s="71">
        <v>7</v>
      </c>
      <c r="E732" s="71" t="s">
        <v>46</v>
      </c>
      <c r="F732" s="71" t="s">
        <v>41</v>
      </c>
      <c r="G732" s="72">
        <v>102.6</v>
      </c>
      <c r="H732" s="73">
        <v>1129</v>
      </c>
      <c r="I732" s="73">
        <v>-124</v>
      </c>
      <c r="J732" s="73">
        <v>-45</v>
      </c>
      <c r="K732" s="73">
        <v>-268</v>
      </c>
      <c r="L732" s="73">
        <v>-67</v>
      </c>
      <c r="M732" s="73">
        <v>-37</v>
      </c>
      <c r="N732" s="73">
        <v>-81</v>
      </c>
      <c r="O732" s="73">
        <v>-43</v>
      </c>
      <c r="P732" s="73">
        <v>-85</v>
      </c>
      <c r="Q732" s="73">
        <v>-23</v>
      </c>
      <c r="R732" s="73">
        <v>0</v>
      </c>
      <c r="S732" s="73">
        <v>0</v>
      </c>
      <c r="T732" s="73">
        <v>0</v>
      </c>
      <c r="U732" s="73">
        <v>0</v>
      </c>
      <c r="V732" s="73">
        <v>0</v>
      </c>
      <c r="W732" s="73">
        <v>0</v>
      </c>
      <c r="X732" s="73">
        <v>0</v>
      </c>
      <c r="Y732" s="73">
        <v>0</v>
      </c>
      <c r="Z732" s="73">
        <v>796</v>
      </c>
      <c r="AA732" s="73">
        <v>1112</v>
      </c>
      <c r="AB732" s="73">
        <v>0</v>
      </c>
      <c r="AC732" s="73">
        <v>0</v>
      </c>
      <c r="AD732" s="73">
        <v>0</v>
      </c>
      <c r="AE732" s="73">
        <v>0</v>
      </c>
      <c r="AF732" s="74">
        <f>tblData[[#This Row],[Gross Sales]]+tblData[[#This Row],[Trade Discounts]]+tblData[[#This Row],[Returns]]</f>
        <v>960</v>
      </c>
      <c r="AG732" s="74">
        <f>tblData[[#This Row],[Material Cost]]+tblData[[#This Row],[Conversion Cost]]+tblData[[#This Row],[Inbound Freight]]</f>
        <v>-372</v>
      </c>
      <c r="AH732" s="74">
        <f>tblData[[#This Row],[Net Revenue]]+tblData[[#This Row],[COGS]]</f>
        <v>588</v>
      </c>
      <c r="AI732" s="74">
        <f>tblData[[#This Row],[Advertising]]+tblData[[#This Row],[Promotions]]</f>
        <v>-124</v>
      </c>
      <c r="AJ732" s="74">
        <f>tblData[[#This Row],[Outbound Logistics]]+tblData[[#This Row],[Direct Selling]]</f>
        <v>-108</v>
      </c>
      <c r="AK732" s="74">
        <f>tblData[[#This Row],[Gross Profit]]+tblData[[#This Row],[AP Spend]]+tblData[[#This Row],[Cost to Serve]]</f>
        <v>356</v>
      </c>
    </row>
    <row r="733" spans="2:37" x14ac:dyDescent="0.25">
      <c r="B733" s="71" t="s">
        <v>50</v>
      </c>
      <c r="C733" s="71">
        <v>2026</v>
      </c>
      <c r="D733" s="71">
        <v>7</v>
      </c>
      <c r="E733" s="71" t="s">
        <v>46</v>
      </c>
      <c r="F733" s="71" t="s">
        <v>42</v>
      </c>
      <c r="G733" s="72">
        <v>134.4</v>
      </c>
      <c r="H733" s="73">
        <v>806</v>
      </c>
      <c r="I733" s="73">
        <v>-89</v>
      </c>
      <c r="J733" s="73">
        <v>-32</v>
      </c>
      <c r="K733" s="73">
        <v>-255</v>
      </c>
      <c r="L733" s="73">
        <v>-64</v>
      </c>
      <c r="M733" s="73">
        <v>-35</v>
      </c>
      <c r="N733" s="73">
        <v>-16</v>
      </c>
      <c r="O733" s="73">
        <v>-8</v>
      </c>
      <c r="P733" s="73">
        <v>-60</v>
      </c>
      <c r="Q733" s="73">
        <v>-16</v>
      </c>
      <c r="R733" s="73">
        <v>0</v>
      </c>
      <c r="S733" s="73">
        <v>0</v>
      </c>
      <c r="T733" s="73">
        <v>0</v>
      </c>
      <c r="U733" s="73">
        <v>0</v>
      </c>
      <c r="V733" s="73">
        <v>0</v>
      </c>
      <c r="W733" s="73">
        <v>0</v>
      </c>
      <c r="X733" s="73">
        <v>0</v>
      </c>
      <c r="Y733" s="73">
        <v>0</v>
      </c>
      <c r="Z733" s="73">
        <v>568</v>
      </c>
      <c r="AA733" s="73">
        <v>1295</v>
      </c>
      <c r="AB733" s="73">
        <v>0</v>
      </c>
      <c r="AC733" s="73">
        <v>0</v>
      </c>
      <c r="AD733" s="73">
        <v>0</v>
      </c>
      <c r="AE733" s="73">
        <v>0</v>
      </c>
      <c r="AF733" s="74">
        <f>tblData[[#This Row],[Gross Sales]]+tblData[[#This Row],[Trade Discounts]]+tblData[[#This Row],[Returns]]</f>
        <v>685</v>
      </c>
      <c r="AG733" s="74">
        <f>tblData[[#This Row],[Material Cost]]+tblData[[#This Row],[Conversion Cost]]+tblData[[#This Row],[Inbound Freight]]</f>
        <v>-354</v>
      </c>
      <c r="AH733" s="74">
        <f>tblData[[#This Row],[Net Revenue]]+tblData[[#This Row],[COGS]]</f>
        <v>331</v>
      </c>
      <c r="AI733" s="74">
        <f>tblData[[#This Row],[Advertising]]+tblData[[#This Row],[Promotions]]</f>
        <v>-24</v>
      </c>
      <c r="AJ733" s="74">
        <f>tblData[[#This Row],[Outbound Logistics]]+tblData[[#This Row],[Direct Selling]]</f>
        <v>-76</v>
      </c>
      <c r="AK733" s="74">
        <f>tblData[[#This Row],[Gross Profit]]+tblData[[#This Row],[AP Spend]]+tblData[[#This Row],[Cost to Serve]]</f>
        <v>231</v>
      </c>
    </row>
    <row r="734" spans="2:37" x14ac:dyDescent="0.25">
      <c r="B734" s="71" t="s">
        <v>50</v>
      </c>
      <c r="C734" s="71">
        <v>2026</v>
      </c>
      <c r="D734" s="71">
        <v>7</v>
      </c>
      <c r="E734" s="71" t="s">
        <v>46</v>
      </c>
      <c r="F734" s="71" t="s">
        <v>43</v>
      </c>
      <c r="G734" s="72">
        <v>26.9</v>
      </c>
      <c r="H734" s="73">
        <v>484</v>
      </c>
      <c r="I734" s="73">
        <v>-53</v>
      </c>
      <c r="J734" s="73">
        <v>-19</v>
      </c>
      <c r="K734" s="73">
        <v>-132</v>
      </c>
      <c r="L734" s="73">
        <v>-33</v>
      </c>
      <c r="M734" s="73">
        <v>-18</v>
      </c>
      <c r="N734" s="73">
        <v>-44</v>
      </c>
      <c r="O734" s="73">
        <v>-24</v>
      </c>
      <c r="P734" s="73">
        <v>-36</v>
      </c>
      <c r="Q734" s="73">
        <v>-10</v>
      </c>
      <c r="R734" s="73">
        <v>0</v>
      </c>
      <c r="S734" s="73">
        <v>0</v>
      </c>
      <c r="T734" s="73">
        <v>0</v>
      </c>
      <c r="U734" s="73">
        <v>0</v>
      </c>
      <c r="V734" s="73">
        <v>0</v>
      </c>
      <c r="W734" s="73">
        <v>0</v>
      </c>
      <c r="X734" s="73">
        <v>0</v>
      </c>
      <c r="Y734" s="73">
        <v>0</v>
      </c>
      <c r="Z734" s="73">
        <v>341</v>
      </c>
      <c r="AA734" s="73">
        <v>732</v>
      </c>
      <c r="AB734" s="73">
        <v>0</v>
      </c>
      <c r="AC734" s="73">
        <v>0</v>
      </c>
      <c r="AD734" s="73">
        <v>0</v>
      </c>
      <c r="AE734" s="73">
        <v>0</v>
      </c>
      <c r="AF734" s="74">
        <f>tblData[[#This Row],[Gross Sales]]+tblData[[#This Row],[Trade Discounts]]+tblData[[#This Row],[Returns]]</f>
        <v>412</v>
      </c>
      <c r="AG734" s="74">
        <f>tblData[[#This Row],[Material Cost]]+tblData[[#This Row],[Conversion Cost]]+tblData[[#This Row],[Inbound Freight]]</f>
        <v>-183</v>
      </c>
      <c r="AH734" s="74">
        <f>tblData[[#This Row],[Net Revenue]]+tblData[[#This Row],[COGS]]</f>
        <v>229</v>
      </c>
      <c r="AI734" s="74">
        <f>tblData[[#This Row],[Advertising]]+tblData[[#This Row],[Promotions]]</f>
        <v>-68</v>
      </c>
      <c r="AJ734" s="74">
        <f>tblData[[#This Row],[Outbound Logistics]]+tblData[[#This Row],[Direct Selling]]</f>
        <v>-46</v>
      </c>
      <c r="AK734" s="74">
        <f>tblData[[#This Row],[Gross Profit]]+tblData[[#This Row],[AP Spend]]+tblData[[#This Row],[Cost to Serve]]</f>
        <v>115</v>
      </c>
    </row>
    <row r="735" spans="2:37" x14ac:dyDescent="0.25">
      <c r="B735" s="71" t="s">
        <v>50</v>
      </c>
      <c r="C735" s="71">
        <v>2026</v>
      </c>
      <c r="D735" s="71">
        <v>7</v>
      </c>
      <c r="E735" s="71" t="s">
        <v>47</v>
      </c>
      <c r="F735" s="71" t="s">
        <v>38</v>
      </c>
      <c r="G735" s="72">
        <v>60.5</v>
      </c>
      <c r="H735" s="73">
        <v>847</v>
      </c>
      <c r="I735" s="73">
        <v>-25</v>
      </c>
      <c r="J735" s="73">
        <v>-42</v>
      </c>
      <c r="K735" s="73">
        <v>-183</v>
      </c>
      <c r="L735" s="73">
        <v>-46</v>
      </c>
      <c r="M735" s="73">
        <v>-25</v>
      </c>
      <c r="N735" s="73">
        <v>-50</v>
      </c>
      <c r="O735" s="73">
        <v>-27</v>
      </c>
      <c r="P735" s="73">
        <v>-102</v>
      </c>
      <c r="Q735" s="73">
        <v>-34</v>
      </c>
      <c r="R735" s="73">
        <v>0</v>
      </c>
      <c r="S735" s="73">
        <v>0</v>
      </c>
      <c r="T735" s="73">
        <v>0</v>
      </c>
      <c r="U735" s="73">
        <v>0</v>
      </c>
      <c r="V735" s="73">
        <v>0</v>
      </c>
      <c r="W735" s="73">
        <v>0</v>
      </c>
      <c r="X735" s="73">
        <v>0</v>
      </c>
      <c r="Y735" s="73">
        <v>0</v>
      </c>
      <c r="Z735" s="73">
        <v>78</v>
      </c>
      <c r="AA735" s="73">
        <v>800</v>
      </c>
      <c r="AB735" s="73">
        <v>0</v>
      </c>
      <c r="AC735" s="73">
        <v>0</v>
      </c>
      <c r="AD735" s="73">
        <v>0</v>
      </c>
      <c r="AE735" s="73">
        <v>0</v>
      </c>
      <c r="AF735" s="74">
        <f>tblData[[#This Row],[Gross Sales]]+tblData[[#This Row],[Trade Discounts]]+tblData[[#This Row],[Returns]]</f>
        <v>780</v>
      </c>
      <c r="AG735" s="74">
        <f>tblData[[#This Row],[Material Cost]]+tblData[[#This Row],[Conversion Cost]]+tblData[[#This Row],[Inbound Freight]]</f>
        <v>-254</v>
      </c>
      <c r="AH735" s="74">
        <f>tblData[[#This Row],[Net Revenue]]+tblData[[#This Row],[COGS]]</f>
        <v>526</v>
      </c>
      <c r="AI735" s="74">
        <f>tblData[[#This Row],[Advertising]]+tblData[[#This Row],[Promotions]]</f>
        <v>-77</v>
      </c>
      <c r="AJ735" s="74">
        <f>tblData[[#This Row],[Outbound Logistics]]+tblData[[#This Row],[Direct Selling]]</f>
        <v>-136</v>
      </c>
      <c r="AK735" s="74">
        <f>tblData[[#This Row],[Gross Profit]]+tblData[[#This Row],[AP Spend]]+tblData[[#This Row],[Cost to Serve]]</f>
        <v>313</v>
      </c>
    </row>
    <row r="736" spans="2:37" x14ac:dyDescent="0.25">
      <c r="B736" s="71" t="s">
        <v>50</v>
      </c>
      <c r="C736" s="71">
        <v>2026</v>
      </c>
      <c r="D736" s="71">
        <v>7</v>
      </c>
      <c r="E736" s="71" t="s">
        <v>47</v>
      </c>
      <c r="F736" s="71" t="s">
        <v>39</v>
      </c>
      <c r="G736" s="72">
        <v>80.599999999999994</v>
      </c>
      <c r="H736" s="73">
        <v>726</v>
      </c>
      <c r="I736" s="73">
        <v>-22</v>
      </c>
      <c r="J736" s="73">
        <v>-36</v>
      </c>
      <c r="K736" s="73">
        <v>-188</v>
      </c>
      <c r="L736" s="73">
        <v>-47</v>
      </c>
      <c r="M736" s="73">
        <v>-26</v>
      </c>
      <c r="N736" s="73">
        <v>-28</v>
      </c>
      <c r="O736" s="73">
        <v>-15</v>
      </c>
      <c r="P736" s="73">
        <v>-87</v>
      </c>
      <c r="Q736" s="73">
        <v>-29</v>
      </c>
      <c r="R736" s="73">
        <v>0</v>
      </c>
      <c r="S736" s="73">
        <v>0</v>
      </c>
      <c r="T736" s="73">
        <v>0</v>
      </c>
      <c r="U736" s="73">
        <v>0</v>
      </c>
      <c r="V736" s="73">
        <v>0</v>
      </c>
      <c r="W736" s="73">
        <v>0</v>
      </c>
      <c r="X736" s="73">
        <v>0</v>
      </c>
      <c r="Y736" s="73">
        <v>0</v>
      </c>
      <c r="Z736" s="73">
        <v>66</v>
      </c>
      <c r="AA736" s="73">
        <v>693</v>
      </c>
      <c r="AB736" s="73">
        <v>0</v>
      </c>
      <c r="AC736" s="73">
        <v>0</v>
      </c>
      <c r="AD736" s="73">
        <v>0</v>
      </c>
      <c r="AE736" s="73">
        <v>0</v>
      </c>
      <c r="AF736" s="74">
        <f>tblData[[#This Row],[Gross Sales]]+tblData[[#This Row],[Trade Discounts]]+tblData[[#This Row],[Returns]]</f>
        <v>668</v>
      </c>
      <c r="AG736" s="74">
        <f>tblData[[#This Row],[Material Cost]]+tblData[[#This Row],[Conversion Cost]]+tblData[[#This Row],[Inbound Freight]]</f>
        <v>-261</v>
      </c>
      <c r="AH736" s="74">
        <f>tblData[[#This Row],[Net Revenue]]+tblData[[#This Row],[COGS]]</f>
        <v>407</v>
      </c>
      <c r="AI736" s="74">
        <f>tblData[[#This Row],[Advertising]]+tblData[[#This Row],[Promotions]]</f>
        <v>-43</v>
      </c>
      <c r="AJ736" s="74">
        <f>tblData[[#This Row],[Outbound Logistics]]+tblData[[#This Row],[Direct Selling]]</f>
        <v>-116</v>
      </c>
      <c r="AK736" s="74">
        <f>tblData[[#This Row],[Gross Profit]]+tblData[[#This Row],[AP Spend]]+tblData[[#This Row],[Cost to Serve]]</f>
        <v>248</v>
      </c>
    </row>
    <row r="737" spans="2:37" x14ac:dyDescent="0.25">
      <c r="B737" s="71" t="s">
        <v>50</v>
      </c>
      <c r="C737" s="71">
        <v>2026</v>
      </c>
      <c r="D737" s="71">
        <v>7</v>
      </c>
      <c r="E737" s="71" t="s">
        <v>47</v>
      </c>
      <c r="F737" s="71" t="s">
        <v>40</v>
      </c>
      <c r="G737" s="72">
        <v>77.8</v>
      </c>
      <c r="H737" s="73">
        <v>544</v>
      </c>
      <c r="I737" s="73">
        <v>-16</v>
      </c>
      <c r="J737" s="73">
        <v>-27</v>
      </c>
      <c r="K737" s="73">
        <v>-157</v>
      </c>
      <c r="L737" s="73">
        <v>-39</v>
      </c>
      <c r="M737" s="73">
        <v>-22</v>
      </c>
      <c r="N737" s="73">
        <v>-14</v>
      </c>
      <c r="O737" s="73">
        <v>-8</v>
      </c>
      <c r="P737" s="73">
        <v>-65</v>
      </c>
      <c r="Q737" s="73">
        <v>-22</v>
      </c>
      <c r="R737" s="73">
        <v>0</v>
      </c>
      <c r="S737" s="73">
        <v>0</v>
      </c>
      <c r="T737" s="73">
        <v>0</v>
      </c>
      <c r="U737" s="73">
        <v>0</v>
      </c>
      <c r="V737" s="73">
        <v>0</v>
      </c>
      <c r="W737" s="73">
        <v>0</v>
      </c>
      <c r="X737" s="73">
        <v>0</v>
      </c>
      <c r="Y737" s="73">
        <v>0</v>
      </c>
      <c r="Z737" s="73">
        <v>50</v>
      </c>
      <c r="AA737" s="73">
        <v>542</v>
      </c>
      <c r="AB737" s="73">
        <v>0</v>
      </c>
      <c r="AC737" s="73">
        <v>0</v>
      </c>
      <c r="AD737" s="73">
        <v>0</v>
      </c>
      <c r="AE737" s="73">
        <v>0</v>
      </c>
      <c r="AF737" s="74">
        <f>tblData[[#This Row],[Gross Sales]]+tblData[[#This Row],[Trade Discounts]]+tblData[[#This Row],[Returns]]</f>
        <v>501</v>
      </c>
      <c r="AG737" s="74">
        <f>tblData[[#This Row],[Material Cost]]+tblData[[#This Row],[Conversion Cost]]+tblData[[#This Row],[Inbound Freight]]</f>
        <v>-218</v>
      </c>
      <c r="AH737" s="74">
        <f>tblData[[#This Row],[Net Revenue]]+tblData[[#This Row],[COGS]]</f>
        <v>283</v>
      </c>
      <c r="AI737" s="74">
        <f>tblData[[#This Row],[Advertising]]+tblData[[#This Row],[Promotions]]</f>
        <v>-22</v>
      </c>
      <c r="AJ737" s="74">
        <f>tblData[[#This Row],[Outbound Logistics]]+tblData[[#This Row],[Direct Selling]]</f>
        <v>-87</v>
      </c>
      <c r="AK737" s="74">
        <f>tblData[[#This Row],[Gross Profit]]+tblData[[#This Row],[AP Spend]]+tblData[[#This Row],[Cost to Serve]]</f>
        <v>174</v>
      </c>
    </row>
    <row r="738" spans="2:37" x14ac:dyDescent="0.25">
      <c r="B738" s="71" t="s">
        <v>50</v>
      </c>
      <c r="C738" s="71">
        <v>2026</v>
      </c>
      <c r="D738" s="71">
        <v>7</v>
      </c>
      <c r="E738" s="71" t="s">
        <v>47</v>
      </c>
      <c r="F738" s="71" t="s">
        <v>41</v>
      </c>
      <c r="G738" s="72">
        <v>38.5</v>
      </c>
      <c r="H738" s="73">
        <v>423</v>
      </c>
      <c r="I738" s="73">
        <v>-13</v>
      </c>
      <c r="J738" s="73">
        <v>-21</v>
      </c>
      <c r="K738" s="73">
        <v>-101</v>
      </c>
      <c r="L738" s="73">
        <v>-25</v>
      </c>
      <c r="M738" s="73">
        <v>-14</v>
      </c>
      <c r="N738" s="73">
        <v>-30</v>
      </c>
      <c r="O738" s="73">
        <v>-16</v>
      </c>
      <c r="P738" s="73">
        <v>-51</v>
      </c>
      <c r="Q738" s="73">
        <v>-17</v>
      </c>
      <c r="R738" s="73">
        <v>0</v>
      </c>
      <c r="S738" s="73">
        <v>0</v>
      </c>
      <c r="T738" s="73">
        <v>0</v>
      </c>
      <c r="U738" s="73">
        <v>0</v>
      </c>
      <c r="V738" s="73">
        <v>0</v>
      </c>
      <c r="W738" s="73">
        <v>0</v>
      </c>
      <c r="X738" s="73">
        <v>0</v>
      </c>
      <c r="Y738" s="73">
        <v>0</v>
      </c>
      <c r="Z738" s="73">
        <v>39</v>
      </c>
      <c r="AA738" s="73">
        <v>417</v>
      </c>
      <c r="AB738" s="73">
        <v>0</v>
      </c>
      <c r="AC738" s="73">
        <v>0</v>
      </c>
      <c r="AD738" s="73">
        <v>0</v>
      </c>
      <c r="AE738" s="73">
        <v>0</v>
      </c>
      <c r="AF738" s="74">
        <f>tblData[[#This Row],[Gross Sales]]+tblData[[#This Row],[Trade Discounts]]+tblData[[#This Row],[Returns]]</f>
        <v>389</v>
      </c>
      <c r="AG738" s="74">
        <f>tblData[[#This Row],[Material Cost]]+tblData[[#This Row],[Conversion Cost]]+tblData[[#This Row],[Inbound Freight]]</f>
        <v>-140</v>
      </c>
      <c r="AH738" s="74">
        <f>tblData[[#This Row],[Net Revenue]]+tblData[[#This Row],[COGS]]</f>
        <v>249</v>
      </c>
      <c r="AI738" s="74">
        <f>tblData[[#This Row],[Advertising]]+tblData[[#This Row],[Promotions]]</f>
        <v>-46</v>
      </c>
      <c r="AJ738" s="74">
        <f>tblData[[#This Row],[Outbound Logistics]]+tblData[[#This Row],[Direct Selling]]</f>
        <v>-68</v>
      </c>
      <c r="AK738" s="74">
        <f>tblData[[#This Row],[Gross Profit]]+tblData[[#This Row],[AP Spend]]+tblData[[#This Row],[Cost to Serve]]</f>
        <v>135</v>
      </c>
    </row>
    <row r="739" spans="2:37" x14ac:dyDescent="0.25">
      <c r="B739" s="71" t="s">
        <v>50</v>
      </c>
      <c r="C739" s="71">
        <v>2026</v>
      </c>
      <c r="D739" s="71">
        <v>7</v>
      </c>
      <c r="E739" s="71" t="s">
        <v>47</v>
      </c>
      <c r="F739" s="71" t="s">
        <v>42</v>
      </c>
      <c r="G739" s="72">
        <v>50.4</v>
      </c>
      <c r="H739" s="73">
        <v>302</v>
      </c>
      <c r="I739" s="73">
        <v>-9</v>
      </c>
      <c r="J739" s="73">
        <v>-15</v>
      </c>
      <c r="K739" s="73">
        <v>-96</v>
      </c>
      <c r="L739" s="73">
        <v>-24</v>
      </c>
      <c r="M739" s="73">
        <v>-13</v>
      </c>
      <c r="N739" s="73">
        <v>-6</v>
      </c>
      <c r="O739" s="73">
        <v>-3</v>
      </c>
      <c r="P739" s="73">
        <v>-36</v>
      </c>
      <c r="Q739" s="73">
        <v>-12</v>
      </c>
      <c r="R739" s="73">
        <v>0</v>
      </c>
      <c r="S739" s="73">
        <v>0</v>
      </c>
      <c r="T739" s="73">
        <v>0</v>
      </c>
      <c r="U739" s="73">
        <v>0</v>
      </c>
      <c r="V739" s="73">
        <v>0</v>
      </c>
      <c r="W739" s="73">
        <v>0</v>
      </c>
      <c r="X739" s="73">
        <v>0</v>
      </c>
      <c r="Y739" s="73">
        <v>0</v>
      </c>
      <c r="Z739" s="73">
        <v>28</v>
      </c>
      <c r="AA739" s="73">
        <v>485</v>
      </c>
      <c r="AB739" s="73">
        <v>0</v>
      </c>
      <c r="AC739" s="73">
        <v>0</v>
      </c>
      <c r="AD739" s="73">
        <v>0</v>
      </c>
      <c r="AE739" s="73">
        <v>0</v>
      </c>
      <c r="AF739" s="74">
        <f>tblData[[#This Row],[Gross Sales]]+tblData[[#This Row],[Trade Discounts]]+tblData[[#This Row],[Returns]]</f>
        <v>278</v>
      </c>
      <c r="AG739" s="74">
        <f>tblData[[#This Row],[Material Cost]]+tblData[[#This Row],[Conversion Cost]]+tblData[[#This Row],[Inbound Freight]]</f>
        <v>-133</v>
      </c>
      <c r="AH739" s="74">
        <f>tblData[[#This Row],[Net Revenue]]+tblData[[#This Row],[COGS]]</f>
        <v>145</v>
      </c>
      <c r="AI739" s="74">
        <f>tblData[[#This Row],[Advertising]]+tblData[[#This Row],[Promotions]]</f>
        <v>-9</v>
      </c>
      <c r="AJ739" s="74">
        <f>tblData[[#This Row],[Outbound Logistics]]+tblData[[#This Row],[Direct Selling]]</f>
        <v>-48</v>
      </c>
      <c r="AK739" s="74">
        <f>tblData[[#This Row],[Gross Profit]]+tblData[[#This Row],[AP Spend]]+tblData[[#This Row],[Cost to Serve]]</f>
        <v>88</v>
      </c>
    </row>
    <row r="740" spans="2:37" x14ac:dyDescent="0.25">
      <c r="B740" s="71" t="s">
        <v>50</v>
      </c>
      <c r="C740" s="71">
        <v>2026</v>
      </c>
      <c r="D740" s="71">
        <v>7</v>
      </c>
      <c r="E740" s="71" t="s">
        <v>47</v>
      </c>
      <c r="F740" s="71" t="s">
        <v>43</v>
      </c>
      <c r="G740" s="72">
        <v>10.1</v>
      </c>
      <c r="H740" s="73">
        <v>181</v>
      </c>
      <c r="I740" s="73">
        <v>-5</v>
      </c>
      <c r="J740" s="73">
        <v>-9</v>
      </c>
      <c r="K740" s="73">
        <v>-50</v>
      </c>
      <c r="L740" s="73">
        <v>-12</v>
      </c>
      <c r="M740" s="73">
        <v>-7</v>
      </c>
      <c r="N740" s="73">
        <v>-17</v>
      </c>
      <c r="O740" s="73">
        <v>-9</v>
      </c>
      <c r="P740" s="73">
        <v>-22</v>
      </c>
      <c r="Q740" s="73">
        <v>-7</v>
      </c>
      <c r="R740" s="73">
        <v>0</v>
      </c>
      <c r="S740" s="73">
        <v>0</v>
      </c>
      <c r="T740" s="73">
        <v>0</v>
      </c>
      <c r="U740" s="73">
        <v>0</v>
      </c>
      <c r="V740" s="73">
        <v>0</v>
      </c>
      <c r="W740" s="73">
        <v>0</v>
      </c>
      <c r="X740" s="73">
        <v>0</v>
      </c>
      <c r="Y740" s="73">
        <v>0</v>
      </c>
      <c r="Z740" s="73">
        <v>17</v>
      </c>
      <c r="AA740" s="73">
        <v>274</v>
      </c>
      <c r="AB740" s="73">
        <v>0</v>
      </c>
      <c r="AC740" s="73">
        <v>0</v>
      </c>
      <c r="AD740" s="73">
        <v>0</v>
      </c>
      <c r="AE740" s="73">
        <v>0</v>
      </c>
      <c r="AF740" s="74">
        <f>tblData[[#This Row],[Gross Sales]]+tblData[[#This Row],[Trade Discounts]]+tblData[[#This Row],[Returns]]</f>
        <v>167</v>
      </c>
      <c r="AG740" s="74">
        <f>tblData[[#This Row],[Material Cost]]+tblData[[#This Row],[Conversion Cost]]+tblData[[#This Row],[Inbound Freight]]</f>
        <v>-69</v>
      </c>
      <c r="AH740" s="74">
        <f>tblData[[#This Row],[Net Revenue]]+tblData[[#This Row],[COGS]]</f>
        <v>98</v>
      </c>
      <c r="AI740" s="74">
        <f>tblData[[#This Row],[Advertising]]+tblData[[#This Row],[Promotions]]</f>
        <v>-26</v>
      </c>
      <c r="AJ740" s="74">
        <f>tblData[[#This Row],[Outbound Logistics]]+tblData[[#This Row],[Direct Selling]]</f>
        <v>-29</v>
      </c>
      <c r="AK740" s="74">
        <f>tblData[[#This Row],[Gross Profit]]+tblData[[#This Row],[AP Spend]]+tblData[[#This Row],[Cost to Serve]]</f>
        <v>43</v>
      </c>
    </row>
    <row r="741" spans="2:37" x14ac:dyDescent="0.25">
      <c r="B741" s="71" t="s">
        <v>50</v>
      </c>
      <c r="C741" s="71">
        <v>2026</v>
      </c>
      <c r="D741" s="71">
        <v>7</v>
      </c>
      <c r="E741" s="71" t="s">
        <v>48</v>
      </c>
      <c r="F741" s="71" t="s">
        <v>38</v>
      </c>
      <c r="G741" s="72">
        <v>100.8</v>
      </c>
      <c r="H741" s="73">
        <v>1411</v>
      </c>
      <c r="I741" s="73">
        <v>-127</v>
      </c>
      <c r="J741" s="73">
        <v>-14</v>
      </c>
      <c r="K741" s="73">
        <v>-305</v>
      </c>
      <c r="L741" s="73">
        <v>-76</v>
      </c>
      <c r="M741" s="73">
        <v>-42</v>
      </c>
      <c r="N741" s="73">
        <v>-83</v>
      </c>
      <c r="O741" s="73">
        <v>-44</v>
      </c>
      <c r="P741" s="73">
        <v>-42</v>
      </c>
      <c r="Q741" s="73">
        <v>-21</v>
      </c>
      <c r="R741" s="73">
        <v>0</v>
      </c>
      <c r="S741" s="73">
        <v>0</v>
      </c>
      <c r="T741" s="73">
        <v>0</v>
      </c>
      <c r="U741" s="73">
        <v>0</v>
      </c>
      <c r="V741" s="73">
        <v>0</v>
      </c>
      <c r="W741" s="73">
        <v>0</v>
      </c>
      <c r="X741" s="73">
        <v>0</v>
      </c>
      <c r="Y741" s="73">
        <v>0</v>
      </c>
      <c r="Z741" s="73">
        <v>2949</v>
      </c>
      <c r="AA741" s="73">
        <v>1334</v>
      </c>
      <c r="AB741" s="73">
        <v>0</v>
      </c>
      <c r="AC741" s="73">
        <v>0</v>
      </c>
      <c r="AD741" s="73">
        <v>0</v>
      </c>
      <c r="AE741" s="73">
        <v>0</v>
      </c>
      <c r="AF741" s="74">
        <f>tblData[[#This Row],[Gross Sales]]+tblData[[#This Row],[Trade Discounts]]+tblData[[#This Row],[Returns]]</f>
        <v>1270</v>
      </c>
      <c r="AG741" s="74">
        <f>tblData[[#This Row],[Material Cost]]+tblData[[#This Row],[Conversion Cost]]+tblData[[#This Row],[Inbound Freight]]</f>
        <v>-423</v>
      </c>
      <c r="AH741" s="74">
        <f>tblData[[#This Row],[Net Revenue]]+tblData[[#This Row],[COGS]]</f>
        <v>847</v>
      </c>
      <c r="AI741" s="74">
        <f>tblData[[#This Row],[Advertising]]+tblData[[#This Row],[Promotions]]</f>
        <v>-127</v>
      </c>
      <c r="AJ741" s="74">
        <f>tblData[[#This Row],[Outbound Logistics]]+tblData[[#This Row],[Direct Selling]]</f>
        <v>-63</v>
      </c>
      <c r="AK741" s="74">
        <f>tblData[[#This Row],[Gross Profit]]+tblData[[#This Row],[AP Spend]]+tblData[[#This Row],[Cost to Serve]]</f>
        <v>657</v>
      </c>
    </row>
    <row r="742" spans="2:37" x14ac:dyDescent="0.25">
      <c r="B742" s="71" t="s">
        <v>50</v>
      </c>
      <c r="C742" s="71">
        <v>2026</v>
      </c>
      <c r="D742" s="71">
        <v>7</v>
      </c>
      <c r="E742" s="71" t="s">
        <v>48</v>
      </c>
      <c r="F742" s="71" t="s">
        <v>39</v>
      </c>
      <c r="G742" s="72">
        <v>134.4</v>
      </c>
      <c r="H742" s="73">
        <v>1210</v>
      </c>
      <c r="I742" s="73">
        <v>-109</v>
      </c>
      <c r="J742" s="73">
        <v>-12</v>
      </c>
      <c r="K742" s="73">
        <v>-314</v>
      </c>
      <c r="L742" s="73">
        <v>-78</v>
      </c>
      <c r="M742" s="73">
        <v>-44</v>
      </c>
      <c r="N742" s="73">
        <v>-47</v>
      </c>
      <c r="O742" s="73">
        <v>-25</v>
      </c>
      <c r="P742" s="73">
        <v>-36</v>
      </c>
      <c r="Q742" s="73">
        <v>-18</v>
      </c>
      <c r="R742" s="73">
        <v>0</v>
      </c>
      <c r="S742" s="73">
        <v>0</v>
      </c>
      <c r="T742" s="73">
        <v>0</v>
      </c>
      <c r="U742" s="73">
        <v>0</v>
      </c>
      <c r="V742" s="73">
        <v>0</v>
      </c>
      <c r="W742" s="73">
        <v>0</v>
      </c>
      <c r="X742" s="73">
        <v>0</v>
      </c>
      <c r="Y742" s="73">
        <v>0</v>
      </c>
      <c r="Z742" s="73">
        <v>2528</v>
      </c>
      <c r="AA742" s="73">
        <v>1155</v>
      </c>
      <c r="AB742" s="73">
        <v>0</v>
      </c>
      <c r="AC742" s="73">
        <v>0</v>
      </c>
      <c r="AD742" s="73">
        <v>0</v>
      </c>
      <c r="AE742" s="73">
        <v>0</v>
      </c>
      <c r="AF742" s="74">
        <f>tblData[[#This Row],[Gross Sales]]+tblData[[#This Row],[Trade Discounts]]+tblData[[#This Row],[Returns]]</f>
        <v>1089</v>
      </c>
      <c r="AG742" s="74">
        <f>tblData[[#This Row],[Material Cost]]+tblData[[#This Row],[Conversion Cost]]+tblData[[#This Row],[Inbound Freight]]</f>
        <v>-436</v>
      </c>
      <c r="AH742" s="74">
        <f>tblData[[#This Row],[Net Revenue]]+tblData[[#This Row],[COGS]]</f>
        <v>653</v>
      </c>
      <c r="AI742" s="74">
        <f>tblData[[#This Row],[Advertising]]+tblData[[#This Row],[Promotions]]</f>
        <v>-72</v>
      </c>
      <c r="AJ742" s="74">
        <f>tblData[[#This Row],[Outbound Logistics]]+tblData[[#This Row],[Direct Selling]]</f>
        <v>-54</v>
      </c>
      <c r="AK742" s="74">
        <f>tblData[[#This Row],[Gross Profit]]+tblData[[#This Row],[AP Spend]]+tblData[[#This Row],[Cost to Serve]]</f>
        <v>527</v>
      </c>
    </row>
    <row r="743" spans="2:37" x14ac:dyDescent="0.25">
      <c r="B743" s="71" t="s">
        <v>50</v>
      </c>
      <c r="C743" s="71">
        <v>2026</v>
      </c>
      <c r="D743" s="71">
        <v>7</v>
      </c>
      <c r="E743" s="71" t="s">
        <v>48</v>
      </c>
      <c r="F743" s="71" t="s">
        <v>40</v>
      </c>
      <c r="G743" s="72">
        <v>129.6</v>
      </c>
      <c r="H743" s="73">
        <v>907</v>
      </c>
      <c r="I743" s="73">
        <v>-82</v>
      </c>
      <c r="J743" s="73">
        <v>-9</v>
      </c>
      <c r="K743" s="73">
        <v>-261</v>
      </c>
      <c r="L743" s="73">
        <v>-65</v>
      </c>
      <c r="M743" s="73">
        <v>-36</v>
      </c>
      <c r="N743" s="73">
        <v>-24</v>
      </c>
      <c r="O743" s="73">
        <v>-13</v>
      </c>
      <c r="P743" s="73">
        <v>-27</v>
      </c>
      <c r="Q743" s="73">
        <v>-14</v>
      </c>
      <c r="R743" s="73">
        <v>0</v>
      </c>
      <c r="S743" s="73">
        <v>0</v>
      </c>
      <c r="T743" s="73">
        <v>0</v>
      </c>
      <c r="U743" s="73">
        <v>0</v>
      </c>
      <c r="V743" s="73">
        <v>0</v>
      </c>
      <c r="W743" s="73">
        <v>0</v>
      </c>
      <c r="X743" s="73">
        <v>0</v>
      </c>
      <c r="Y743" s="73">
        <v>0</v>
      </c>
      <c r="Z743" s="73">
        <v>1896</v>
      </c>
      <c r="AA743" s="73">
        <v>903</v>
      </c>
      <c r="AB743" s="73">
        <v>0</v>
      </c>
      <c r="AC743" s="73">
        <v>0</v>
      </c>
      <c r="AD743" s="73">
        <v>0</v>
      </c>
      <c r="AE743" s="73">
        <v>0</v>
      </c>
      <c r="AF743" s="74">
        <f>tblData[[#This Row],[Gross Sales]]+tblData[[#This Row],[Trade Discounts]]+tblData[[#This Row],[Returns]]</f>
        <v>816</v>
      </c>
      <c r="AG743" s="74">
        <f>tblData[[#This Row],[Material Cost]]+tblData[[#This Row],[Conversion Cost]]+tblData[[#This Row],[Inbound Freight]]</f>
        <v>-362</v>
      </c>
      <c r="AH743" s="74">
        <f>tblData[[#This Row],[Net Revenue]]+tblData[[#This Row],[COGS]]</f>
        <v>454</v>
      </c>
      <c r="AI743" s="74">
        <f>tblData[[#This Row],[Advertising]]+tblData[[#This Row],[Promotions]]</f>
        <v>-37</v>
      </c>
      <c r="AJ743" s="74">
        <f>tblData[[#This Row],[Outbound Logistics]]+tblData[[#This Row],[Direct Selling]]</f>
        <v>-41</v>
      </c>
      <c r="AK743" s="74">
        <f>tblData[[#This Row],[Gross Profit]]+tblData[[#This Row],[AP Spend]]+tblData[[#This Row],[Cost to Serve]]</f>
        <v>376</v>
      </c>
    </row>
    <row r="744" spans="2:37" x14ac:dyDescent="0.25">
      <c r="B744" s="71" t="s">
        <v>50</v>
      </c>
      <c r="C744" s="71">
        <v>2026</v>
      </c>
      <c r="D744" s="71">
        <v>7</v>
      </c>
      <c r="E744" s="71" t="s">
        <v>48</v>
      </c>
      <c r="F744" s="71" t="s">
        <v>41</v>
      </c>
      <c r="G744" s="72">
        <v>64.099999999999994</v>
      </c>
      <c r="H744" s="73">
        <v>706</v>
      </c>
      <c r="I744" s="73">
        <v>-64</v>
      </c>
      <c r="J744" s="73">
        <v>-7</v>
      </c>
      <c r="K744" s="73">
        <v>-168</v>
      </c>
      <c r="L744" s="73">
        <v>-42</v>
      </c>
      <c r="M744" s="73">
        <v>-23</v>
      </c>
      <c r="N744" s="73">
        <v>-50</v>
      </c>
      <c r="O744" s="73">
        <v>-27</v>
      </c>
      <c r="P744" s="73">
        <v>-21</v>
      </c>
      <c r="Q744" s="73">
        <v>-11</v>
      </c>
      <c r="R744" s="73">
        <v>0</v>
      </c>
      <c r="S744" s="73">
        <v>0</v>
      </c>
      <c r="T744" s="73">
        <v>0</v>
      </c>
      <c r="U744" s="73">
        <v>0</v>
      </c>
      <c r="V744" s="73">
        <v>0</v>
      </c>
      <c r="W744" s="73">
        <v>0</v>
      </c>
      <c r="X744" s="73">
        <v>0</v>
      </c>
      <c r="Y744" s="73">
        <v>0</v>
      </c>
      <c r="Z744" s="73">
        <v>1474</v>
      </c>
      <c r="AA744" s="73">
        <v>695</v>
      </c>
      <c r="AB744" s="73">
        <v>0</v>
      </c>
      <c r="AC744" s="73">
        <v>0</v>
      </c>
      <c r="AD744" s="73">
        <v>0</v>
      </c>
      <c r="AE744" s="73">
        <v>0</v>
      </c>
      <c r="AF744" s="74">
        <f>tblData[[#This Row],[Gross Sales]]+tblData[[#This Row],[Trade Discounts]]+tblData[[#This Row],[Returns]]</f>
        <v>635</v>
      </c>
      <c r="AG744" s="74">
        <f>tblData[[#This Row],[Material Cost]]+tblData[[#This Row],[Conversion Cost]]+tblData[[#This Row],[Inbound Freight]]</f>
        <v>-233</v>
      </c>
      <c r="AH744" s="74">
        <f>tblData[[#This Row],[Net Revenue]]+tblData[[#This Row],[COGS]]</f>
        <v>402</v>
      </c>
      <c r="AI744" s="74">
        <f>tblData[[#This Row],[Advertising]]+tblData[[#This Row],[Promotions]]</f>
        <v>-77</v>
      </c>
      <c r="AJ744" s="74">
        <f>tblData[[#This Row],[Outbound Logistics]]+tblData[[#This Row],[Direct Selling]]</f>
        <v>-32</v>
      </c>
      <c r="AK744" s="74">
        <f>tblData[[#This Row],[Gross Profit]]+tblData[[#This Row],[AP Spend]]+tblData[[#This Row],[Cost to Serve]]</f>
        <v>293</v>
      </c>
    </row>
    <row r="745" spans="2:37" x14ac:dyDescent="0.25">
      <c r="B745" s="71" t="s">
        <v>50</v>
      </c>
      <c r="C745" s="71">
        <v>2026</v>
      </c>
      <c r="D745" s="71">
        <v>7</v>
      </c>
      <c r="E745" s="71" t="s">
        <v>48</v>
      </c>
      <c r="F745" s="71" t="s">
        <v>42</v>
      </c>
      <c r="G745" s="72">
        <v>84</v>
      </c>
      <c r="H745" s="73">
        <v>504</v>
      </c>
      <c r="I745" s="73">
        <v>-45</v>
      </c>
      <c r="J745" s="73">
        <v>-5</v>
      </c>
      <c r="K745" s="73">
        <v>-160</v>
      </c>
      <c r="L745" s="73">
        <v>-40</v>
      </c>
      <c r="M745" s="73">
        <v>-22</v>
      </c>
      <c r="N745" s="73">
        <v>-10</v>
      </c>
      <c r="O745" s="73">
        <v>-5</v>
      </c>
      <c r="P745" s="73">
        <v>-15</v>
      </c>
      <c r="Q745" s="73">
        <v>-8</v>
      </c>
      <c r="R745" s="73">
        <v>0</v>
      </c>
      <c r="S745" s="73">
        <v>0</v>
      </c>
      <c r="T745" s="73">
        <v>0</v>
      </c>
      <c r="U745" s="73">
        <v>0</v>
      </c>
      <c r="V745" s="73">
        <v>0</v>
      </c>
      <c r="W745" s="73">
        <v>0</v>
      </c>
      <c r="X745" s="73">
        <v>0</v>
      </c>
      <c r="Y745" s="73">
        <v>0</v>
      </c>
      <c r="Z745" s="73">
        <v>1053</v>
      </c>
      <c r="AA745" s="73">
        <v>809</v>
      </c>
      <c r="AB745" s="73">
        <v>0</v>
      </c>
      <c r="AC745" s="73">
        <v>0</v>
      </c>
      <c r="AD745" s="73">
        <v>0</v>
      </c>
      <c r="AE745" s="73">
        <v>0</v>
      </c>
      <c r="AF745" s="74">
        <f>tblData[[#This Row],[Gross Sales]]+tblData[[#This Row],[Trade Discounts]]+tblData[[#This Row],[Returns]]</f>
        <v>454</v>
      </c>
      <c r="AG745" s="74">
        <f>tblData[[#This Row],[Material Cost]]+tblData[[#This Row],[Conversion Cost]]+tblData[[#This Row],[Inbound Freight]]</f>
        <v>-222</v>
      </c>
      <c r="AH745" s="74">
        <f>tblData[[#This Row],[Net Revenue]]+tblData[[#This Row],[COGS]]</f>
        <v>232</v>
      </c>
      <c r="AI745" s="74">
        <f>tblData[[#This Row],[Advertising]]+tblData[[#This Row],[Promotions]]</f>
        <v>-15</v>
      </c>
      <c r="AJ745" s="74">
        <f>tblData[[#This Row],[Outbound Logistics]]+tblData[[#This Row],[Direct Selling]]</f>
        <v>-23</v>
      </c>
      <c r="AK745" s="74">
        <f>tblData[[#This Row],[Gross Profit]]+tblData[[#This Row],[AP Spend]]+tblData[[#This Row],[Cost to Serve]]</f>
        <v>194</v>
      </c>
    </row>
    <row r="746" spans="2:37" x14ac:dyDescent="0.25">
      <c r="B746" s="71" t="s">
        <v>50</v>
      </c>
      <c r="C746" s="71">
        <v>2026</v>
      </c>
      <c r="D746" s="71">
        <v>7</v>
      </c>
      <c r="E746" s="71" t="s">
        <v>48</v>
      </c>
      <c r="F746" s="71" t="s">
        <v>43</v>
      </c>
      <c r="G746" s="72">
        <v>16.8</v>
      </c>
      <c r="H746" s="73">
        <v>302</v>
      </c>
      <c r="I746" s="73">
        <v>-27</v>
      </c>
      <c r="J746" s="73">
        <v>-3</v>
      </c>
      <c r="K746" s="73">
        <v>-83</v>
      </c>
      <c r="L746" s="73">
        <v>-21</v>
      </c>
      <c r="M746" s="73">
        <v>-11</v>
      </c>
      <c r="N746" s="73">
        <v>-28</v>
      </c>
      <c r="O746" s="73">
        <v>-15</v>
      </c>
      <c r="P746" s="73">
        <v>-9</v>
      </c>
      <c r="Q746" s="73">
        <v>-5</v>
      </c>
      <c r="R746" s="73">
        <v>0</v>
      </c>
      <c r="S746" s="73">
        <v>0</v>
      </c>
      <c r="T746" s="73">
        <v>0</v>
      </c>
      <c r="U746" s="73">
        <v>0</v>
      </c>
      <c r="V746" s="73">
        <v>0</v>
      </c>
      <c r="W746" s="73">
        <v>0</v>
      </c>
      <c r="X746" s="73">
        <v>0</v>
      </c>
      <c r="Y746" s="73">
        <v>0</v>
      </c>
      <c r="Z746" s="73">
        <v>632</v>
      </c>
      <c r="AA746" s="73">
        <v>457</v>
      </c>
      <c r="AB746" s="73">
        <v>0</v>
      </c>
      <c r="AC746" s="73">
        <v>0</v>
      </c>
      <c r="AD746" s="73">
        <v>0</v>
      </c>
      <c r="AE746" s="73">
        <v>0</v>
      </c>
      <c r="AF746" s="74">
        <f>tblData[[#This Row],[Gross Sales]]+tblData[[#This Row],[Trade Discounts]]+tblData[[#This Row],[Returns]]</f>
        <v>272</v>
      </c>
      <c r="AG746" s="74">
        <f>tblData[[#This Row],[Material Cost]]+tblData[[#This Row],[Conversion Cost]]+tblData[[#This Row],[Inbound Freight]]</f>
        <v>-115</v>
      </c>
      <c r="AH746" s="74">
        <f>tblData[[#This Row],[Net Revenue]]+tblData[[#This Row],[COGS]]</f>
        <v>157</v>
      </c>
      <c r="AI746" s="74">
        <f>tblData[[#This Row],[Advertising]]+tblData[[#This Row],[Promotions]]</f>
        <v>-43</v>
      </c>
      <c r="AJ746" s="74">
        <f>tblData[[#This Row],[Outbound Logistics]]+tblData[[#This Row],[Direct Selling]]</f>
        <v>-14</v>
      </c>
      <c r="AK746" s="74">
        <f>tblData[[#This Row],[Gross Profit]]+tblData[[#This Row],[AP Spend]]+tblData[[#This Row],[Cost to Serve]]</f>
        <v>100</v>
      </c>
    </row>
    <row r="747" spans="2:37" x14ac:dyDescent="0.25">
      <c r="B747" s="71" t="s">
        <v>50</v>
      </c>
      <c r="C747" s="71">
        <v>2026</v>
      </c>
      <c r="D747" s="71">
        <v>7</v>
      </c>
      <c r="E747" s="71" t="s">
        <v>49</v>
      </c>
      <c r="F747" s="71" t="s">
        <v>49</v>
      </c>
      <c r="G747" s="72">
        <v>0</v>
      </c>
      <c r="H747" s="73">
        <v>0</v>
      </c>
      <c r="I747" s="73">
        <v>0</v>
      </c>
      <c r="J747" s="73">
        <v>0</v>
      </c>
      <c r="K747" s="73">
        <v>0</v>
      </c>
      <c r="L747" s="73">
        <v>0</v>
      </c>
      <c r="M747" s="73">
        <v>0</v>
      </c>
      <c r="N747" s="73">
        <v>0</v>
      </c>
      <c r="O747" s="73">
        <v>0</v>
      </c>
      <c r="P747" s="73">
        <v>0</v>
      </c>
      <c r="Q747" s="73">
        <v>0</v>
      </c>
      <c r="R747" s="73">
        <v>-4250</v>
      </c>
      <c r="S747" s="73">
        <v>-1020</v>
      </c>
      <c r="T747" s="73">
        <v>-1320</v>
      </c>
      <c r="U747" s="73">
        <v>-1130</v>
      </c>
      <c r="V747" s="73">
        <v>-1480</v>
      </c>
      <c r="W747" s="73">
        <v>-694</v>
      </c>
      <c r="X747" s="73">
        <v>-1589</v>
      </c>
      <c r="Y747" s="73">
        <v>-1291</v>
      </c>
      <c r="Z747" s="73">
        <v>0</v>
      </c>
      <c r="AA747" s="73">
        <v>0</v>
      </c>
      <c r="AB747" s="73">
        <v>34175</v>
      </c>
      <c r="AC747" s="73">
        <v>59237</v>
      </c>
      <c r="AD747" s="73">
        <v>185000</v>
      </c>
      <c r="AE747" s="73">
        <v>1192</v>
      </c>
      <c r="AF747" s="74">
        <f>tblData[[#This Row],[Gross Sales]]+tblData[[#This Row],[Trade Discounts]]+tblData[[#This Row],[Returns]]</f>
        <v>0</v>
      </c>
      <c r="AG747" s="74">
        <f>tblData[[#This Row],[Material Cost]]+tblData[[#This Row],[Conversion Cost]]+tblData[[#This Row],[Inbound Freight]]</f>
        <v>0</v>
      </c>
      <c r="AH747" s="74">
        <f>tblData[[#This Row],[Net Revenue]]+tblData[[#This Row],[COGS]]</f>
        <v>0</v>
      </c>
      <c r="AI747" s="74">
        <f>tblData[[#This Row],[Advertising]]+tblData[[#This Row],[Promotions]]</f>
        <v>0</v>
      </c>
      <c r="AJ747" s="74">
        <f>tblData[[#This Row],[Outbound Logistics]]+tblData[[#This Row],[Direct Selling]]</f>
        <v>0</v>
      </c>
      <c r="AK747" s="74">
        <f>tblData[[#This Row],[Gross Profit]]+tblData[[#This Row],[AP Spend]]+tblData[[#This Row],[Cost to Serve]]</f>
        <v>0</v>
      </c>
    </row>
    <row r="748" spans="2:37" x14ac:dyDescent="0.25">
      <c r="B748" s="71" t="s">
        <v>50</v>
      </c>
      <c r="C748" s="71">
        <v>2026</v>
      </c>
      <c r="D748" s="71">
        <v>8</v>
      </c>
      <c r="E748" s="71" t="s">
        <v>37</v>
      </c>
      <c r="F748" s="71" t="s">
        <v>38</v>
      </c>
      <c r="G748" s="72">
        <v>310</v>
      </c>
      <c r="H748" s="73">
        <v>4339</v>
      </c>
      <c r="I748" s="73">
        <v>-824</v>
      </c>
      <c r="J748" s="73">
        <v>-65</v>
      </c>
      <c r="K748" s="73">
        <v>-937</v>
      </c>
      <c r="L748" s="73">
        <v>-234</v>
      </c>
      <c r="M748" s="73">
        <v>-130</v>
      </c>
      <c r="N748" s="73">
        <v>-254</v>
      </c>
      <c r="O748" s="73">
        <v>-137</v>
      </c>
      <c r="P748" s="73">
        <v>-174</v>
      </c>
      <c r="Q748" s="73">
        <v>-130</v>
      </c>
      <c r="R748" s="73">
        <v>0</v>
      </c>
      <c r="S748" s="73">
        <v>0</v>
      </c>
      <c r="T748" s="73">
        <v>0</v>
      </c>
      <c r="U748" s="73">
        <v>0</v>
      </c>
      <c r="V748" s="73">
        <v>0</v>
      </c>
      <c r="W748" s="73">
        <v>0</v>
      </c>
      <c r="X748" s="73">
        <v>0</v>
      </c>
      <c r="Y748" s="73">
        <v>0</v>
      </c>
      <c r="Z748" s="73">
        <v>6191</v>
      </c>
      <c r="AA748" s="73">
        <v>4035</v>
      </c>
      <c r="AB748" s="73">
        <v>0</v>
      </c>
      <c r="AC748" s="73">
        <v>0</v>
      </c>
      <c r="AD748" s="73">
        <v>0</v>
      </c>
      <c r="AE748" s="73">
        <v>0</v>
      </c>
      <c r="AF748" s="74">
        <f>tblData[[#This Row],[Gross Sales]]+tblData[[#This Row],[Trade Discounts]]+tblData[[#This Row],[Returns]]</f>
        <v>3450</v>
      </c>
      <c r="AG748" s="74">
        <f>tblData[[#This Row],[Material Cost]]+tblData[[#This Row],[Conversion Cost]]+tblData[[#This Row],[Inbound Freight]]</f>
        <v>-1301</v>
      </c>
      <c r="AH748" s="74">
        <f>tblData[[#This Row],[Net Revenue]]+tblData[[#This Row],[COGS]]</f>
        <v>2149</v>
      </c>
      <c r="AI748" s="74">
        <f>tblData[[#This Row],[Advertising]]+tblData[[#This Row],[Promotions]]</f>
        <v>-391</v>
      </c>
      <c r="AJ748" s="74">
        <f>tblData[[#This Row],[Outbound Logistics]]+tblData[[#This Row],[Direct Selling]]</f>
        <v>-304</v>
      </c>
      <c r="AK748" s="74">
        <f>tblData[[#This Row],[Gross Profit]]+tblData[[#This Row],[AP Spend]]+tblData[[#This Row],[Cost to Serve]]</f>
        <v>1454</v>
      </c>
    </row>
    <row r="749" spans="2:37" x14ac:dyDescent="0.25">
      <c r="B749" s="71" t="s">
        <v>50</v>
      </c>
      <c r="C749" s="71">
        <v>2026</v>
      </c>
      <c r="D749" s="71">
        <v>8</v>
      </c>
      <c r="E749" s="71" t="s">
        <v>37</v>
      </c>
      <c r="F749" s="71" t="s">
        <v>39</v>
      </c>
      <c r="G749" s="72">
        <v>413.3</v>
      </c>
      <c r="H749" s="73">
        <v>3720</v>
      </c>
      <c r="I749" s="73">
        <v>-707</v>
      </c>
      <c r="J749" s="73">
        <v>-56</v>
      </c>
      <c r="K749" s="73">
        <v>-964</v>
      </c>
      <c r="L749" s="73">
        <v>-241</v>
      </c>
      <c r="M749" s="73">
        <v>-134</v>
      </c>
      <c r="N749" s="73">
        <v>-145</v>
      </c>
      <c r="O749" s="73">
        <v>-78</v>
      </c>
      <c r="P749" s="73">
        <v>-149</v>
      </c>
      <c r="Q749" s="73">
        <v>-112</v>
      </c>
      <c r="R749" s="73">
        <v>0</v>
      </c>
      <c r="S749" s="73">
        <v>0</v>
      </c>
      <c r="T749" s="73">
        <v>0</v>
      </c>
      <c r="U749" s="73">
        <v>0</v>
      </c>
      <c r="V749" s="73">
        <v>0</v>
      </c>
      <c r="W749" s="73">
        <v>0</v>
      </c>
      <c r="X749" s="73">
        <v>0</v>
      </c>
      <c r="Y749" s="73">
        <v>0</v>
      </c>
      <c r="Z749" s="73">
        <v>5306</v>
      </c>
      <c r="AA749" s="73">
        <v>3495</v>
      </c>
      <c r="AB749" s="73">
        <v>0</v>
      </c>
      <c r="AC749" s="73">
        <v>0</v>
      </c>
      <c r="AD749" s="73">
        <v>0</v>
      </c>
      <c r="AE749" s="73">
        <v>0</v>
      </c>
      <c r="AF749" s="74">
        <f>tblData[[#This Row],[Gross Sales]]+tblData[[#This Row],[Trade Discounts]]+tblData[[#This Row],[Returns]]</f>
        <v>2957</v>
      </c>
      <c r="AG749" s="74">
        <f>tblData[[#This Row],[Material Cost]]+tblData[[#This Row],[Conversion Cost]]+tblData[[#This Row],[Inbound Freight]]</f>
        <v>-1339</v>
      </c>
      <c r="AH749" s="74">
        <f>tblData[[#This Row],[Net Revenue]]+tblData[[#This Row],[COGS]]</f>
        <v>1618</v>
      </c>
      <c r="AI749" s="74">
        <f>tblData[[#This Row],[Advertising]]+tblData[[#This Row],[Promotions]]</f>
        <v>-223</v>
      </c>
      <c r="AJ749" s="74">
        <f>tblData[[#This Row],[Outbound Logistics]]+tblData[[#This Row],[Direct Selling]]</f>
        <v>-261</v>
      </c>
      <c r="AK749" s="74">
        <f>tblData[[#This Row],[Gross Profit]]+tblData[[#This Row],[AP Spend]]+tblData[[#This Row],[Cost to Serve]]</f>
        <v>1134</v>
      </c>
    </row>
    <row r="750" spans="2:37" x14ac:dyDescent="0.25">
      <c r="B750" s="71" t="s">
        <v>50</v>
      </c>
      <c r="C750" s="71">
        <v>2026</v>
      </c>
      <c r="D750" s="71">
        <v>8</v>
      </c>
      <c r="E750" s="71" t="s">
        <v>37</v>
      </c>
      <c r="F750" s="71" t="s">
        <v>40</v>
      </c>
      <c r="G750" s="72">
        <v>398.5</v>
      </c>
      <c r="H750" s="73">
        <v>2790</v>
      </c>
      <c r="I750" s="73">
        <v>-530</v>
      </c>
      <c r="J750" s="73">
        <v>-42</v>
      </c>
      <c r="K750" s="73">
        <v>-803</v>
      </c>
      <c r="L750" s="73">
        <v>-201</v>
      </c>
      <c r="M750" s="73">
        <v>-112</v>
      </c>
      <c r="N750" s="73">
        <v>-73</v>
      </c>
      <c r="O750" s="73">
        <v>-39</v>
      </c>
      <c r="P750" s="73">
        <v>-112</v>
      </c>
      <c r="Q750" s="73">
        <v>-84</v>
      </c>
      <c r="R750" s="73">
        <v>0</v>
      </c>
      <c r="S750" s="73">
        <v>0</v>
      </c>
      <c r="T750" s="73">
        <v>0</v>
      </c>
      <c r="U750" s="73">
        <v>0</v>
      </c>
      <c r="V750" s="73">
        <v>0</v>
      </c>
      <c r="W750" s="73">
        <v>0</v>
      </c>
      <c r="X750" s="73">
        <v>0</v>
      </c>
      <c r="Y750" s="73">
        <v>0</v>
      </c>
      <c r="Z750" s="73">
        <v>3980</v>
      </c>
      <c r="AA750" s="73">
        <v>2731</v>
      </c>
      <c r="AB750" s="73">
        <v>0</v>
      </c>
      <c r="AC750" s="73">
        <v>0</v>
      </c>
      <c r="AD750" s="73">
        <v>0</v>
      </c>
      <c r="AE750" s="73">
        <v>0</v>
      </c>
      <c r="AF750" s="74">
        <f>tblData[[#This Row],[Gross Sales]]+tblData[[#This Row],[Trade Discounts]]+tblData[[#This Row],[Returns]]</f>
        <v>2218</v>
      </c>
      <c r="AG750" s="74">
        <f>tblData[[#This Row],[Material Cost]]+tblData[[#This Row],[Conversion Cost]]+tblData[[#This Row],[Inbound Freight]]</f>
        <v>-1116</v>
      </c>
      <c r="AH750" s="74">
        <f>tblData[[#This Row],[Net Revenue]]+tblData[[#This Row],[COGS]]</f>
        <v>1102</v>
      </c>
      <c r="AI750" s="74">
        <f>tblData[[#This Row],[Advertising]]+tblData[[#This Row],[Promotions]]</f>
        <v>-112</v>
      </c>
      <c r="AJ750" s="74">
        <f>tblData[[#This Row],[Outbound Logistics]]+tblData[[#This Row],[Direct Selling]]</f>
        <v>-196</v>
      </c>
      <c r="AK750" s="74">
        <f>tblData[[#This Row],[Gross Profit]]+tblData[[#This Row],[AP Spend]]+tblData[[#This Row],[Cost to Serve]]</f>
        <v>794</v>
      </c>
    </row>
    <row r="751" spans="2:37" x14ac:dyDescent="0.25">
      <c r="B751" s="71" t="s">
        <v>50</v>
      </c>
      <c r="C751" s="71">
        <v>2026</v>
      </c>
      <c r="D751" s="71">
        <v>8</v>
      </c>
      <c r="E751" s="71" t="s">
        <v>37</v>
      </c>
      <c r="F751" s="71" t="s">
        <v>41</v>
      </c>
      <c r="G751" s="72">
        <v>197.2</v>
      </c>
      <c r="H751" s="73">
        <v>2170</v>
      </c>
      <c r="I751" s="73">
        <v>-412</v>
      </c>
      <c r="J751" s="73">
        <v>-33</v>
      </c>
      <c r="K751" s="73">
        <v>-516</v>
      </c>
      <c r="L751" s="73">
        <v>-129</v>
      </c>
      <c r="M751" s="73">
        <v>-72</v>
      </c>
      <c r="N751" s="73">
        <v>-155</v>
      </c>
      <c r="O751" s="73">
        <v>-84</v>
      </c>
      <c r="P751" s="73">
        <v>-87</v>
      </c>
      <c r="Q751" s="73">
        <v>-65</v>
      </c>
      <c r="R751" s="73">
        <v>0</v>
      </c>
      <c r="S751" s="73">
        <v>0</v>
      </c>
      <c r="T751" s="73">
        <v>0</v>
      </c>
      <c r="U751" s="73">
        <v>0</v>
      </c>
      <c r="V751" s="73">
        <v>0</v>
      </c>
      <c r="W751" s="73">
        <v>0</v>
      </c>
      <c r="X751" s="73">
        <v>0</v>
      </c>
      <c r="Y751" s="73">
        <v>0</v>
      </c>
      <c r="Z751" s="73">
        <v>3095</v>
      </c>
      <c r="AA751" s="73">
        <v>2103</v>
      </c>
      <c r="AB751" s="73">
        <v>0</v>
      </c>
      <c r="AC751" s="73">
        <v>0</v>
      </c>
      <c r="AD751" s="73">
        <v>0</v>
      </c>
      <c r="AE751" s="73">
        <v>0</v>
      </c>
      <c r="AF751" s="74">
        <f>tblData[[#This Row],[Gross Sales]]+tblData[[#This Row],[Trade Discounts]]+tblData[[#This Row],[Returns]]</f>
        <v>1725</v>
      </c>
      <c r="AG751" s="74">
        <f>tblData[[#This Row],[Material Cost]]+tblData[[#This Row],[Conversion Cost]]+tblData[[#This Row],[Inbound Freight]]</f>
        <v>-717</v>
      </c>
      <c r="AH751" s="74">
        <f>tblData[[#This Row],[Net Revenue]]+tblData[[#This Row],[COGS]]</f>
        <v>1008</v>
      </c>
      <c r="AI751" s="74">
        <f>tblData[[#This Row],[Advertising]]+tblData[[#This Row],[Promotions]]</f>
        <v>-239</v>
      </c>
      <c r="AJ751" s="74">
        <f>tblData[[#This Row],[Outbound Logistics]]+tblData[[#This Row],[Direct Selling]]</f>
        <v>-152</v>
      </c>
      <c r="AK751" s="74">
        <f>tblData[[#This Row],[Gross Profit]]+tblData[[#This Row],[AP Spend]]+tblData[[#This Row],[Cost to Serve]]</f>
        <v>617</v>
      </c>
    </row>
    <row r="752" spans="2:37" x14ac:dyDescent="0.25">
      <c r="B752" s="71" t="s">
        <v>50</v>
      </c>
      <c r="C752" s="71">
        <v>2026</v>
      </c>
      <c r="D752" s="71">
        <v>8</v>
      </c>
      <c r="E752" s="71" t="s">
        <v>37</v>
      </c>
      <c r="F752" s="71" t="s">
        <v>42</v>
      </c>
      <c r="G752" s="72">
        <v>258.3</v>
      </c>
      <c r="H752" s="73">
        <v>1550</v>
      </c>
      <c r="I752" s="73">
        <v>-294</v>
      </c>
      <c r="J752" s="73">
        <v>-23</v>
      </c>
      <c r="K752" s="73">
        <v>-491</v>
      </c>
      <c r="L752" s="73">
        <v>-123</v>
      </c>
      <c r="M752" s="73">
        <v>-68</v>
      </c>
      <c r="N752" s="73">
        <v>-30</v>
      </c>
      <c r="O752" s="73">
        <v>-16</v>
      </c>
      <c r="P752" s="73">
        <v>-62</v>
      </c>
      <c r="Q752" s="73">
        <v>-46</v>
      </c>
      <c r="R752" s="73">
        <v>0</v>
      </c>
      <c r="S752" s="73">
        <v>0</v>
      </c>
      <c r="T752" s="73">
        <v>0</v>
      </c>
      <c r="U752" s="73">
        <v>0</v>
      </c>
      <c r="V752" s="73">
        <v>0</v>
      </c>
      <c r="W752" s="73">
        <v>0</v>
      </c>
      <c r="X752" s="73">
        <v>0</v>
      </c>
      <c r="Y752" s="73">
        <v>0</v>
      </c>
      <c r="Z752" s="73">
        <v>2211</v>
      </c>
      <c r="AA752" s="73">
        <v>2447</v>
      </c>
      <c r="AB752" s="73">
        <v>0</v>
      </c>
      <c r="AC752" s="73">
        <v>0</v>
      </c>
      <c r="AD752" s="73">
        <v>0</v>
      </c>
      <c r="AE752" s="73">
        <v>0</v>
      </c>
      <c r="AF752" s="74">
        <f>tblData[[#This Row],[Gross Sales]]+tblData[[#This Row],[Trade Discounts]]+tblData[[#This Row],[Returns]]</f>
        <v>1233</v>
      </c>
      <c r="AG752" s="74">
        <f>tblData[[#This Row],[Material Cost]]+tblData[[#This Row],[Conversion Cost]]+tblData[[#This Row],[Inbound Freight]]</f>
        <v>-682</v>
      </c>
      <c r="AH752" s="74">
        <f>tblData[[#This Row],[Net Revenue]]+tblData[[#This Row],[COGS]]</f>
        <v>551</v>
      </c>
      <c r="AI752" s="74">
        <f>tblData[[#This Row],[Advertising]]+tblData[[#This Row],[Promotions]]</f>
        <v>-46</v>
      </c>
      <c r="AJ752" s="74">
        <f>tblData[[#This Row],[Outbound Logistics]]+tblData[[#This Row],[Direct Selling]]</f>
        <v>-108</v>
      </c>
      <c r="AK752" s="74">
        <f>tblData[[#This Row],[Gross Profit]]+tblData[[#This Row],[AP Spend]]+tblData[[#This Row],[Cost to Serve]]</f>
        <v>397</v>
      </c>
    </row>
    <row r="753" spans="2:37" x14ac:dyDescent="0.25">
      <c r="B753" s="71" t="s">
        <v>50</v>
      </c>
      <c r="C753" s="71">
        <v>2026</v>
      </c>
      <c r="D753" s="71">
        <v>8</v>
      </c>
      <c r="E753" s="71" t="s">
        <v>37</v>
      </c>
      <c r="F753" s="71" t="s">
        <v>43</v>
      </c>
      <c r="G753" s="72">
        <v>51.7</v>
      </c>
      <c r="H753" s="73">
        <v>930</v>
      </c>
      <c r="I753" s="73">
        <v>-177</v>
      </c>
      <c r="J753" s="73">
        <v>-14</v>
      </c>
      <c r="K753" s="73">
        <v>-254</v>
      </c>
      <c r="L753" s="73">
        <v>-64</v>
      </c>
      <c r="M753" s="73">
        <v>-35</v>
      </c>
      <c r="N753" s="73">
        <v>-85</v>
      </c>
      <c r="O753" s="73">
        <v>-46</v>
      </c>
      <c r="P753" s="73">
        <v>-37</v>
      </c>
      <c r="Q753" s="73">
        <v>-28</v>
      </c>
      <c r="R753" s="73">
        <v>0</v>
      </c>
      <c r="S753" s="73">
        <v>0</v>
      </c>
      <c r="T753" s="73">
        <v>0</v>
      </c>
      <c r="U753" s="73">
        <v>0</v>
      </c>
      <c r="V753" s="73">
        <v>0</v>
      </c>
      <c r="W753" s="73">
        <v>0</v>
      </c>
      <c r="X753" s="73">
        <v>0</v>
      </c>
      <c r="Y753" s="73">
        <v>0</v>
      </c>
      <c r="Z753" s="73">
        <v>1327</v>
      </c>
      <c r="AA753" s="73">
        <v>1383</v>
      </c>
      <c r="AB753" s="73">
        <v>0</v>
      </c>
      <c r="AC753" s="73">
        <v>0</v>
      </c>
      <c r="AD753" s="73">
        <v>0</v>
      </c>
      <c r="AE753" s="73">
        <v>0</v>
      </c>
      <c r="AF753" s="74">
        <f>tblData[[#This Row],[Gross Sales]]+tblData[[#This Row],[Trade Discounts]]+tblData[[#This Row],[Returns]]</f>
        <v>739</v>
      </c>
      <c r="AG753" s="74">
        <f>tblData[[#This Row],[Material Cost]]+tblData[[#This Row],[Conversion Cost]]+tblData[[#This Row],[Inbound Freight]]</f>
        <v>-353</v>
      </c>
      <c r="AH753" s="74">
        <f>tblData[[#This Row],[Net Revenue]]+tblData[[#This Row],[COGS]]</f>
        <v>386</v>
      </c>
      <c r="AI753" s="74">
        <f>tblData[[#This Row],[Advertising]]+tblData[[#This Row],[Promotions]]</f>
        <v>-131</v>
      </c>
      <c r="AJ753" s="74">
        <f>tblData[[#This Row],[Outbound Logistics]]+tblData[[#This Row],[Direct Selling]]</f>
        <v>-65</v>
      </c>
      <c r="AK753" s="74">
        <f>tblData[[#This Row],[Gross Profit]]+tblData[[#This Row],[AP Spend]]+tblData[[#This Row],[Cost to Serve]]</f>
        <v>190</v>
      </c>
    </row>
    <row r="754" spans="2:37" x14ac:dyDescent="0.25">
      <c r="B754" s="71" t="s">
        <v>50</v>
      </c>
      <c r="C754" s="71">
        <v>2026</v>
      </c>
      <c r="D754" s="71">
        <v>8</v>
      </c>
      <c r="E754" s="71" t="s">
        <v>44</v>
      </c>
      <c r="F754" s="71" t="s">
        <v>38</v>
      </c>
      <c r="G754" s="72">
        <v>248</v>
      </c>
      <c r="H754" s="73">
        <v>3472</v>
      </c>
      <c r="I754" s="73">
        <v>-555</v>
      </c>
      <c r="J754" s="73">
        <v>-42</v>
      </c>
      <c r="K754" s="73">
        <v>-750</v>
      </c>
      <c r="L754" s="73">
        <v>-187</v>
      </c>
      <c r="M754" s="73">
        <v>-104</v>
      </c>
      <c r="N754" s="73">
        <v>-203</v>
      </c>
      <c r="O754" s="73">
        <v>-109</v>
      </c>
      <c r="P754" s="73">
        <v>-139</v>
      </c>
      <c r="Q754" s="73">
        <v>-104</v>
      </c>
      <c r="R754" s="73">
        <v>0</v>
      </c>
      <c r="S754" s="73">
        <v>0</v>
      </c>
      <c r="T754" s="73">
        <v>0</v>
      </c>
      <c r="U754" s="73">
        <v>0</v>
      </c>
      <c r="V754" s="73">
        <v>0</v>
      </c>
      <c r="W754" s="73">
        <v>0</v>
      </c>
      <c r="X754" s="73">
        <v>0</v>
      </c>
      <c r="Y754" s="73">
        <v>0</v>
      </c>
      <c r="Z754" s="73">
        <v>4689</v>
      </c>
      <c r="AA754" s="73">
        <v>3228</v>
      </c>
      <c r="AB754" s="73">
        <v>0</v>
      </c>
      <c r="AC754" s="73">
        <v>0</v>
      </c>
      <c r="AD754" s="73">
        <v>0</v>
      </c>
      <c r="AE754" s="73">
        <v>0</v>
      </c>
      <c r="AF754" s="74">
        <f>tblData[[#This Row],[Gross Sales]]+tblData[[#This Row],[Trade Discounts]]+tblData[[#This Row],[Returns]]</f>
        <v>2875</v>
      </c>
      <c r="AG754" s="74">
        <f>tblData[[#This Row],[Material Cost]]+tblData[[#This Row],[Conversion Cost]]+tblData[[#This Row],[Inbound Freight]]</f>
        <v>-1041</v>
      </c>
      <c r="AH754" s="74">
        <f>tblData[[#This Row],[Net Revenue]]+tblData[[#This Row],[COGS]]</f>
        <v>1834</v>
      </c>
      <c r="AI754" s="74">
        <f>tblData[[#This Row],[Advertising]]+tblData[[#This Row],[Promotions]]</f>
        <v>-312</v>
      </c>
      <c r="AJ754" s="74">
        <f>tblData[[#This Row],[Outbound Logistics]]+tblData[[#This Row],[Direct Selling]]</f>
        <v>-243</v>
      </c>
      <c r="AK754" s="74">
        <f>tblData[[#This Row],[Gross Profit]]+tblData[[#This Row],[AP Spend]]+tblData[[#This Row],[Cost to Serve]]</f>
        <v>1279</v>
      </c>
    </row>
    <row r="755" spans="2:37" x14ac:dyDescent="0.25">
      <c r="B755" s="71" t="s">
        <v>50</v>
      </c>
      <c r="C755" s="71">
        <v>2026</v>
      </c>
      <c r="D755" s="71">
        <v>8</v>
      </c>
      <c r="E755" s="71" t="s">
        <v>44</v>
      </c>
      <c r="F755" s="71" t="s">
        <v>39</v>
      </c>
      <c r="G755" s="72">
        <v>330.6</v>
      </c>
      <c r="H755" s="73">
        <v>2976</v>
      </c>
      <c r="I755" s="73">
        <v>-476</v>
      </c>
      <c r="J755" s="73">
        <v>-36</v>
      </c>
      <c r="K755" s="73">
        <v>-771</v>
      </c>
      <c r="L755" s="73">
        <v>-193</v>
      </c>
      <c r="M755" s="73">
        <v>-107</v>
      </c>
      <c r="N755" s="73">
        <v>-116</v>
      </c>
      <c r="O755" s="73">
        <v>-62</v>
      </c>
      <c r="P755" s="73">
        <v>-119</v>
      </c>
      <c r="Q755" s="73">
        <v>-89</v>
      </c>
      <c r="R755" s="73">
        <v>0</v>
      </c>
      <c r="S755" s="73">
        <v>0</v>
      </c>
      <c r="T755" s="73">
        <v>0</v>
      </c>
      <c r="U755" s="73">
        <v>0</v>
      </c>
      <c r="V755" s="73">
        <v>0</v>
      </c>
      <c r="W755" s="73">
        <v>0</v>
      </c>
      <c r="X755" s="73">
        <v>0</v>
      </c>
      <c r="Y755" s="73">
        <v>0</v>
      </c>
      <c r="Z755" s="73">
        <v>4019</v>
      </c>
      <c r="AA755" s="73">
        <v>2796</v>
      </c>
      <c r="AB755" s="73">
        <v>0</v>
      </c>
      <c r="AC755" s="73">
        <v>0</v>
      </c>
      <c r="AD755" s="73">
        <v>0</v>
      </c>
      <c r="AE755" s="73">
        <v>0</v>
      </c>
      <c r="AF755" s="74">
        <f>tblData[[#This Row],[Gross Sales]]+tblData[[#This Row],[Trade Discounts]]+tblData[[#This Row],[Returns]]</f>
        <v>2464</v>
      </c>
      <c r="AG755" s="74">
        <f>tblData[[#This Row],[Material Cost]]+tblData[[#This Row],[Conversion Cost]]+tblData[[#This Row],[Inbound Freight]]</f>
        <v>-1071</v>
      </c>
      <c r="AH755" s="74">
        <f>tblData[[#This Row],[Net Revenue]]+tblData[[#This Row],[COGS]]</f>
        <v>1393</v>
      </c>
      <c r="AI755" s="74">
        <f>tblData[[#This Row],[Advertising]]+tblData[[#This Row],[Promotions]]</f>
        <v>-178</v>
      </c>
      <c r="AJ755" s="74">
        <f>tblData[[#This Row],[Outbound Logistics]]+tblData[[#This Row],[Direct Selling]]</f>
        <v>-208</v>
      </c>
      <c r="AK755" s="74">
        <f>tblData[[#This Row],[Gross Profit]]+tblData[[#This Row],[AP Spend]]+tblData[[#This Row],[Cost to Serve]]</f>
        <v>1007</v>
      </c>
    </row>
    <row r="756" spans="2:37" x14ac:dyDescent="0.25">
      <c r="B756" s="71" t="s">
        <v>50</v>
      </c>
      <c r="C756" s="71">
        <v>2026</v>
      </c>
      <c r="D756" s="71">
        <v>8</v>
      </c>
      <c r="E756" s="71" t="s">
        <v>44</v>
      </c>
      <c r="F756" s="71" t="s">
        <v>40</v>
      </c>
      <c r="G756" s="72">
        <v>318.8</v>
      </c>
      <c r="H756" s="73">
        <v>2232</v>
      </c>
      <c r="I756" s="73">
        <v>-357</v>
      </c>
      <c r="J756" s="73">
        <v>-27</v>
      </c>
      <c r="K756" s="73">
        <v>-643</v>
      </c>
      <c r="L756" s="73">
        <v>-161</v>
      </c>
      <c r="M756" s="73">
        <v>-89</v>
      </c>
      <c r="N756" s="73">
        <v>-58</v>
      </c>
      <c r="O756" s="73">
        <v>-31</v>
      </c>
      <c r="P756" s="73">
        <v>-89</v>
      </c>
      <c r="Q756" s="73">
        <v>-67</v>
      </c>
      <c r="R756" s="73">
        <v>0</v>
      </c>
      <c r="S756" s="73">
        <v>0</v>
      </c>
      <c r="T756" s="73">
        <v>0</v>
      </c>
      <c r="U756" s="73">
        <v>0</v>
      </c>
      <c r="V756" s="73">
        <v>0</v>
      </c>
      <c r="W756" s="73">
        <v>0</v>
      </c>
      <c r="X756" s="73">
        <v>0</v>
      </c>
      <c r="Y756" s="73">
        <v>0</v>
      </c>
      <c r="Z756" s="73">
        <v>3015</v>
      </c>
      <c r="AA756" s="73">
        <v>2184</v>
      </c>
      <c r="AB756" s="73">
        <v>0</v>
      </c>
      <c r="AC756" s="73">
        <v>0</v>
      </c>
      <c r="AD756" s="73">
        <v>0</v>
      </c>
      <c r="AE756" s="73">
        <v>0</v>
      </c>
      <c r="AF756" s="74">
        <f>tblData[[#This Row],[Gross Sales]]+tblData[[#This Row],[Trade Discounts]]+tblData[[#This Row],[Returns]]</f>
        <v>1848</v>
      </c>
      <c r="AG756" s="74">
        <f>tblData[[#This Row],[Material Cost]]+tblData[[#This Row],[Conversion Cost]]+tblData[[#This Row],[Inbound Freight]]</f>
        <v>-893</v>
      </c>
      <c r="AH756" s="74">
        <f>tblData[[#This Row],[Net Revenue]]+tblData[[#This Row],[COGS]]</f>
        <v>955</v>
      </c>
      <c r="AI756" s="74">
        <f>tblData[[#This Row],[Advertising]]+tblData[[#This Row],[Promotions]]</f>
        <v>-89</v>
      </c>
      <c r="AJ756" s="74">
        <f>tblData[[#This Row],[Outbound Logistics]]+tblData[[#This Row],[Direct Selling]]</f>
        <v>-156</v>
      </c>
      <c r="AK756" s="74">
        <f>tblData[[#This Row],[Gross Profit]]+tblData[[#This Row],[AP Spend]]+tblData[[#This Row],[Cost to Serve]]</f>
        <v>710</v>
      </c>
    </row>
    <row r="757" spans="2:37" x14ac:dyDescent="0.25">
      <c r="B757" s="71" t="s">
        <v>50</v>
      </c>
      <c r="C757" s="71">
        <v>2026</v>
      </c>
      <c r="D757" s="71">
        <v>8</v>
      </c>
      <c r="E757" s="71" t="s">
        <v>44</v>
      </c>
      <c r="F757" s="71" t="s">
        <v>41</v>
      </c>
      <c r="G757" s="72">
        <v>157.80000000000001</v>
      </c>
      <c r="H757" s="73">
        <v>1736</v>
      </c>
      <c r="I757" s="73">
        <v>-278</v>
      </c>
      <c r="J757" s="73">
        <v>-21</v>
      </c>
      <c r="K757" s="73">
        <v>-412</v>
      </c>
      <c r="L757" s="73">
        <v>-103</v>
      </c>
      <c r="M757" s="73">
        <v>-57</v>
      </c>
      <c r="N757" s="73">
        <v>-124</v>
      </c>
      <c r="O757" s="73">
        <v>-67</v>
      </c>
      <c r="P757" s="73">
        <v>-69</v>
      </c>
      <c r="Q757" s="73">
        <v>-52</v>
      </c>
      <c r="R757" s="73">
        <v>0</v>
      </c>
      <c r="S757" s="73">
        <v>0</v>
      </c>
      <c r="T757" s="73">
        <v>0</v>
      </c>
      <c r="U757" s="73">
        <v>0</v>
      </c>
      <c r="V757" s="73">
        <v>0</v>
      </c>
      <c r="W757" s="73">
        <v>0</v>
      </c>
      <c r="X757" s="73">
        <v>0</v>
      </c>
      <c r="Y757" s="73">
        <v>0</v>
      </c>
      <c r="Z757" s="73">
        <v>2345</v>
      </c>
      <c r="AA757" s="73">
        <v>1682</v>
      </c>
      <c r="AB757" s="73">
        <v>0</v>
      </c>
      <c r="AC757" s="73">
        <v>0</v>
      </c>
      <c r="AD757" s="73">
        <v>0</v>
      </c>
      <c r="AE757" s="73">
        <v>0</v>
      </c>
      <c r="AF757" s="74">
        <f>tblData[[#This Row],[Gross Sales]]+tblData[[#This Row],[Trade Discounts]]+tblData[[#This Row],[Returns]]</f>
        <v>1437</v>
      </c>
      <c r="AG757" s="74">
        <f>tblData[[#This Row],[Material Cost]]+tblData[[#This Row],[Conversion Cost]]+tblData[[#This Row],[Inbound Freight]]</f>
        <v>-572</v>
      </c>
      <c r="AH757" s="74">
        <f>tblData[[#This Row],[Net Revenue]]+tblData[[#This Row],[COGS]]</f>
        <v>865</v>
      </c>
      <c r="AI757" s="74">
        <f>tblData[[#This Row],[Advertising]]+tblData[[#This Row],[Promotions]]</f>
        <v>-191</v>
      </c>
      <c r="AJ757" s="74">
        <f>tblData[[#This Row],[Outbound Logistics]]+tblData[[#This Row],[Direct Selling]]</f>
        <v>-121</v>
      </c>
      <c r="AK757" s="74">
        <f>tblData[[#This Row],[Gross Profit]]+tblData[[#This Row],[AP Spend]]+tblData[[#This Row],[Cost to Serve]]</f>
        <v>553</v>
      </c>
    </row>
    <row r="758" spans="2:37" x14ac:dyDescent="0.25">
      <c r="B758" s="71" t="s">
        <v>50</v>
      </c>
      <c r="C758" s="71">
        <v>2026</v>
      </c>
      <c r="D758" s="71">
        <v>8</v>
      </c>
      <c r="E758" s="71" t="s">
        <v>44</v>
      </c>
      <c r="F758" s="71" t="s">
        <v>42</v>
      </c>
      <c r="G758" s="72">
        <v>206.6</v>
      </c>
      <c r="H758" s="73">
        <v>1240</v>
      </c>
      <c r="I758" s="73">
        <v>-198</v>
      </c>
      <c r="J758" s="73">
        <v>-15</v>
      </c>
      <c r="K758" s="73">
        <v>-393</v>
      </c>
      <c r="L758" s="73">
        <v>-98</v>
      </c>
      <c r="M758" s="73">
        <v>-55</v>
      </c>
      <c r="N758" s="73">
        <v>-24</v>
      </c>
      <c r="O758" s="73">
        <v>-13</v>
      </c>
      <c r="P758" s="73">
        <v>-50</v>
      </c>
      <c r="Q758" s="73">
        <v>-37</v>
      </c>
      <c r="R758" s="73">
        <v>0</v>
      </c>
      <c r="S758" s="73">
        <v>0</v>
      </c>
      <c r="T758" s="73">
        <v>0</v>
      </c>
      <c r="U758" s="73">
        <v>0</v>
      </c>
      <c r="V758" s="73">
        <v>0</v>
      </c>
      <c r="W758" s="73">
        <v>0</v>
      </c>
      <c r="X758" s="73">
        <v>0</v>
      </c>
      <c r="Y758" s="73">
        <v>0</v>
      </c>
      <c r="Z758" s="73">
        <v>1675</v>
      </c>
      <c r="AA758" s="73">
        <v>1958</v>
      </c>
      <c r="AB758" s="73">
        <v>0</v>
      </c>
      <c r="AC758" s="73">
        <v>0</v>
      </c>
      <c r="AD758" s="73">
        <v>0</v>
      </c>
      <c r="AE758" s="73">
        <v>0</v>
      </c>
      <c r="AF758" s="74">
        <f>tblData[[#This Row],[Gross Sales]]+tblData[[#This Row],[Trade Discounts]]+tblData[[#This Row],[Returns]]</f>
        <v>1027</v>
      </c>
      <c r="AG758" s="74">
        <f>tblData[[#This Row],[Material Cost]]+tblData[[#This Row],[Conversion Cost]]+tblData[[#This Row],[Inbound Freight]]</f>
        <v>-546</v>
      </c>
      <c r="AH758" s="74">
        <f>tblData[[#This Row],[Net Revenue]]+tblData[[#This Row],[COGS]]</f>
        <v>481</v>
      </c>
      <c r="AI758" s="74">
        <f>tblData[[#This Row],[Advertising]]+tblData[[#This Row],[Promotions]]</f>
        <v>-37</v>
      </c>
      <c r="AJ758" s="74">
        <f>tblData[[#This Row],[Outbound Logistics]]+tblData[[#This Row],[Direct Selling]]</f>
        <v>-87</v>
      </c>
      <c r="AK758" s="74">
        <f>tblData[[#This Row],[Gross Profit]]+tblData[[#This Row],[AP Spend]]+tblData[[#This Row],[Cost to Serve]]</f>
        <v>357</v>
      </c>
    </row>
    <row r="759" spans="2:37" x14ac:dyDescent="0.25">
      <c r="B759" s="71" t="s">
        <v>50</v>
      </c>
      <c r="C759" s="71">
        <v>2026</v>
      </c>
      <c r="D759" s="71">
        <v>8</v>
      </c>
      <c r="E759" s="71" t="s">
        <v>44</v>
      </c>
      <c r="F759" s="71" t="s">
        <v>43</v>
      </c>
      <c r="G759" s="72">
        <v>41.3</v>
      </c>
      <c r="H759" s="73">
        <v>744</v>
      </c>
      <c r="I759" s="73">
        <v>-119</v>
      </c>
      <c r="J759" s="73">
        <v>-9</v>
      </c>
      <c r="K759" s="73">
        <v>-204</v>
      </c>
      <c r="L759" s="73">
        <v>-51</v>
      </c>
      <c r="M759" s="73">
        <v>-28</v>
      </c>
      <c r="N759" s="73">
        <v>-68</v>
      </c>
      <c r="O759" s="73">
        <v>-36</v>
      </c>
      <c r="P759" s="73">
        <v>-30</v>
      </c>
      <c r="Q759" s="73">
        <v>-22</v>
      </c>
      <c r="R759" s="73">
        <v>0</v>
      </c>
      <c r="S759" s="73">
        <v>0</v>
      </c>
      <c r="T759" s="73">
        <v>0</v>
      </c>
      <c r="U759" s="73">
        <v>0</v>
      </c>
      <c r="V759" s="73">
        <v>0</v>
      </c>
      <c r="W759" s="73">
        <v>0</v>
      </c>
      <c r="X759" s="73">
        <v>0</v>
      </c>
      <c r="Y759" s="73">
        <v>0</v>
      </c>
      <c r="Z759" s="73">
        <v>1005</v>
      </c>
      <c r="AA759" s="73">
        <v>1107</v>
      </c>
      <c r="AB759" s="73">
        <v>0</v>
      </c>
      <c r="AC759" s="73">
        <v>0</v>
      </c>
      <c r="AD759" s="73">
        <v>0</v>
      </c>
      <c r="AE759" s="73">
        <v>0</v>
      </c>
      <c r="AF759" s="74">
        <f>tblData[[#This Row],[Gross Sales]]+tblData[[#This Row],[Trade Discounts]]+tblData[[#This Row],[Returns]]</f>
        <v>616</v>
      </c>
      <c r="AG759" s="74">
        <f>tblData[[#This Row],[Material Cost]]+tblData[[#This Row],[Conversion Cost]]+tblData[[#This Row],[Inbound Freight]]</f>
        <v>-283</v>
      </c>
      <c r="AH759" s="74">
        <f>tblData[[#This Row],[Net Revenue]]+tblData[[#This Row],[COGS]]</f>
        <v>333</v>
      </c>
      <c r="AI759" s="74">
        <f>tblData[[#This Row],[Advertising]]+tblData[[#This Row],[Promotions]]</f>
        <v>-104</v>
      </c>
      <c r="AJ759" s="74">
        <f>tblData[[#This Row],[Outbound Logistics]]+tblData[[#This Row],[Direct Selling]]</f>
        <v>-52</v>
      </c>
      <c r="AK759" s="74">
        <f>tblData[[#This Row],[Gross Profit]]+tblData[[#This Row],[AP Spend]]+tblData[[#This Row],[Cost to Serve]]</f>
        <v>177</v>
      </c>
    </row>
    <row r="760" spans="2:37" x14ac:dyDescent="0.25">
      <c r="B760" s="71" t="s">
        <v>50</v>
      </c>
      <c r="C760" s="71">
        <v>2026</v>
      </c>
      <c r="D760" s="71">
        <v>8</v>
      </c>
      <c r="E760" s="71" t="s">
        <v>45</v>
      </c>
      <c r="F760" s="71" t="s">
        <v>38</v>
      </c>
      <c r="G760" s="72">
        <v>144.6</v>
      </c>
      <c r="H760" s="73">
        <v>2025</v>
      </c>
      <c r="I760" s="73">
        <v>-446</v>
      </c>
      <c r="J760" s="73">
        <v>-20</v>
      </c>
      <c r="K760" s="73">
        <v>-437</v>
      </c>
      <c r="L760" s="73">
        <v>-109</v>
      </c>
      <c r="M760" s="73">
        <v>-61</v>
      </c>
      <c r="N760" s="73">
        <v>-118</v>
      </c>
      <c r="O760" s="73">
        <v>-64</v>
      </c>
      <c r="P760" s="73">
        <v>-71</v>
      </c>
      <c r="Q760" s="73">
        <v>-41</v>
      </c>
      <c r="R760" s="73">
        <v>0</v>
      </c>
      <c r="S760" s="73">
        <v>0</v>
      </c>
      <c r="T760" s="73">
        <v>0</v>
      </c>
      <c r="U760" s="73">
        <v>0</v>
      </c>
      <c r="V760" s="73">
        <v>0</v>
      </c>
      <c r="W760" s="73">
        <v>0</v>
      </c>
      <c r="X760" s="73">
        <v>0</v>
      </c>
      <c r="Y760" s="73">
        <v>0</v>
      </c>
      <c r="Z760" s="73">
        <v>2289</v>
      </c>
      <c r="AA760" s="73">
        <v>1883</v>
      </c>
      <c r="AB760" s="73">
        <v>0</v>
      </c>
      <c r="AC760" s="73">
        <v>0</v>
      </c>
      <c r="AD760" s="73">
        <v>0</v>
      </c>
      <c r="AE760" s="73">
        <v>0</v>
      </c>
      <c r="AF760" s="74">
        <f>tblData[[#This Row],[Gross Sales]]+tblData[[#This Row],[Trade Discounts]]+tblData[[#This Row],[Returns]]</f>
        <v>1559</v>
      </c>
      <c r="AG760" s="74">
        <f>tblData[[#This Row],[Material Cost]]+tblData[[#This Row],[Conversion Cost]]+tblData[[#This Row],[Inbound Freight]]</f>
        <v>-607</v>
      </c>
      <c r="AH760" s="74">
        <f>tblData[[#This Row],[Net Revenue]]+tblData[[#This Row],[COGS]]</f>
        <v>952</v>
      </c>
      <c r="AI760" s="74">
        <f>tblData[[#This Row],[Advertising]]+tblData[[#This Row],[Promotions]]</f>
        <v>-182</v>
      </c>
      <c r="AJ760" s="74">
        <f>tblData[[#This Row],[Outbound Logistics]]+tblData[[#This Row],[Direct Selling]]</f>
        <v>-112</v>
      </c>
      <c r="AK760" s="74">
        <f>tblData[[#This Row],[Gross Profit]]+tblData[[#This Row],[AP Spend]]+tblData[[#This Row],[Cost to Serve]]</f>
        <v>658</v>
      </c>
    </row>
    <row r="761" spans="2:37" x14ac:dyDescent="0.25">
      <c r="B761" s="71" t="s">
        <v>50</v>
      </c>
      <c r="C761" s="71">
        <v>2026</v>
      </c>
      <c r="D761" s="71">
        <v>8</v>
      </c>
      <c r="E761" s="71" t="s">
        <v>45</v>
      </c>
      <c r="F761" s="71" t="s">
        <v>39</v>
      </c>
      <c r="G761" s="72">
        <v>192.9</v>
      </c>
      <c r="H761" s="73">
        <v>1736</v>
      </c>
      <c r="I761" s="73">
        <v>-382</v>
      </c>
      <c r="J761" s="73">
        <v>-17</v>
      </c>
      <c r="K761" s="73">
        <v>-450</v>
      </c>
      <c r="L761" s="73">
        <v>-112</v>
      </c>
      <c r="M761" s="73">
        <v>-62</v>
      </c>
      <c r="N761" s="73">
        <v>-68</v>
      </c>
      <c r="O761" s="73">
        <v>-36</v>
      </c>
      <c r="P761" s="73">
        <v>-61</v>
      </c>
      <c r="Q761" s="73">
        <v>-35</v>
      </c>
      <c r="R761" s="73">
        <v>0</v>
      </c>
      <c r="S761" s="73">
        <v>0</v>
      </c>
      <c r="T761" s="73">
        <v>0</v>
      </c>
      <c r="U761" s="73">
        <v>0</v>
      </c>
      <c r="V761" s="73">
        <v>0</v>
      </c>
      <c r="W761" s="73">
        <v>0</v>
      </c>
      <c r="X761" s="73">
        <v>0</v>
      </c>
      <c r="Y761" s="73">
        <v>0</v>
      </c>
      <c r="Z761" s="73">
        <v>1962</v>
      </c>
      <c r="AA761" s="73">
        <v>1631</v>
      </c>
      <c r="AB761" s="73">
        <v>0</v>
      </c>
      <c r="AC761" s="73">
        <v>0</v>
      </c>
      <c r="AD761" s="73">
        <v>0</v>
      </c>
      <c r="AE761" s="73">
        <v>0</v>
      </c>
      <c r="AF761" s="74">
        <f>tblData[[#This Row],[Gross Sales]]+tblData[[#This Row],[Trade Discounts]]+tblData[[#This Row],[Returns]]</f>
        <v>1337</v>
      </c>
      <c r="AG761" s="74">
        <f>tblData[[#This Row],[Material Cost]]+tblData[[#This Row],[Conversion Cost]]+tblData[[#This Row],[Inbound Freight]]</f>
        <v>-624</v>
      </c>
      <c r="AH761" s="74">
        <f>tblData[[#This Row],[Net Revenue]]+tblData[[#This Row],[COGS]]</f>
        <v>713</v>
      </c>
      <c r="AI761" s="74">
        <f>tblData[[#This Row],[Advertising]]+tblData[[#This Row],[Promotions]]</f>
        <v>-104</v>
      </c>
      <c r="AJ761" s="74">
        <f>tblData[[#This Row],[Outbound Logistics]]+tblData[[#This Row],[Direct Selling]]</f>
        <v>-96</v>
      </c>
      <c r="AK761" s="74">
        <f>tblData[[#This Row],[Gross Profit]]+tblData[[#This Row],[AP Spend]]+tblData[[#This Row],[Cost to Serve]]</f>
        <v>513</v>
      </c>
    </row>
    <row r="762" spans="2:37" x14ac:dyDescent="0.25">
      <c r="B762" s="71" t="s">
        <v>50</v>
      </c>
      <c r="C762" s="71">
        <v>2026</v>
      </c>
      <c r="D762" s="71">
        <v>8</v>
      </c>
      <c r="E762" s="71" t="s">
        <v>45</v>
      </c>
      <c r="F762" s="71" t="s">
        <v>40</v>
      </c>
      <c r="G762" s="72">
        <v>186</v>
      </c>
      <c r="H762" s="73">
        <v>1302</v>
      </c>
      <c r="I762" s="73">
        <v>-286</v>
      </c>
      <c r="J762" s="73">
        <v>-13</v>
      </c>
      <c r="K762" s="73">
        <v>-375</v>
      </c>
      <c r="L762" s="73">
        <v>-94</v>
      </c>
      <c r="M762" s="73">
        <v>-52</v>
      </c>
      <c r="N762" s="73">
        <v>-34</v>
      </c>
      <c r="O762" s="73">
        <v>-18</v>
      </c>
      <c r="P762" s="73">
        <v>-46</v>
      </c>
      <c r="Q762" s="73">
        <v>-26</v>
      </c>
      <c r="R762" s="73">
        <v>0</v>
      </c>
      <c r="S762" s="73">
        <v>0</v>
      </c>
      <c r="T762" s="73">
        <v>0</v>
      </c>
      <c r="U762" s="73">
        <v>0</v>
      </c>
      <c r="V762" s="73">
        <v>0</v>
      </c>
      <c r="W762" s="73">
        <v>0</v>
      </c>
      <c r="X762" s="73">
        <v>0</v>
      </c>
      <c r="Y762" s="73">
        <v>0</v>
      </c>
      <c r="Z762" s="73">
        <v>1472</v>
      </c>
      <c r="AA762" s="73">
        <v>1274</v>
      </c>
      <c r="AB762" s="73">
        <v>0</v>
      </c>
      <c r="AC762" s="73">
        <v>0</v>
      </c>
      <c r="AD762" s="73">
        <v>0</v>
      </c>
      <c r="AE762" s="73">
        <v>0</v>
      </c>
      <c r="AF762" s="74">
        <f>tblData[[#This Row],[Gross Sales]]+tblData[[#This Row],[Trade Discounts]]+tblData[[#This Row],[Returns]]</f>
        <v>1003</v>
      </c>
      <c r="AG762" s="74">
        <f>tblData[[#This Row],[Material Cost]]+tblData[[#This Row],[Conversion Cost]]+tblData[[#This Row],[Inbound Freight]]</f>
        <v>-521</v>
      </c>
      <c r="AH762" s="74">
        <f>tblData[[#This Row],[Net Revenue]]+tblData[[#This Row],[COGS]]</f>
        <v>482</v>
      </c>
      <c r="AI762" s="74">
        <f>tblData[[#This Row],[Advertising]]+tblData[[#This Row],[Promotions]]</f>
        <v>-52</v>
      </c>
      <c r="AJ762" s="74">
        <f>tblData[[#This Row],[Outbound Logistics]]+tblData[[#This Row],[Direct Selling]]</f>
        <v>-72</v>
      </c>
      <c r="AK762" s="74">
        <f>tblData[[#This Row],[Gross Profit]]+tblData[[#This Row],[AP Spend]]+tblData[[#This Row],[Cost to Serve]]</f>
        <v>358</v>
      </c>
    </row>
    <row r="763" spans="2:37" x14ac:dyDescent="0.25">
      <c r="B763" s="71" t="s">
        <v>50</v>
      </c>
      <c r="C763" s="71">
        <v>2026</v>
      </c>
      <c r="D763" s="71">
        <v>8</v>
      </c>
      <c r="E763" s="71" t="s">
        <v>45</v>
      </c>
      <c r="F763" s="71" t="s">
        <v>41</v>
      </c>
      <c r="G763" s="72">
        <v>92</v>
      </c>
      <c r="H763" s="73">
        <v>1013</v>
      </c>
      <c r="I763" s="73">
        <v>-223</v>
      </c>
      <c r="J763" s="73">
        <v>-10</v>
      </c>
      <c r="K763" s="73">
        <v>-241</v>
      </c>
      <c r="L763" s="73">
        <v>-60</v>
      </c>
      <c r="M763" s="73">
        <v>-33</v>
      </c>
      <c r="N763" s="73">
        <v>-72</v>
      </c>
      <c r="O763" s="73">
        <v>-39</v>
      </c>
      <c r="P763" s="73">
        <v>-35</v>
      </c>
      <c r="Q763" s="73">
        <v>-20</v>
      </c>
      <c r="R763" s="73">
        <v>0</v>
      </c>
      <c r="S763" s="73">
        <v>0</v>
      </c>
      <c r="T763" s="73">
        <v>0</v>
      </c>
      <c r="U763" s="73">
        <v>0</v>
      </c>
      <c r="V763" s="73">
        <v>0</v>
      </c>
      <c r="W763" s="73">
        <v>0</v>
      </c>
      <c r="X763" s="73">
        <v>0</v>
      </c>
      <c r="Y763" s="73">
        <v>0</v>
      </c>
      <c r="Z763" s="73">
        <v>1145</v>
      </c>
      <c r="AA763" s="73">
        <v>981</v>
      </c>
      <c r="AB763" s="73">
        <v>0</v>
      </c>
      <c r="AC763" s="73">
        <v>0</v>
      </c>
      <c r="AD763" s="73">
        <v>0</v>
      </c>
      <c r="AE763" s="73">
        <v>0</v>
      </c>
      <c r="AF763" s="74">
        <f>tblData[[#This Row],[Gross Sales]]+tblData[[#This Row],[Trade Discounts]]+tblData[[#This Row],[Returns]]</f>
        <v>780</v>
      </c>
      <c r="AG763" s="74">
        <f>tblData[[#This Row],[Material Cost]]+tblData[[#This Row],[Conversion Cost]]+tblData[[#This Row],[Inbound Freight]]</f>
        <v>-334</v>
      </c>
      <c r="AH763" s="74">
        <f>tblData[[#This Row],[Net Revenue]]+tblData[[#This Row],[COGS]]</f>
        <v>446</v>
      </c>
      <c r="AI763" s="74">
        <f>tblData[[#This Row],[Advertising]]+tblData[[#This Row],[Promotions]]</f>
        <v>-111</v>
      </c>
      <c r="AJ763" s="74">
        <f>tblData[[#This Row],[Outbound Logistics]]+tblData[[#This Row],[Direct Selling]]</f>
        <v>-55</v>
      </c>
      <c r="AK763" s="74">
        <f>tblData[[#This Row],[Gross Profit]]+tblData[[#This Row],[AP Spend]]+tblData[[#This Row],[Cost to Serve]]</f>
        <v>280</v>
      </c>
    </row>
    <row r="764" spans="2:37" x14ac:dyDescent="0.25">
      <c r="B764" s="71" t="s">
        <v>50</v>
      </c>
      <c r="C764" s="71">
        <v>2026</v>
      </c>
      <c r="D764" s="71">
        <v>8</v>
      </c>
      <c r="E764" s="71" t="s">
        <v>45</v>
      </c>
      <c r="F764" s="71" t="s">
        <v>42</v>
      </c>
      <c r="G764" s="72">
        <v>120.5</v>
      </c>
      <c r="H764" s="73">
        <v>723</v>
      </c>
      <c r="I764" s="73">
        <v>-159</v>
      </c>
      <c r="J764" s="73">
        <v>-7</v>
      </c>
      <c r="K764" s="73">
        <v>-229</v>
      </c>
      <c r="L764" s="73">
        <v>-57</v>
      </c>
      <c r="M764" s="73">
        <v>-32</v>
      </c>
      <c r="N764" s="73">
        <v>-14</v>
      </c>
      <c r="O764" s="73">
        <v>-8</v>
      </c>
      <c r="P764" s="73">
        <v>-25</v>
      </c>
      <c r="Q764" s="73">
        <v>-14</v>
      </c>
      <c r="R764" s="73">
        <v>0</v>
      </c>
      <c r="S764" s="73">
        <v>0</v>
      </c>
      <c r="T764" s="73">
        <v>0</v>
      </c>
      <c r="U764" s="73">
        <v>0</v>
      </c>
      <c r="V764" s="73">
        <v>0</v>
      </c>
      <c r="W764" s="73">
        <v>0</v>
      </c>
      <c r="X764" s="73">
        <v>0</v>
      </c>
      <c r="Y764" s="73">
        <v>0</v>
      </c>
      <c r="Z764" s="73">
        <v>818</v>
      </c>
      <c r="AA764" s="73">
        <v>1142</v>
      </c>
      <c r="AB764" s="73">
        <v>0</v>
      </c>
      <c r="AC764" s="73">
        <v>0</v>
      </c>
      <c r="AD764" s="73">
        <v>0</v>
      </c>
      <c r="AE764" s="73">
        <v>0</v>
      </c>
      <c r="AF764" s="74">
        <f>tblData[[#This Row],[Gross Sales]]+tblData[[#This Row],[Trade Discounts]]+tblData[[#This Row],[Returns]]</f>
        <v>557</v>
      </c>
      <c r="AG764" s="74">
        <f>tblData[[#This Row],[Material Cost]]+tblData[[#This Row],[Conversion Cost]]+tblData[[#This Row],[Inbound Freight]]</f>
        <v>-318</v>
      </c>
      <c r="AH764" s="74">
        <f>tblData[[#This Row],[Net Revenue]]+tblData[[#This Row],[COGS]]</f>
        <v>239</v>
      </c>
      <c r="AI764" s="74">
        <f>tblData[[#This Row],[Advertising]]+tblData[[#This Row],[Promotions]]</f>
        <v>-22</v>
      </c>
      <c r="AJ764" s="74">
        <f>tblData[[#This Row],[Outbound Logistics]]+tblData[[#This Row],[Direct Selling]]</f>
        <v>-39</v>
      </c>
      <c r="AK764" s="74">
        <f>tblData[[#This Row],[Gross Profit]]+tblData[[#This Row],[AP Spend]]+tblData[[#This Row],[Cost to Serve]]</f>
        <v>178</v>
      </c>
    </row>
    <row r="765" spans="2:37" x14ac:dyDescent="0.25">
      <c r="B765" s="71" t="s">
        <v>50</v>
      </c>
      <c r="C765" s="71">
        <v>2026</v>
      </c>
      <c r="D765" s="71">
        <v>8</v>
      </c>
      <c r="E765" s="71" t="s">
        <v>45</v>
      </c>
      <c r="F765" s="71" t="s">
        <v>43</v>
      </c>
      <c r="G765" s="72">
        <v>24.1</v>
      </c>
      <c r="H765" s="73">
        <v>434</v>
      </c>
      <c r="I765" s="73">
        <v>-95</v>
      </c>
      <c r="J765" s="73">
        <v>-4</v>
      </c>
      <c r="K765" s="73">
        <v>-119</v>
      </c>
      <c r="L765" s="73">
        <v>-30</v>
      </c>
      <c r="M765" s="73">
        <v>-16</v>
      </c>
      <c r="N765" s="73">
        <v>-39</v>
      </c>
      <c r="O765" s="73">
        <v>-21</v>
      </c>
      <c r="P765" s="73">
        <v>-15</v>
      </c>
      <c r="Q765" s="73">
        <v>-9</v>
      </c>
      <c r="R765" s="73">
        <v>0</v>
      </c>
      <c r="S765" s="73">
        <v>0</v>
      </c>
      <c r="T765" s="73">
        <v>0</v>
      </c>
      <c r="U765" s="73">
        <v>0</v>
      </c>
      <c r="V765" s="73">
        <v>0</v>
      </c>
      <c r="W765" s="73">
        <v>0</v>
      </c>
      <c r="X765" s="73">
        <v>0</v>
      </c>
      <c r="Y765" s="73">
        <v>0</v>
      </c>
      <c r="Z765" s="73">
        <v>491</v>
      </c>
      <c r="AA765" s="73">
        <v>646</v>
      </c>
      <c r="AB765" s="73">
        <v>0</v>
      </c>
      <c r="AC765" s="73">
        <v>0</v>
      </c>
      <c r="AD765" s="73">
        <v>0</v>
      </c>
      <c r="AE765" s="73">
        <v>0</v>
      </c>
      <c r="AF765" s="74">
        <f>tblData[[#This Row],[Gross Sales]]+tblData[[#This Row],[Trade Discounts]]+tblData[[#This Row],[Returns]]</f>
        <v>335</v>
      </c>
      <c r="AG765" s="74">
        <f>tblData[[#This Row],[Material Cost]]+tblData[[#This Row],[Conversion Cost]]+tblData[[#This Row],[Inbound Freight]]</f>
        <v>-165</v>
      </c>
      <c r="AH765" s="74">
        <f>tblData[[#This Row],[Net Revenue]]+tblData[[#This Row],[COGS]]</f>
        <v>170</v>
      </c>
      <c r="AI765" s="74">
        <f>tblData[[#This Row],[Advertising]]+tblData[[#This Row],[Promotions]]</f>
        <v>-60</v>
      </c>
      <c r="AJ765" s="74">
        <f>tblData[[#This Row],[Outbound Logistics]]+tblData[[#This Row],[Direct Selling]]</f>
        <v>-24</v>
      </c>
      <c r="AK765" s="74">
        <f>tblData[[#This Row],[Gross Profit]]+tblData[[#This Row],[AP Spend]]+tblData[[#This Row],[Cost to Serve]]</f>
        <v>86</v>
      </c>
    </row>
    <row r="766" spans="2:37" x14ac:dyDescent="0.25">
      <c r="B766" s="71" t="s">
        <v>50</v>
      </c>
      <c r="C766" s="71">
        <v>2026</v>
      </c>
      <c r="D766" s="71">
        <v>8</v>
      </c>
      <c r="E766" s="71" t="s">
        <v>46</v>
      </c>
      <c r="F766" s="71" t="s">
        <v>38</v>
      </c>
      <c r="G766" s="72">
        <v>165.3</v>
      </c>
      <c r="H766" s="73">
        <v>2314</v>
      </c>
      <c r="I766" s="73">
        <v>-255</v>
      </c>
      <c r="J766" s="73">
        <v>-93</v>
      </c>
      <c r="K766" s="73">
        <v>-500</v>
      </c>
      <c r="L766" s="73">
        <v>-125</v>
      </c>
      <c r="M766" s="73">
        <v>-69</v>
      </c>
      <c r="N766" s="73">
        <v>-135</v>
      </c>
      <c r="O766" s="73">
        <v>-73</v>
      </c>
      <c r="P766" s="73">
        <v>-174</v>
      </c>
      <c r="Q766" s="73">
        <v>-46</v>
      </c>
      <c r="R766" s="73">
        <v>0</v>
      </c>
      <c r="S766" s="73">
        <v>0</v>
      </c>
      <c r="T766" s="73">
        <v>0</v>
      </c>
      <c r="U766" s="73">
        <v>0</v>
      </c>
      <c r="V766" s="73">
        <v>0</v>
      </c>
      <c r="W766" s="73">
        <v>0</v>
      </c>
      <c r="X766" s="73">
        <v>0</v>
      </c>
      <c r="Y766" s="73">
        <v>0</v>
      </c>
      <c r="Z766" s="73">
        <v>1605</v>
      </c>
      <c r="AA766" s="73">
        <v>2152</v>
      </c>
      <c r="AB766" s="73">
        <v>0</v>
      </c>
      <c r="AC766" s="73">
        <v>0</v>
      </c>
      <c r="AD766" s="73">
        <v>0</v>
      </c>
      <c r="AE766" s="73">
        <v>0</v>
      </c>
      <c r="AF766" s="74">
        <f>tblData[[#This Row],[Gross Sales]]+tblData[[#This Row],[Trade Discounts]]+tblData[[#This Row],[Returns]]</f>
        <v>1966</v>
      </c>
      <c r="AG766" s="74">
        <f>tblData[[#This Row],[Material Cost]]+tblData[[#This Row],[Conversion Cost]]+tblData[[#This Row],[Inbound Freight]]</f>
        <v>-694</v>
      </c>
      <c r="AH766" s="74">
        <f>tblData[[#This Row],[Net Revenue]]+tblData[[#This Row],[COGS]]</f>
        <v>1272</v>
      </c>
      <c r="AI766" s="74">
        <f>tblData[[#This Row],[Advertising]]+tblData[[#This Row],[Promotions]]</f>
        <v>-208</v>
      </c>
      <c r="AJ766" s="74">
        <f>tblData[[#This Row],[Outbound Logistics]]+tblData[[#This Row],[Direct Selling]]</f>
        <v>-220</v>
      </c>
      <c r="AK766" s="74">
        <f>tblData[[#This Row],[Gross Profit]]+tblData[[#This Row],[AP Spend]]+tblData[[#This Row],[Cost to Serve]]</f>
        <v>844</v>
      </c>
    </row>
    <row r="767" spans="2:37" x14ac:dyDescent="0.25">
      <c r="B767" s="71" t="s">
        <v>50</v>
      </c>
      <c r="C767" s="71">
        <v>2026</v>
      </c>
      <c r="D767" s="71">
        <v>8</v>
      </c>
      <c r="E767" s="71" t="s">
        <v>46</v>
      </c>
      <c r="F767" s="71" t="s">
        <v>39</v>
      </c>
      <c r="G767" s="72">
        <v>220.4</v>
      </c>
      <c r="H767" s="73">
        <v>1984</v>
      </c>
      <c r="I767" s="73">
        <v>-218</v>
      </c>
      <c r="J767" s="73">
        <v>-79</v>
      </c>
      <c r="K767" s="73">
        <v>-514</v>
      </c>
      <c r="L767" s="73">
        <v>-129</v>
      </c>
      <c r="M767" s="73">
        <v>-71</v>
      </c>
      <c r="N767" s="73">
        <v>-77</v>
      </c>
      <c r="O767" s="73">
        <v>-42</v>
      </c>
      <c r="P767" s="73">
        <v>-149</v>
      </c>
      <c r="Q767" s="73">
        <v>-40</v>
      </c>
      <c r="R767" s="73">
        <v>0</v>
      </c>
      <c r="S767" s="73">
        <v>0</v>
      </c>
      <c r="T767" s="73">
        <v>0</v>
      </c>
      <c r="U767" s="73">
        <v>0</v>
      </c>
      <c r="V767" s="73">
        <v>0</v>
      </c>
      <c r="W767" s="73">
        <v>0</v>
      </c>
      <c r="X767" s="73">
        <v>0</v>
      </c>
      <c r="Y767" s="73">
        <v>0</v>
      </c>
      <c r="Z767" s="73">
        <v>1375</v>
      </c>
      <c r="AA767" s="73">
        <v>1864</v>
      </c>
      <c r="AB767" s="73">
        <v>0</v>
      </c>
      <c r="AC767" s="73">
        <v>0</v>
      </c>
      <c r="AD767" s="73">
        <v>0</v>
      </c>
      <c r="AE767" s="73">
        <v>0</v>
      </c>
      <c r="AF767" s="74">
        <f>tblData[[#This Row],[Gross Sales]]+tblData[[#This Row],[Trade Discounts]]+tblData[[#This Row],[Returns]]</f>
        <v>1687</v>
      </c>
      <c r="AG767" s="74">
        <f>tblData[[#This Row],[Material Cost]]+tblData[[#This Row],[Conversion Cost]]+tblData[[#This Row],[Inbound Freight]]</f>
        <v>-714</v>
      </c>
      <c r="AH767" s="74">
        <f>tblData[[#This Row],[Net Revenue]]+tblData[[#This Row],[COGS]]</f>
        <v>973</v>
      </c>
      <c r="AI767" s="74">
        <f>tblData[[#This Row],[Advertising]]+tblData[[#This Row],[Promotions]]</f>
        <v>-119</v>
      </c>
      <c r="AJ767" s="74">
        <f>tblData[[#This Row],[Outbound Logistics]]+tblData[[#This Row],[Direct Selling]]</f>
        <v>-189</v>
      </c>
      <c r="AK767" s="74">
        <f>tblData[[#This Row],[Gross Profit]]+tblData[[#This Row],[AP Spend]]+tblData[[#This Row],[Cost to Serve]]</f>
        <v>665</v>
      </c>
    </row>
    <row r="768" spans="2:37" x14ac:dyDescent="0.25">
      <c r="B768" s="71" t="s">
        <v>50</v>
      </c>
      <c r="C768" s="71">
        <v>2026</v>
      </c>
      <c r="D768" s="71">
        <v>8</v>
      </c>
      <c r="E768" s="71" t="s">
        <v>46</v>
      </c>
      <c r="F768" s="71" t="s">
        <v>40</v>
      </c>
      <c r="G768" s="72">
        <v>212.5</v>
      </c>
      <c r="H768" s="73">
        <v>1488</v>
      </c>
      <c r="I768" s="73">
        <v>-164</v>
      </c>
      <c r="J768" s="73">
        <v>-60</v>
      </c>
      <c r="K768" s="73">
        <v>-428</v>
      </c>
      <c r="L768" s="73">
        <v>-107</v>
      </c>
      <c r="M768" s="73">
        <v>-60</v>
      </c>
      <c r="N768" s="73">
        <v>-39</v>
      </c>
      <c r="O768" s="73">
        <v>-21</v>
      </c>
      <c r="P768" s="73">
        <v>-112</v>
      </c>
      <c r="Q768" s="73">
        <v>-30</v>
      </c>
      <c r="R768" s="73">
        <v>0</v>
      </c>
      <c r="S768" s="73">
        <v>0</v>
      </c>
      <c r="T768" s="73">
        <v>0</v>
      </c>
      <c r="U768" s="73">
        <v>0</v>
      </c>
      <c r="V768" s="73">
        <v>0</v>
      </c>
      <c r="W768" s="73">
        <v>0</v>
      </c>
      <c r="X768" s="73">
        <v>0</v>
      </c>
      <c r="Y768" s="73">
        <v>0</v>
      </c>
      <c r="Z768" s="73">
        <v>1032</v>
      </c>
      <c r="AA768" s="73">
        <v>1456</v>
      </c>
      <c r="AB768" s="73">
        <v>0</v>
      </c>
      <c r="AC768" s="73">
        <v>0</v>
      </c>
      <c r="AD768" s="73">
        <v>0</v>
      </c>
      <c r="AE768" s="73">
        <v>0</v>
      </c>
      <c r="AF768" s="74">
        <f>tblData[[#This Row],[Gross Sales]]+tblData[[#This Row],[Trade Discounts]]+tblData[[#This Row],[Returns]]</f>
        <v>1264</v>
      </c>
      <c r="AG768" s="74">
        <f>tblData[[#This Row],[Material Cost]]+tblData[[#This Row],[Conversion Cost]]+tblData[[#This Row],[Inbound Freight]]</f>
        <v>-595</v>
      </c>
      <c r="AH768" s="74">
        <f>tblData[[#This Row],[Net Revenue]]+tblData[[#This Row],[COGS]]</f>
        <v>669</v>
      </c>
      <c r="AI768" s="74">
        <f>tblData[[#This Row],[Advertising]]+tblData[[#This Row],[Promotions]]</f>
        <v>-60</v>
      </c>
      <c r="AJ768" s="74">
        <f>tblData[[#This Row],[Outbound Logistics]]+tblData[[#This Row],[Direct Selling]]</f>
        <v>-142</v>
      </c>
      <c r="AK768" s="74">
        <f>tblData[[#This Row],[Gross Profit]]+tblData[[#This Row],[AP Spend]]+tblData[[#This Row],[Cost to Serve]]</f>
        <v>467</v>
      </c>
    </row>
    <row r="769" spans="2:37" x14ac:dyDescent="0.25">
      <c r="B769" s="71" t="s">
        <v>50</v>
      </c>
      <c r="C769" s="71">
        <v>2026</v>
      </c>
      <c r="D769" s="71">
        <v>8</v>
      </c>
      <c r="E769" s="71" t="s">
        <v>46</v>
      </c>
      <c r="F769" s="71" t="s">
        <v>41</v>
      </c>
      <c r="G769" s="72">
        <v>105.2</v>
      </c>
      <c r="H769" s="73">
        <v>1157</v>
      </c>
      <c r="I769" s="73">
        <v>-127</v>
      </c>
      <c r="J769" s="73">
        <v>-46</v>
      </c>
      <c r="K769" s="73">
        <v>-275</v>
      </c>
      <c r="L769" s="73">
        <v>-69</v>
      </c>
      <c r="M769" s="73">
        <v>-38</v>
      </c>
      <c r="N769" s="73">
        <v>-83</v>
      </c>
      <c r="O769" s="73">
        <v>-45</v>
      </c>
      <c r="P769" s="73">
        <v>-87</v>
      </c>
      <c r="Q769" s="73">
        <v>-23</v>
      </c>
      <c r="R769" s="73">
        <v>0</v>
      </c>
      <c r="S769" s="73">
        <v>0</v>
      </c>
      <c r="T769" s="73">
        <v>0</v>
      </c>
      <c r="U769" s="73">
        <v>0</v>
      </c>
      <c r="V769" s="73">
        <v>0</v>
      </c>
      <c r="W769" s="73">
        <v>0</v>
      </c>
      <c r="X769" s="73">
        <v>0</v>
      </c>
      <c r="Y769" s="73">
        <v>0</v>
      </c>
      <c r="Z769" s="73">
        <v>802</v>
      </c>
      <c r="AA769" s="73">
        <v>1121</v>
      </c>
      <c r="AB769" s="73">
        <v>0</v>
      </c>
      <c r="AC769" s="73">
        <v>0</v>
      </c>
      <c r="AD769" s="73">
        <v>0</v>
      </c>
      <c r="AE769" s="73">
        <v>0</v>
      </c>
      <c r="AF769" s="74">
        <f>tblData[[#This Row],[Gross Sales]]+tblData[[#This Row],[Trade Discounts]]+tblData[[#This Row],[Returns]]</f>
        <v>984</v>
      </c>
      <c r="AG769" s="74">
        <f>tblData[[#This Row],[Material Cost]]+tblData[[#This Row],[Conversion Cost]]+tblData[[#This Row],[Inbound Freight]]</f>
        <v>-382</v>
      </c>
      <c r="AH769" s="74">
        <f>tblData[[#This Row],[Net Revenue]]+tblData[[#This Row],[COGS]]</f>
        <v>602</v>
      </c>
      <c r="AI769" s="74">
        <f>tblData[[#This Row],[Advertising]]+tblData[[#This Row],[Promotions]]</f>
        <v>-128</v>
      </c>
      <c r="AJ769" s="74">
        <f>tblData[[#This Row],[Outbound Logistics]]+tblData[[#This Row],[Direct Selling]]</f>
        <v>-110</v>
      </c>
      <c r="AK769" s="74">
        <f>tblData[[#This Row],[Gross Profit]]+tblData[[#This Row],[AP Spend]]+tblData[[#This Row],[Cost to Serve]]</f>
        <v>364</v>
      </c>
    </row>
    <row r="770" spans="2:37" x14ac:dyDescent="0.25">
      <c r="B770" s="71" t="s">
        <v>50</v>
      </c>
      <c r="C770" s="71">
        <v>2026</v>
      </c>
      <c r="D770" s="71">
        <v>8</v>
      </c>
      <c r="E770" s="71" t="s">
        <v>46</v>
      </c>
      <c r="F770" s="71" t="s">
        <v>42</v>
      </c>
      <c r="G770" s="72">
        <v>137.80000000000001</v>
      </c>
      <c r="H770" s="73">
        <v>827</v>
      </c>
      <c r="I770" s="73">
        <v>-91</v>
      </c>
      <c r="J770" s="73">
        <v>-33</v>
      </c>
      <c r="K770" s="73">
        <v>-262</v>
      </c>
      <c r="L770" s="73">
        <v>-65</v>
      </c>
      <c r="M770" s="73">
        <v>-36</v>
      </c>
      <c r="N770" s="73">
        <v>-16</v>
      </c>
      <c r="O770" s="73">
        <v>-9</v>
      </c>
      <c r="P770" s="73">
        <v>-62</v>
      </c>
      <c r="Q770" s="73">
        <v>-17</v>
      </c>
      <c r="R770" s="73">
        <v>0</v>
      </c>
      <c r="S770" s="73">
        <v>0</v>
      </c>
      <c r="T770" s="73">
        <v>0</v>
      </c>
      <c r="U770" s="73">
        <v>0</v>
      </c>
      <c r="V770" s="73">
        <v>0</v>
      </c>
      <c r="W770" s="73">
        <v>0</v>
      </c>
      <c r="X770" s="73">
        <v>0</v>
      </c>
      <c r="Y770" s="73">
        <v>0</v>
      </c>
      <c r="Z770" s="73">
        <v>573</v>
      </c>
      <c r="AA770" s="73">
        <v>1305</v>
      </c>
      <c r="AB770" s="73">
        <v>0</v>
      </c>
      <c r="AC770" s="73">
        <v>0</v>
      </c>
      <c r="AD770" s="73">
        <v>0</v>
      </c>
      <c r="AE770" s="73">
        <v>0</v>
      </c>
      <c r="AF770" s="74">
        <f>tblData[[#This Row],[Gross Sales]]+tblData[[#This Row],[Trade Discounts]]+tblData[[#This Row],[Returns]]</f>
        <v>703</v>
      </c>
      <c r="AG770" s="74">
        <f>tblData[[#This Row],[Material Cost]]+tblData[[#This Row],[Conversion Cost]]+tblData[[#This Row],[Inbound Freight]]</f>
        <v>-363</v>
      </c>
      <c r="AH770" s="74">
        <f>tblData[[#This Row],[Net Revenue]]+tblData[[#This Row],[COGS]]</f>
        <v>340</v>
      </c>
      <c r="AI770" s="74">
        <f>tblData[[#This Row],[Advertising]]+tblData[[#This Row],[Promotions]]</f>
        <v>-25</v>
      </c>
      <c r="AJ770" s="74">
        <f>tblData[[#This Row],[Outbound Logistics]]+tblData[[#This Row],[Direct Selling]]</f>
        <v>-79</v>
      </c>
      <c r="AK770" s="74">
        <f>tblData[[#This Row],[Gross Profit]]+tblData[[#This Row],[AP Spend]]+tblData[[#This Row],[Cost to Serve]]</f>
        <v>236</v>
      </c>
    </row>
    <row r="771" spans="2:37" x14ac:dyDescent="0.25">
      <c r="B771" s="71" t="s">
        <v>50</v>
      </c>
      <c r="C771" s="71">
        <v>2026</v>
      </c>
      <c r="D771" s="71">
        <v>8</v>
      </c>
      <c r="E771" s="71" t="s">
        <v>46</v>
      </c>
      <c r="F771" s="71" t="s">
        <v>43</v>
      </c>
      <c r="G771" s="72">
        <v>27.6</v>
      </c>
      <c r="H771" s="73">
        <v>496</v>
      </c>
      <c r="I771" s="73">
        <v>-55</v>
      </c>
      <c r="J771" s="73">
        <v>-20</v>
      </c>
      <c r="K771" s="73">
        <v>-136</v>
      </c>
      <c r="L771" s="73">
        <v>-34</v>
      </c>
      <c r="M771" s="73">
        <v>-19</v>
      </c>
      <c r="N771" s="73">
        <v>-45</v>
      </c>
      <c r="O771" s="73">
        <v>-24</v>
      </c>
      <c r="P771" s="73">
        <v>-37</v>
      </c>
      <c r="Q771" s="73">
        <v>-10</v>
      </c>
      <c r="R771" s="73">
        <v>0</v>
      </c>
      <c r="S771" s="73">
        <v>0</v>
      </c>
      <c r="T771" s="73">
        <v>0</v>
      </c>
      <c r="U771" s="73">
        <v>0</v>
      </c>
      <c r="V771" s="73">
        <v>0</v>
      </c>
      <c r="W771" s="73">
        <v>0</v>
      </c>
      <c r="X771" s="73">
        <v>0</v>
      </c>
      <c r="Y771" s="73">
        <v>0</v>
      </c>
      <c r="Z771" s="73">
        <v>344</v>
      </c>
      <c r="AA771" s="73">
        <v>738</v>
      </c>
      <c r="AB771" s="73">
        <v>0</v>
      </c>
      <c r="AC771" s="73">
        <v>0</v>
      </c>
      <c r="AD771" s="73">
        <v>0</v>
      </c>
      <c r="AE771" s="73">
        <v>0</v>
      </c>
      <c r="AF771" s="74">
        <f>tblData[[#This Row],[Gross Sales]]+tblData[[#This Row],[Trade Discounts]]+tblData[[#This Row],[Returns]]</f>
        <v>421</v>
      </c>
      <c r="AG771" s="74">
        <f>tblData[[#This Row],[Material Cost]]+tblData[[#This Row],[Conversion Cost]]+tblData[[#This Row],[Inbound Freight]]</f>
        <v>-189</v>
      </c>
      <c r="AH771" s="74">
        <f>tblData[[#This Row],[Net Revenue]]+tblData[[#This Row],[COGS]]</f>
        <v>232</v>
      </c>
      <c r="AI771" s="74">
        <f>tblData[[#This Row],[Advertising]]+tblData[[#This Row],[Promotions]]</f>
        <v>-69</v>
      </c>
      <c r="AJ771" s="74">
        <f>tblData[[#This Row],[Outbound Logistics]]+tblData[[#This Row],[Direct Selling]]</f>
        <v>-47</v>
      </c>
      <c r="AK771" s="74">
        <f>tblData[[#This Row],[Gross Profit]]+tblData[[#This Row],[AP Spend]]+tblData[[#This Row],[Cost to Serve]]</f>
        <v>116</v>
      </c>
    </row>
    <row r="772" spans="2:37" x14ac:dyDescent="0.25">
      <c r="B772" s="71" t="s">
        <v>50</v>
      </c>
      <c r="C772" s="71">
        <v>2026</v>
      </c>
      <c r="D772" s="71">
        <v>8</v>
      </c>
      <c r="E772" s="71" t="s">
        <v>47</v>
      </c>
      <c r="F772" s="71" t="s">
        <v>38</v>
      </c>
      <c r="G772" s="72">
        <v>62</v>
      </c>
      <c r="H772" s="73">
        <v>868</v>
      </c>
      <c r="I772" s="73">
        <v>-26</v>
      </c>
      <c r="J772" s="73">
        <v>-43</v>
      </c>
      <c r="K772" s="73">
        <v>-187</v>
      </c>
      <c r="L772" s="73">
        <v>-47</v>
      </c>
      <c r="M772" s="73">
        <v>-26</v>
      </c>
      <c r="N772" s="73">
        <v>-51</v>
      </c>
      <c r="O772" s="73">
        <v>-27</v>
      </c>
      <c r="P772" s="73">
        <v>-104</v>
      </c>
      <c r="Q772" s="73">
        <v>-35</v>
      </c>
      <c r="R772" s="73">
        <v>0</v>
      </c>
      <c r="S772" s="73">
        <v>0</v>
      </c>
      <c r="T772" s="73">
        <v>0</v>
      </c>
      <c r="U772" s="73">
        <v>0</v>
      </c>
      <c r="V772" s="73">
        <v>0</v>
      </c>
      <c r="W772" s="73">
        <v>0</v>
      </c>
      <c r="X772" s="73">
        <v>0</v>
      </c>
      <c r="Y772" s="73">
        <v>0</v>
      </c>
      <c r="Z772" s="73">
        <v>78</v>
      </c>
      <c r="AA772" s="73">
        <v>807</v>
      </c>
      <c r="AB772" s="73">
        <v>0</v>
      </c>
      <c r="AC772" s="73">
        <v>0</v>
      </c>
      <c r="AD772" s="73">
        <v>0</v>
      </c>
      <c r="AE772" s="73">
        <v>0</v>
      </c>
      <c r="AF772" s="74">
        <f>tblData[[#This Row],[Gross Sales]]+tblData[[#This Row],[Trade Discounts]]+tblData[[#This Row],[Returns]]</f>
        <v>799</v>
      </c>
      <c r="AG772" s="74">
        <f>tblData[[#This Row],[Material Cost]]+tblData[[#This Row],[Conversion Cost]]+tblData[[#This Row],[Inbound Freight]]</f>
        <v>-260</v>
      </c>
      <c r="AH772" s="74">
        <f>tblData[[#This Row],[Net Revenue]]+tblData[[#This Row],[COGS]]</f>
        <v>539</v>
      </c>
      <c r="AI772" s="74">
        <f>tblData[[#This Row],[Advertising]]+tblData[[#This Row],[Promotions]]</f>
        <v>-78</v>
      </c>
      <c r="AJ772" s="74">
        <f>tblData[[#This Row],[Outbound Logistics]]+tblData[[#This Row],[Direct Selling]]</f>
        <v>-139</v>
      </c>
      <c r="AK772" s="74">
        <f>tblData[[#This Row],[Gross Profit]]+tblData[[#This Row],[AP Spend]]+tblData[[#This Row],[Cost to Serve]]</f>
        <v>322</v>
      </c>
    </row>
    <row r="773" spans="2:37" x14ac:dyDescent="0.25">
      <c r="B773" s="71" t="s">
        <v>50</v>
      </c>
      <c r="C773" s="71">
        <v>2026</v>
      </c>
      <c r="D773" s="71">
        <v>8</v>
      </c>
      <c r="E773" s="71" t="s">
        <v>47</v>
      </c>
      <c r="F773" s="71" t="s">
        <v>39</v>
      </c>
      <c r="G773" s="72">
        <v>82.7</v>
      </c>
      <c r="H773" s="73">
        <v>744</v>
      </c>
      <c r="I773" s="73">
        <v>-22</v>
      </c>
      <c r="J773" s="73">
        <v>-37</v>
      </c>
      <c r="K773" s="73">
        <v>-193</v>
      </c>
      <c r="L773" s="73">
        <v>-48</v>
      </c>
      <c r="M773" s="73">
        <v>-27</v>
      </c>
      <c r="N773" s="73">
        <v>-29</v>
      </c>
      <c r="O773" s="73">
        <v>-16</v>
      </c>
      <c r="P773" s="73">
        <v>-89</v>
      </c>
      <c r="Q773" s="73">
        <v>-30</v>
      </c>
      <c r="R773" s="73">
        <v>0</v>
      </c>
      <c r="S773" s="73">
        <v>0</v>
      </c>
      <c r="T773" s="73">
        <v>0</v>
      </c>
      <c r="U773" s="73">
        <v>0</v>
      </c>
      <c r="V773" s="73">
        <v>0</v>
      </c>
      <c r="W773" s="73">
        <v>0</v>
      </c>
      <c r="X773" s="73">
        <v>0</v>
      </c>
      <c r="Y773" s="73">
        <v>0</v>
      </c>
      <c r="Z773" s="73">
        <v>67</v>
      </c>
      <c r="AA773" s="73">
        <v>699</v>
      </c>
      <c r="AB773" s="73">
        <v>0</v>
      </c>
      <c r="AC773" s="73">
        <v>0</v>
      </c>
      <c r="AD773" s="73">
        <v>0</v>
      </c>
      <c r="AE773" s="73">
        <v>0</v>
      </c>
      <c r="AF773" s="74">
        <f>tblData[[#This Row],[Gross Sales]]+tblData[[#This Row],[Trade Discounts]]+tblData[[#This Row],[Returns]]</f>
        <v>685</v>
      </c>
      <c r="AG773" s="74">
        <f>tblData[[#This Row],[Material Cost]]+tblData[[#This Row],[Conversion Cost]]+tblData[[#This Row],[Inbound Freight]]</f>
        <v>-268</v>
      </c>
      <c r="AH773" s="74">
        <f>tblData[[#This Row],[Net Revenue]]+tblData[[#This Row],[COGS]]</f>
        <v>417</v>
      </c>
      <c r="AI773" s="74">
        <f>tblData[[#This Row],[Advertising]]+tblData[[#This Row],[Promotions]]</f>
        <v>-45</v>
      </c>
      <c r="AJ773" s="74">
        <f>tblData[[#This Row],[Outbound Logistics]]+tblData[[#This Row],[Direct Selling]]</f>
        <v>-119</v>
      </c>
      <c r="AK773" s="74">
        <f>tblData[[#This Row],[Gross Profit]]+tblData[[#This Row],[AP Spend]]+tblData[[#This Row],[Cost to Serve]]</f>
        <v>253</v>
      </c>
    </row>
    <row r="774" spans="2:37" x14ac:dyDescent="0.25">
      <c r="B774" s="71" t="s">
        <v>50</v>
      </c>
      <c r="C774" s="71">
        <v>2026</v>
      </c>
      <c r="D774" s="71">
        <v>8</v>
      </c>
      <c r="E774" s="71" t="s">
        <v>47</v>
      </c>
      <c r="F774" s="71" t="s">
        <v>40</v>
      </c>
      <c r="G774" s="72">
        <v>79.7</v>
      </c>
      <c r="H774" s="73">
        <v>558</v>
      </c>
      <c r="I774" s="73">
        <v>-17</v>
      </c>
      <c r="J774" s="73">
        <v>-28</v>
      </c>
      <c r="K774" s="73">
        <v>-161</v>
      </c>
      <c r="L774" s="73">
        <v>-40</v>
      </c>
      <c r="M774" s="73">
        <v>-22</v>
      </c>
      <c r="N774" s="73">
        <v>-15</v>
      </c>
      <c r="O774" s="73">
        <v>-8</v>
      </c>
      <c r="P774" s="73">
        <v>-67</v>
      </c>
      <c r="Q774" s="73">
        <v>-22</v>
      </c>
      <c r="R774" s="73">
        <v>0</v>
      </c>
      <c r="S774" s="73">
        <v>0</v>
      </c>
      <c r="T774" s="73">
        <v>0</v>
      </c>
      <c r="U774" s="73">
        <v>0</v>
      </c>
      <c r="V774" s="73">
        <v>0</v>
      </c>
      <c r="W774" s="73">
        <v>0</v>
      </c>
      <c r="X774" s="73">
        <v>0</v>
      </c>
      <c r="Y774" s="73">
        <v>0</v>
      </c>
      <c r="Z774" s="73">
        <v>50</v>
      </c>
      <c r="AA774" s="73">
        <v>546</v>
      </c>
      <c r="AB774" s="73">
        <v>0</v>
      </c>
      <c r="AC774" s="73">
        <v>0</v>
      </c>
      <c r="AD774" s="73">
        <v>0</v>
      </c>
      <c r="AE774" s="73">
        <v>0</v>
      </c>
      <c r="AF774" s="74">
        <f>tblData[[#This Row],[Gross Sales]]+tblData[[#This Row],[Trade Discounts]]+tblData[[#This Row],[Returns]]</f>
        <v>513</v>
      </c>
      <c r="AG774" s="74">
        <f>tblData[[#This Row],[Material Cost]]+tblData[[#This Row],[Conversion Cost]]+tblData[[#This Row],[Inbound Freight]]</f>
        <v>-223</v>
      </c>
      <c r="AH774" s="74">
        <f>tblData[[#This Row],[Net Revenue]]+tblData[[#This Row],[COGS]]</f>
        <v>290</v>
      </c>
      <c r="AI774" s="74">
        <f>tblData[[#This Row],[Advertising]]+tblData[[#This Row],[Promotions]]</f>
        <v>-23</v>
      </c>
      <c r="AJ774" s="74">
        <f>tblData[[#This Row],[Outbound Logistics]]+tblData[[#This Row],[Direct Selling]]</f>
        <v>-89</v>
      </c>
      <c r="AK774" s="74">
        <f>tblData[[#This Row],[Gross Profit]]+tblData[[#This Row],[AP Spend]]+tblData[[#This Row],[Cost to Serve]]</f>
        <v>178</v>
      </c>
    </row>
    <row r="775" spans="2:37" x14ac:dyDescent="0.25">
      <c r="B775" s="71" t="s">
        <v>50</v>
      </c>
      <c r="C775" s="71">
        <v>2026</v>
      </c>
      <c r="D775" s="71">
        <v>8</v>
      </c>
      <c r="E775" s="71" t="s">
        <v>47</v>
      </c>
      <c r="F775" s="71" t="s">
        <v>41</v>
      </c>
      <c r="G775" s="72">
        <v>39.4</v>
      </c>
      <c r="H775" s="73">
        <v>434</v>
      </c>
      <c r="I775" s="73">
        <v>-13</v>
      </c>
      <c r="J775" s="73">
        <v>-22</v>
      </c>
      <c r="K775" s="73">
        <v>-103</v>
      </c>
      <c r="L775" s="73">
        <v>-26</v>
      </c>
      <c r="M775" s="73">
        <v>-14</v>
      </c>
      <c r="N775" s="73">
        <v>-31</v>
      </c>
      <c r="O775" s="73">
        <v>-17</v>
      </c>
      <c r="P775" s="73">
        <v>-52</v>
      </c>
      <c r="Q775" s="73">
        <v>-17</v>
      </c>
      <c r="R775" s="73">
        <v>0</v>
      </c>
      <c r="S775" s="73">
        <v>0</v>
      </c>
      <c r="T775" s="73">
        <v>0</v>
      </c>
      <c r="U775" s="73">
        <v>0</v>
      </c>
      <c r="V775" s="73">
        <v>0</v>
      </c>
      <c r="W775" s="73">
        <v>0</v>
      </c>
      <c r="X775" s="73">
        <v>0</v>
      </c>
      <c r="Y775" s="73">
        <v>0</v>
      </c>
      <c r="Z775" s="73">
        <v>39</v>
      </c>
      <c r="AA775" s="73">
        <v>421</v>
      </c>
      <c r="AB775" s="73">
        <v>0</v>
      </c>
      <c r="AC775" s="73">
        <v>0</v>
      </c>
      <c r="AD775" s="73">
        <v>0</v>
      </c>
      <c r="AE775" s="73">
        <v>0</v>
      </c>
      <c r="AF775" s="74">
        <f>tblData[[#This Row],[Gross Sales]]+tblData[[#This Row],[Trade Discounts]]+tblData[[#This Row],[Returns]]</f>
        <v>399</v>
      </c>
      <c r="AG775" s="74">
        <f>tblData[[#This Row],[Material Cost]]+tblData[[#This Row],[Conversion Cost]]+tblData[[#This Row],[Inbound Freight]]</f>
        <v>-143</v>
      </c>
      <c r="AH775" s="74">
        <f>tblData[[#This Row],[Net Revenue]]+tblData[[#This Row],[COGS]]</f>
        <v>256</v>
      </c>
      <c r="AI775" s="74">
        <f>tblData[[#This Row],[Advertising]]+tblData[[#This Row],[Promotions]]</f>
        <v>-48</v>
      </c>
      <c r="AJ775" s="74">
        <f>tblData[[#This Row],[Outbound Logistics]]+tblData[[#This Row],[Direct Selling]]</f>
        <v>-69</v>
      </c>
      <c r="AK775" s="74">
        <f>tblData[[#This Row],[Gross Profit]]+tblData[[#This Row],[AP Spend]]+tblData[[#This Row],[Cost to Serve]]</f>
        <v>139</v>
      </c>
    </row>
    <row r="776" spans="2:37" x14ac:dyDescent="0.25">
      <c r="B776" s="71" t="s">
        <v>50</v>
      </c>
      <c r="C776" s="71">
        <v>2026</v>
      </c>
      <c r="D776" s="71">
        <v>8</v>
      </c>
      <c r="E776" s="71" t="s">
        <v>47</v>
      </c>
      <c r="F776" s="71" t="s">
        <v>42</v>
      </c>
      <c r="G776" s="72">
        <v>51.7</v>
      </c>
      <c r="H776" s="73">
        <v>310</v>
      </c>
      <c r="I776" s="73">
        <v>-9</v>
      </c>
      <c r="J776" s="73">
        <v>-15</v>
      </c>
      <c r="K776" s="73">
        <v>-98</v>
      </c>
      <c r="L776" s="73">
        <v>-25</v>
      </c>
      <c r="M776" s="73">
        <v>-14</v>
      </c>
      <c r="N776" s="73">
        <v>-6</v>
      </c>
      <c r="O776" s="73">
        <v>-3</v>
      </c>
      <c r="P776" s="73">
        <v>-37</v>
      </c>
      <c r="Q776" s="73">
        <v>-12</v>
      </c>
      <c r="R776" s="73">
        <v>0</v>
      </c>
      <c r="S776" s="73">
        <v>0</v>
      </c>
      <c r="T776" s="73">
        <v>0</v>
      </c>
      <c r="U776" s="73">
        <v>0</v>
      </c>
      <c r="V776" s="73">
        <v>0</v>
      </c>
      <c r="W776" s="73">
        <v>0</v>
      </c>
      <c r="X776" s="73">
        <v>0</v>
      </c>
      <c r="Y776" s="73">
        <v>0</v>
      </c>
      <c r="Z776" s="73">
        <v>28</v>
      </c>
      <c r="AA776" s="73">
        <v>489</v>
      </c>
      <c r="AB776" s="73">
        <v>0</v>
      </c>
      <c r="AC776" s="73">
        <v>0</v>
      </c>
      <c r="AD776" s="73">
        <v>0</v>
      </c>
      <c r="AE776" s="73">
        <v>0</v>
      </c>
      <c r="AF776" s="74">
        <f>tblData[[#This Row],[Gross Sales]]+tblData[[#This Row],[Trade Discounts]]+tblData[[#This Row],[Returns]]</f>
        <v>286</v>
      </c>
      <c r="AG776" s="74">
        <f>tblData[[#This Row],[Material Cost]]+tblData[[#This Row],[Conversion Cost]]+tblData[[#This Row],[Inbound Freight]]</f>
        <v>-137</v>
      </c>
      <c r="AH776" s="74">
        <f>tblData[[#This Row],[Net Revenue]]+tblData[[#This Row],[COGS]]</f>
        <v>149</v>
      </c>
      <c r="AI776" s="74">
        <f>tblData[[#This Row],[Advertising]]+tblData[[#This Row],[Promotions]]</f>
        <v>-9</v>
      </c>
      <c r="AJ776" s="74">
        <f>tblData[[#This Row],[Outbound Logistics]]+tblData[[#This Row],[Direct Selling]]</f>
        <v>-49</v>
      </c>
      <c r="AK776" s="74">
        <f>tblData[[#This Row],[Gross Profit]]+tblData[[#This Row],[AP Spend]]+tblData[[#This Row],[Cost to Serve]]</f>
        <v>91</v>
      </c>
    </row>
    <row r="777" spans="2:37" x14ac:dyDescent="0.25">
      <c r="B777" s="71" t="s">
        <v>50</v>
      </c>
      <c r="C777" s="71">
        <v>2026</v>
      </c>
      <c r="D777" s="71">
        <v>8</v>
      </c>
      <c r="E777" s="71" t="s">
        <v>47</v>
      </c>
      <c r="F777" s="71" t="s">
        <v>43</v>
      </c>
      <c r="G777" s="72">
        <v>10.3</v>
      </c>
      <c r="H777" s="73">
        <v>186</v>
      </c>
      <c r="I777" s="73">
        <v>-6</v>
      </c>
      <c r="J777" s="73">
        <v>-9</v>
      </c>
      <c r="K777" s="73">
        <v>-51</v>
      </c>
      <c r="L777" s="73">
        <v>-13</v>
      </c>
      <c r="M777" s="73">
        <v>-7</v>
      </c>
      <c r="N777" s="73">
        <v>-17</v>
      </c>
      <c r="O777" s="73">
        <v>-9</v>
      </c>
      <c r="P777" s="73">
        <v>-22</v>
      </c>
      <c r="Q777" s="73">
        <v>-7</v>
      </c>
      <c r="R777" s="73">
        <v>0</v>
      </c>
      <c r="S777" s="73">
        <v>0</v>
      </c>
      <c r="T777" s="73">
        <v>0</v>
      </c>
      <c r="U777" s="73">
        <v>0</v>
      </c>
      <c r="V777" s="73">
        <v>0</v>
      </c>
      <c r="W777" s="73">
        <v>0</v>
      </c>
      <c r="X777" s="73">
        <v>0</v>
      </c>
      <c r="Y777" s="73">
        <v>0</v>
      </c>
      <c r="Z777" s="73">
        <v>17</v>
      </c>
      <c r="AA777" s="73">
        <v>277</v>
      </c>
      <c r="AB777" s="73">
        <v>0</v>
      </c>
      <c r="AC777" s="73">
        <v>0</v>
      </c>
      <c r="AD777" s="73">
        <v>0</v>
      </c>
      <c r="AE777" s="73">
        <v>0</v>
      </c>
      <c r="AF777" s="74">
        <f>tblData[[#This Row],[Gross Sales]]+tblData[[#This Row],[Trade Discounts]]+tblData[[#This Row],[Returns]]</f>
        <v>171</v>
      </c>
      <c r="AG777" s="74">
        <f>tblData[[#This Row],[Material Cost]]+tblData[[#This Row],[Conversion Cost]]+tblData[[#This Row],[Inbound Freight]]</f>
        <v>-71</v>
      </c>
      <c r="AH777" s="74">
        <f>tblData[[#This Row],[Net Revenue]]+tblData[[#This Row],[COGS]]</f>
        <v>100</v>
      </c>
      <c r="AI777" s="74">
        <f>tblData[[#This Row],[Advertising]]+tblData[[#This Row],[Promotions]]</f>
        <v>-26</v>
      </c>
      <c r="AJ777" s="74">
        <f>tblData[[#This Row],[Outbound Logistics]]+tblData[[#This Row],[Direct Selling]]</f>
        <v>-29</v>
      </c>
      <c r="AK777" s="74">
        <f>tblData[[#This Row],[Gross Profit]]+tblData[[#This Row],[AP Spend]]+tblData[[#This Row],[Cost to Serve]]</f>
        <v>45</v>
      </c>
    </row>
    <row r="778" spans="2:37" x14ac:dyDescent="0.25">
      <c r="B778" s="71" t="s">
        <v>50</v>
      </c>
      <c r="C778" s="71">
        <v>2026</v>
      </c>
      <c r="D778" s="71">
        <v>8</v>
      </c>
      <c r="E778" s="71" t="s">
        <v>48</v>
      </c>
      <c r="F778" s="71" t="s">
        <v>38</v>
      </c>
      <c r="G778" s="72">
        <v>103.3</v>
      </c>
      <c r="H778" s="73">
        <v>1446</v>
      </c>
      <c r="I778" s="73">
        <v>-130</v>
      </c>
      <c r="J778" s="73">
        <v>-14</v>
      </c>
      <c r="K778" s="73">
        <v>-312</v>
      </c>
      <c r="L778" s="73">
        <v>-78</v>
      </c>
      <c r="M778" s="73">
        <v>-43</v>
      </c>
      <c r="N778" s="73">
        <v>-85</v>
      </c>
      <c r="O778" s="73">
        <v>-46</v>
      </c>
      <c r="P778" s="73">
        <v>-43</v>
      </c>
      <c r="Q778" s="73">
        <v>-22</v>
      </c>
      <c r="R778" s="73">
        <v>0</v>
      </c>
      <c r="S778" s="73">
        <v>0</v>
      </c>
      <c r="T778" s="73">
        <v>0</v>
      </c>
      <c r="U778" s="73">
        <v>0</v>
      </c>
      <c r="V778" s="73">
        <v>0</v>
      </c>
      <c r="W778" s="73">
        <v>0</v>
      </c>
      <c r="X778" s="73">
        <v>0</v>
      </c>
      <c r="Y778" s="73">
        <v>0</v>
      </c>
      <c r="Z778" s="73">
        <v>2973</v>
      </c>
      <c r="AA778" s="73">
        <v>1345</v>
      </c>
      <c r="AB778" s="73">
        <v>0</v>
      </c>
      <c r="AC778" s="73">
        <v>0</v>
      </c>
      <c r="AD778" s="73">
        <v>0</v>
      </c>
      <c r="AE778" s="73">
        <v>0</v>
      </c>
      <c r="AF778" s="74">
        <f>tblData[[#This Row],[Gross Sales]]+tblData[[#This Row],[Trade Discounts]]+tblData[[#This Row],[Returns]]</f>
        <v>1302</v>
      </c>
      <c r="AG778" s="74">
        <f>tblData[[#This Row],[Material Cost]]+tblData[[#This Row],[Conversion Cost]]+tblData[[#This Row],[Inbound Freight]]</f>
        <v>-433</v>
      </c>
      <c r="AH778" s="74">
        <f>tblData[[#This Row],[Net Revenue]]+tblData[[#This Row],[COGS]]</f>
        <v>869</v>
      </c>
      <c r="AI778" s="74">
        <f>tblData[[#This Row],[Advertising]]+tblData[[#This Row],[Promotions]]</f>
        <v>-131</v>
      </c>
      <c r="AJ778" s="74">
        <f>tblData[[#This Row],[Outbound Logistics]]+tblData[[#This Row],[Direct Selling]]</f>
        <v>-65</v>
      </c>
      <c r="AK778" s="74">
        <f>tblData[[#This Row],[Gross Profit]]+tblData[[#This Row],[AP Spend]]+tblData[[#This Row],[Cost to Serve]]</f>
        <v>673</v>
      </c>
    </row>
    <row r="779" spans="2:37" x14ac:dyDescent="0.25">
      <c r="B779" s="71" t="s">
        <v>50</v>
      </c>
      <c r="C779" s="71">
        <v>2026</v>
      </c>
      <c r="D779" s="71">
        <v>8</v>
      </c>
      <c r="E779" s="71" t="s">
        <v>48</v>
      </c>
      <c r="F779" s="71" t="s">
        <v>39</v>
      </c>
      <c r="G779" s="72">
        <v>137.80000000000001</v>
      </c>
      <c r="H779" s="73">
        <v>1240</v>
      </c>
      <c r="I779" s="73">
        <v>-112</v>
      </c>
      <c r="J779" s="73">
        <v>-12</v>
      </c>
      <c r="K779" s="73">
        <v>-321</v>
      </c>
      <c r="L779" s="73">
        <v>-80</v>
      </c>
      <c r="M779" s="73">
        <v>-45</v>
      </c>
      <c r="N779" s="73">
        <v>-48</v>
      </c>
      <c r="O779" s="73">
        <v>-26</v>
      </c>
      <c r="P779" s="73">
        <v>-37</v>
      </c>
      <c r="Q779" s="73">
        <v>-19</v>
      </c>
      <c r="R779" s="73">
        <v>0</v>
      </c>
      <c r="S779" s="73">
        <v>0</v>
      </c>
      <c r="T779" s="73">
        <v>0</v>
      </c>
      <c r="U779" s="73">
        <v>0</v>
      </c>
      <c r="V779" s="73">
        <v>0</v>
      </c>
      <c r="W779" s="73">
        <v>0</v>
      </c>
      <c r="X779" s="73">
        <v>0</v>
      </c>
      <c r="Y779" s="73">
        <v>0</v>
      </c>
      <c r="Z779" s="73">
        <v>2549</v>
      </c>
      <c r="AA779" s="73">
        <v>1165</v>
      </c>
      <c r="AB779" s="73">
        <v>0</v>
      </c>
      <c r="AC779" s="73">
        <v>0</v>
      </c>
      <c r="AD779" s="73">
        <v>0</v>
      </c>
      <c r="AE779" s="73">
        <v>0</v>
      </c>
      <c r="AF779" s="74">
        <f>tblData[[#This Row],[Gross Sales]]+tblData[[#This Row],[Trade Discounts]]+tblData[[#This Row],[Returns]]</f>
        <v>1116</v>
      </c>
      <c r="AG779" s="74">
        <f>tblData[[#This Row],[Material Cost]]+tblData[[#This Row],[Conversion Cost]]+tblData[[#This Row],[Inbound Freight]]</f>
        <v>-446</v>
      </c>
      <c r="AH779" s="74">
        <f>tblData[[#This Row],[Net Revenue]]+tblData[[#This Row],[COGS]]</f>
        <v>670</v>
      </c>
      <c r="AI779" s="74">
        <f>tblData[[#This Row],[Advertising]]+tblData[[#This Row],[Promotions]]</f>
        <v>-74</v>
      </c>
      <c r="AJ779" s="74">
        <f>tblData[[#This Row],[Outbound Logistics]]+tblData[[#This Row],[Direct Selling]]</f>
        <v>-56</v>
      </c>
      <c r="AK779" s="74">
        <f>tblData[[#This Row],[Gross Profit]]+tblData[[#This Row],[AP Spend]]+tblData[[#This Row],[Cost to Serve]]</f>
        <v>540</v>
      </c>
    </row>
    <row r="780" spans="2:37" x14ac:dyDescent="0.25">
      <c r="B780" s="71" t="s">
        <v>50</v>
      </c>
      <c r="C780" s="71">
        <v>2026</v>
      </c>
      <c r="D780" s="71">
        <v>8</v>
      </c>
      <c r="E780" s="71" t="s">
        <v>48</v>
      </c>
      <c r="F780" s="71" t="s">
        <v>40</v>
      </c>
      <c r="G780" s="72">
        <v>132.80000000000001</v>
      </c>
      <c r="H780" s="73">
        <v>930</v>
      </c>
      <c r="I780" s="73">
        <v>-84</v>
      </c>
      <c r="J780" s="73">
        <v>-9</v>
      </c>
      <c r="K780" s="73">
        <v>-268</v>
      </c>
      <c r="L780" s="73">
        <v>-67</v>
      </c>
      <c r="M780" s="73">
        <v>-37</v>
      </c>
      <c r="N780" s="73">
        <v>-24</v>
      </c>
      <c r="O780" s="73">
        <v>-13</v>
      </c>
      <c r="P780" s="73">
        <v>-28</v>
      </c>
      <c r="Q780" s="73">
        <v>-14</v>
      </c>
      <c r="R780" s="73">
        <v>0</v>
      </c>
      <c r="S780" s="73">
        <v>0</v>
      </c>
      <c r="T780" s="73">
        <v>0</v>
      </c>
      <c r="U780" s="73">
        <v>0</v>
      </c>
      <c r="V780" s="73">
        <v>0</v>
      </c>
      <c r="W780" s="73">
        <v>0</v>
      </c>
      <c r="X780" s="73">
        <v>0</v>
      </c>
      <c r="Y780" s="73">
        <v>0</v>
      </c>
      <c r="Z780" s="73">
        <v>1911</v>
      </c>
      <c r="AA780" s="73">
        <v>910</v>
      </c>
      <c r="AB780" s="73">
        <v>0</v>
      </c>
      <c r="AC780" s="73">
        <v>0</v>
      </c>
      <c r="AD780" s="73">
        <v>0</v>
      </c>
      <c r="AE780" s="73">
        <v>0</v>
      </c>
      <c r="AF780" s="74">
        <f>tblData[[#This Row],[Gross Sales]]+tblData[[#This Row],[Trade Discounts]]+tblData[[#This Row],[Returns]]</f>
        <v>837</v>
      </c>
      <c r="AG780" s="74">
        <f>tblData[[#This Row],[Material Cost]]+tblData[[#This Row],[Conversion Cost]]+tblData[[#This Row],[Inbound Freight]]</f>
        <v>-372</v>
      </c>
      <c r="AH780" s="74">
        <f>tblData[[#This Row],[Net Revenue]]+tblData[[#This Row],[COGS]]</f>
        <v>465</v>
      </c>
      <c r="AI780" s="74">
        <f>tblData[[#This Row],[Advertising]]+tblData[[#This Row],[Promotions]]</f>
        <v>-37</v>
      </c>
      <c r="AJ780" s="74">
        <f>tblData[[#This Row],[Outbound Logistics]]+tblData[[#This Row],[Direct Selling]]</f>
        <v>-42</v>
      </c>
      <c r="AK780" s="74">
        <f>tblData[[#This Row],[Gross Profit]]+tblData[[#This Row],[AP Spend]]+tblData[[#This Row],[Cost to Serve]]</f>
        <v>386</v>
      </c>
    </row>
    <row r="781" spans="2:37" x14ac:dyDescent="0.25">
      <c r="B781" s="71" t="s">
        <v>50</v>
      </c>
      <c r="C781" s="71">
        <v>2026</v>
      </c>
      <c r="D781" s="71">
        <v>8</v>
      </c>
      <c r="E781" s="71" t="s">
        <v>48</v>
      </c>
      <c r="F781" s="71" t="s">
        <v>41</v>
      </c>
      <c r="G781" s="72">
        <v>65.7</v>
      </c>
      <c r="H781" s="73">
        <v>723</v>
      </c>
      <c r="I781" s="73">
        <v>-65</v>
      </c>
      <c r="J781" s="73">
        <v>-7</v>
      </c>
      <c r="K781" s="73">
        <v>-172</v>
      </c>
      <c r="L781" s="73">
        <v>-43</v>
      </c>
      <c r="M781" s="73">
        <v>-24</v>
      </c>
      <c r="N781" s="73">
        <v>-52</v>
      </c>
      <c r="O781" s="73">
        <v>-28</v>
      </c>
      <c r="P781" s="73">
        <v>-22</v>
      </c>
      <c r="Q781" s="73">
        <v>-11</v>
      </c>
      <c r="R781" s="73">
        <v>0</v>
      </c>
      <c r="S781" s="73">
        <v>0</v>
      </c>
      <c r="T781" s="73">
        <v>0</v>
      </c>
      <c r="U781" s="73">
        <v>0</v>
      </c>
      <c r="V781" s="73">
        <v>0</v>
      </c>
      <c r="W781" s="73">
        <v>0</v>
      </c>
      <c r="X781" s="73">
        <v>0</v>
      </c>
      <c r="Y781" s="73">
        <v>0</v>
      </c>
      <c r="Z781" s="73">
        <v>1487</v>
      </c>
      <c r="AA781" s="73">
        <v>701</v>
      </c>
      <c r="AB781" s="73">
        <v>0</v>
      </c>
      <c r="AC781" s="73">
        <v>0</v>
      </c>
      <c r="AD781" s="73">
        <v>0</v>
      </c>
      <c r="AE781" s="73">
        <v>0</v>
      </c>
      <c r="AF781" s="74">
        <f>tblData[[#This Row],[Gross Sales]]+tblData[[#This Row],[Trade Discounts]]+tblData[[#This Row],[Returns]]</f>
        <v>651</v>
      </c>
      <c r="AG781" s="74">
        <f>tblData[[#This Row],[Material Cost]]+tblData[[#This Row],[Conversion Cost]]+tblData[[#This Row],[Inbound Freight]]</f>
        <v>-239</v>
      </c>
      <c r="AH781" s="74">
        <f>tblData[[#This Row],[Net Revenue]]+tblData[[#This Row],[COGS]]</f>
        <v>412</v>
      </c>
      <c r="AI781" s="74">
        <f>tblData[[#This Row],[Advertising]]+tblData[[#This Row],[Promotions]]</f>
        <v>-80</v>
      </c>
      <c r="AJ781" s="74">
        <f>tblData[[#This Row],[Outbound Logistics]]+tblData[[#This Row],[Direct Selling]]</f>
        <v>-33</v>
      </c>
      <c r="AK781" s="74">
        <f>tblData[[#This Row],[Gross Profit]]+tblData[[#This Row],[AP Spend]]+tblData[[#This Row],[Cost to Serve]]</f>
        <v>299</v>
      </c>
    </row>
    <row r="782" spans="2:37" x14ac:dyDescent="0.25">
      <c r="B782" s="71" t="s">
        <v>50</v>
      </c>
      <c r="C782" s="71">
        <v>2026</v>
      </c>
      <c r="D782" s="71">
        <v>8</v>
      </c>
      <c r="E782" s="71" t="s">
        <v>48</v>
      </c>
      <c r="F782" s="71" t="s">
        <v>42</v>
      </c>
      <c r="G782" s="72">
        <v>86.1</v>
      </c>
      <c r="H782" s="73">
        <v>517</v>
      </c>
      <c r="I782" s="73">
        <v>-46</v>
      </c>
      <c r="J782" s="73">
        <v>-5</v>
      </c>
      <c r="K782" s="73">
        <v>-164</v>
      </c>
      <c r="L782" s="73">
        <v>-41</v>
      </c>
      <c r="M782" s="73">
        <v>-23</v>
      </c>
      <c r="N782" s="73">
        <v>-10</v>
      </c>
      <c r="O782" s="73">
        <v>-5</v>
      </c>
      <c r="P782" s="73">
        <v>-15</v>
      </c>
      <c r="Q782" s="73">
        <v>-8</v>
      </c>
      <c r="R782" s="73">
        <v>0</v>
      </c>
      <c r="S782" s="73">
        <v>0</v>
      </c>
      <c r="T782" s="73">
        <v>0</v>
      </c>
      <c r="U782" s="73">
        <v>0</v>
      </c>
      <c r="V782" s="73">
        <v>0</v>
      </c>
      <c r="W782" s="73">
        <v>0</v>
      </c>
      <c r="X782" s="73">
        <v>0</v>
      </c>
      <c r="Y782" s="73">
        <v>0</v>
      </c>
      <c r="Z782" s="73">
        <v>1062</v>
      </c>
      <c r="AA782" s="73">
        <v>816</v>
      </c>
      <c r="AB782" s="73">
        <v>0</v>
      </c>
      <c r="AC782" s="73">
        <v>0</v>
      </c>
      <c r="AD782" s="73">
        <v>0</v>
      </c>
      <c r="AE782" s="73">
        <v>0</v>
      </c>
      <c r="AF782" s="74">
        <f>tblData[[#This Row],[Gross Sales]]+tblData[[#This Row],[Trade Discounts]]+tblData[[#This Row],[Returns]]</f>
        <v>466</v>
      </c>
      <c r="AG782" s="74">
        <f>tblData[[#This Row],[Material Cost]]+tblData[[#This Row],[Conversion Cost]]+tblData[[#This Row],[Inbound Freight]]</f>
        <v>-228</v>
      </c>
      <c r="AH782" s="74">
        <f>tblData[[#This Row],[Net Revenue]]+tblData[[#This Row],[COGS]]</f>
        <v>238</v>
      </c>
      <c r="AI782" s="74">
        <f>tblData[[#This Row],[Advertising]]+tblData[[#This Row],[Promotions]]</f>
        <v>-15</v>
      </c>
      <c r="AJ782" s="74">
        <f>tblData[[#This Row],[Outbound Logistics]]+tblData[[#This Row],[Direct Selling]]</f>
        <v>-23</v>
      </c>
      <c r="AK782" s="74">
        <f>tblData[[#This Row],[Gross Profit]]+tblData[[#This Row],[AP Spend]]+tblData[[#This Row],[Cost to Serve]]</f>
        <v>200</v>
      </c>
    </row>
    <row r="783" spans="2:37" x14ac:dyDescent="0.25">
      <c r="B783" s="71" t="s">
        <v>50</v>
      </c>
      <c r="C783" s="71">
        <v>2026</v>
      </c>
      <c r="D783" s="71">
        <v>8</v>
      </c>
      <c r="E783" s="71" t="s">
        <v>48</v>
      </c>
      <c r="F783" s="71" t="s">
        <v>43</v>
      </c>
      <c r="G783" s="72">
        <v>17.2</v>
      </c>
      <c r="H783" s="73">
        <v>310</v>
      </c>
      <c r="I783" s="73">
        <v>-28</v>
      </c>
      <c r="J783" s="73">
        <v>-3</v>
      </c>
      <c r="K783" s="73">
        <v>-85</v>
      </c>
      <c r="L783" s="73">
        <v>-21</v>
      </c>
      <c r="M783" s="73">
        <v>-12</v>
      </c>
      <c r="N783" s="73">
        <v>-28</v>
      </c>
      <c r="O783" s="73">
        <v>-15</v>
      </c>
      <c r="P783" s="73">
        <v>-9</v>
      </c>
      <c r="Q783" s="73">
        <v>-5</v>
      </c>
      <c r="R783" s="73">
        <v>0</v>
      </c>
      <c r="S783" s="73">
        <v>0</v>
      </c>
      <c r="T783" s="73">
        <v>0</v>
      </c>
      <c r="U783" s="73">
        <v>0</v>
      </c>
      <c r="V783" s="73">
        <v>0</v>
      </c>
      <c r="W783" s="73">
        <v>0</v>
      </c>
      <c r="X783" s="73">
        <v>0</v>
      </c>
      <c r="Y783" s="73">
        <v>0</v>
      </c>
      <c r="Z783" s="73">
        <v>637</v>
      </c>
      <c r="AA783" s="73">
        <v>461</v>
      </c>
      <c r="AB783" s="73">
        <v>0</v>
      </c>
      <c r="AC783" s="73">
        <v>0</v>
      </c>
      <c r="AD783" s="73">
        <v>0</v>
      </c>
      <c r="AE783" s="73">
        <v>0</v>
      </c>
      <c r="AF783" s="74">
        <f>tblData[[#This Row],[Gross Sales]]+tblData[[#This Row],[Trade Discounts]]+tblData[[#This Row],[Returns]]</f>
        <v>279</v>
      </c>
      <c r="AG783" s="74">
        <f>tblData[[#This Row],[Material Cost]]+tblData[[#This Row],[Conversion Cost]]+tblData[[#This Row],[Inbound Freight]]</f>
        <v>-118</v>
      </c>
      <c r="AH783" s="74">
        <f>tblData[[#This Row],[Net Revenue]]+tblData[[#This Row],[COGS]]</f>
        <v>161</v>
      </c>
      <c r="AI783" s="74">
        <f>tblData[[#This Row],[Advertising]]+tblData[[#This Row],[Promotions]]</f>
        <v>-43</v>
      </c>
      <c r="AJ783" s="74">
        <f>tblData[[#This Row],[Outbound Logistics]]+tblData[[#This Row],[Direct Selling]]</f>
        <v>-14</v>
      </c>
      <c r="AK783" s="74">
        <f>tblData[[#This Row],[Gross Profit]]+tblData[[#This Row],[AP Spend]]+tblData[[#This Row],[Cost to Serve]]</f>
        <v>104</v>
      </c>
    </row>
    <row r="784" spans="2:37" x14ac:dyDescent="0.25">
      <c r="B784" s="71" t="s">
        <v>50</v>
      </c>
      <c r="C784" s="71">
        <v>2026</v>
      </c>
      <c r="D784" s="71">
        <v>8</v>
      </c>
      <c r="E784" s="71" t="s">
        <v>49</v>
      </c>
      <c r="F784" s="71" t="s">
        <v>49</v>
      </c>
      <c r="G784" s="72">
        <v>0</v>
      </c>
      <c r="H784" s="73">
        <v>0</v>
      </c>
      <c r="I784" s="73">
        <v>0</v>
      </c>
      <c r="J784" s="73">
        <v>0</v>
      </c>
      <c r="K784" s="73">
        <v>0</v>
      </c>
      <c r="L784" s="73">
        <v>0</v>
      </c>
      <c r="M784" s="73">
        <v>0</v>
      </c>
      <c r="N784" s="73">
        <v>0</v>
      </c>
      <c r="O784" s="73">
        <v>0</v>
      </c>
      <c r="P784" s="73">
        <v>0</v>
      </c>
      <c r="Q784" s="73">
        <v>0</v>
      </c>
      <c r="R784" s="73">
        <v>-4266</v>
      </c>
      <c r="S784" s="73">
        <v>-1020</v>
      </c>
      <c r="T784" s="73">
        <v>-1320</v>
      </c>
      <c r="U784" s="73">
        <v>-1130</v>
      </c>
      <c r="V784" s="73">
        <v>-1480</v>
      </c>
      <c r="W784" s="73">
        <v>-694</v>
      </c>
      <c r="X784" s="73">
        <v>-1687</v>
      </c>
      <c r="Y784" s="73">
        <v>-1323</v>
      </c>
      <c r="Z784" s="73">
        <v>0</v>
      </c>
      <c r="AA784" s="73">
        <v>0</v>
      </c>
      <c r="AB784" s="73">
        <v>35029</v>
      </c>
      <c r="AC784" s="73">
        <v>64344</v>
      </c>
      <c r="AD784" s="73">
        <v>185000</v>
      </c>
      <c r="AE784" s="73">
        <v>1193</v>
      </c>
      <c r="AF784" s="74">
        <f>tblData[[#This Row],[Gross Sales]]+tblData[[#This Row],[Trade Discounts]]+tblData[[#This Row],[Returns]]</f>
        <v>0</v>
      </c>
      <c r="AG784" s="74">
        <f>tblData[[#This Row],[Material Cost]]+tblData[[#This Row],[Conversion Cost]]+tblData[[#This Row],[Inbound Freight]]</f>
        <v>0</v>
      </c>
      <c r="AH784" s="74">
        <f>tblData[[#This Row],[Net Revenue]]+tblData[[#This Row],[COGS]]</f>
        <v>0</v>
      </c>
      <c r="AI784" s="74">
        <f>tblData[[#This Row],[Advertising]]+tblData[[#This Row],[Promotions]]</f>
        <v>0</v>
      </c>
      <c r="AJ784" s="74">
        <f>tblData[[#This Row],[Outbound Logistics]]+tblData[[#This Row],[Direct Selling]]</f>
        <v>0</v>
      </c>
      <c r="AK784" s="74">
        <f>tblData[[#This Row],[Gross Profit]]+tblData[[#This Row],[AP Spend]]+tblData[[#This Row],[Cost to Serve]]</f>
        <v>0</v>
      </c>
    </row>
    <row r="785" spans="2:37" x14ac:dyDescent="0.25">
      <c r="B785" s="71" t="s">
        <v>50</v>
      </c>
      <c r="C785" s="71">
        <v>2026</v>
      </c>
      <c r="D785" s="71">
        <v>9</v>
      </c>
      <c r="E785" s="71" t="s">
        <v>37</v>
      </c>
      <c r="F785" s="71" t="s">
        <v>38</v>
      </c>
      <c r="G785" s="72">
        <v>340.2</v>
      </c>
      <c r="H785" s="73">
        <v>4763</v>
      </c>
      <c r="I785" s="73">
        <v>-905</v>
      </c>
      <c r="J785" s="73">
        <v>-71</v>
      </c>
      <c r="K785" s="73">
        <v>-1029</v>
      </c>
      <c r="L785" s="73">
        <v>-257</v>
      </c>
      <c r="M785" s="73">
        <v>-143</v>
      </c>
      <c r="N785" s="73">
        <v>-279</v>
      </c>
      <c r="O785" s="73">
        <v>-150</v>
      </c>
      <c r="P785" s="73">
        <v>-191</v>
      </c>
      <c r="Q785" s="73">
        <v>-143</v>
      </c>
      <c r="R785" s="73">
        <v>0</v>
      </c>
      <c r="S785" s="73">
        <v>0</v>
      </c>
      <c r="T785" s="73">
        <v>0</v>
      </c>
      <c r="U785" s="73">
        <v>0</v>
      </c>
      <c r="V785" s="73">
        <v>0</v>
      </c>
      <c r="W785" s="73">
        <v>0</v>
      </c>
      <c r="X785" s="73">
        <v>0</v>
      </c>
      <c r="Y785" s="73">
        <v>0</v>
      </c>
      <c r="Z785" s="73">
        <v>6394</v>
      </c>
      <c r="AA785" s="73">
        <v>4167</v>
      </c>
      <c r="AB785" s="73">
        <v>0</v>
      </c>
      <c r="AC785" s="73">
        <v>0</v>
      </c>
      <c r="AD785" s="73">
        <v>0</v>
      </c>
      <c r="AE785" s="73">
        <v>0</v>
      </c>
      <c r="AF785" s="74">
        <f>tblData[[#This Row],[Gross Sales]]+tblData[[#This Row],[Trade Discounts]]+tblData[[#This Row],[Returns]]</f>
        <v>3787</v>
      </c>
      <c r="AG785" s="74">
        <f>tblData[[#This Row],[Material Cost]]+tblData[[#This Row],[Conversion Cost]]+tblData[[#This Row],[Inbound Freight]]</f>
        <v>-1429</v>
      </c>
      <c r="AH785" s="74">
        <f>tblData[[#This Row],[Net Revenue]]+tblData[[#This Row],[COGS]]</f>
        <v>2358</v>
      </c>
      <c r="AI785" s="74">
        <f>tblData[[#This Row],[Advertising]]+tblData[[#This Row],[Promotions]]</f>
        <v>-429</v>
      </c>
      <c r="AJ785" s="74">
        <f>tblData[[#This Row],[Outbound Logistics]]+tblData[[#This Row],[Direct Selling]]</f>
        <v>-334</v>
      </c>
      <c r="AK785" s="74">
        <f>tblData[[#This Row],[Gross Profit]]+tblData[[#This Row],[AP Spend]]+tblData[[#This Row],[Cost to Serve]]</f>
        <v>1595</v>
      </c>
    </row>
    <row r="786" spans="2:37" x14ac:dyDescent="0.25">
      <c r="B786" s="71" t="s">
        <v>50</v>
      </c>
      <c r="C786" s="71">
        <v>2026</v>
      </c>
      <c r="D786" s="71">
        <v>9</v>
      </c>
      <c r="E786" s="71" t="s">
        <v>37</v>
      </c>
      <c r="F786" s="71" t="s">
        <v>39</v>
      </c>
      <c r="G786" s="72">
        <v>453.6</v>
      </c>
      <c r="H786" s="73">
        <v>4082</v>
      </c>
      <c r="I786" s="73">
        <v>-776</v>
      </c>
      <c r="J786" s="73">
        <v>-61</v>
      </c>
      <c r="K786" s="73">
        <v>-1058</v>
      </c>
      <c r="L786" s="73">
        <v>-265</v>
      </c>
      <c r="M786" s="73">
        <v>-147</v>
      </c>
      <c r="N786" s="73">
        <v>-159</v>
      </c>
      <c r="O786" s="73">
        <v>-86</v>
      </c>
      <c r="P786" s="73">
        <v>-163</v>
      </c>
      <c r="Q786" s="73">
        <v>-122</v>
      </c>
      <c r="R786" s="73">
        <v>0</v>
      </c>
      <c r="S786" s="73">
        <v>0</v>
      </c>
      <c r="T786" s="73">
        <v>0</v>
      </c>
      <c r="U786" s="73">
        <v>0</v>
      </c>
      <c r="V786" s="73">
        <v>0</v>
      </c>
      <c r="W786" s="73">
        <v>0</v>
      </c>
      <c r="X786" s="73">
        <v>0</v>
      </c>
      <c r="Y786" s="73">
        <v>0</v>
      </c>
      <c r="Z786" s="73">
        <v>5480</v>
      </c>
      <c r="AA786" s="73">
        <v>3610</v>
      </c>
      <c r="AB786" s="73">
        <v>0</v>
      </c>
      <c r="AC786" s="73">
        <v>0</v>
      </c>
      <c r="AD786" s="73">
        <v>0</v>
      </c>
      <c r="AE786" s="73">
        <v>0</v>
      </c>
      <c r="AF786" s="74">
        <f>tblData[[#This Row],[Gross Sales]]+tblData[[#This Row],[Trade Discounts]]+tblData[[#This Row],[Returns]]</f>
        <v>3245</v>
      </c>
      <c r="AG786" s="74">
        <f>tblData[[#This Row],[Material Cost]]+tblData[[#This Row],[Conversion Cost]]+tblData[[#This Row],[Inbound Freight]]</f>
        <v>-1470</v>
      </c>
      <c r="AH786" s="74">
        <f>tblData[[#This Row],[Net Revenue]]+tblData[[#This Row],[COGS]]</f>
        <v>1775</v>
      </c>
      <c r="AI786" s="74">
        <f>tblData[[#This Row],[Advertising]]+tblData[[#This Row],[Promotions]]</f>
        <v>-245</v>
      </c>
      <c r="AJ786" s="74">
        <f>tblData[[#This Row],[Outbound Logistics]]+tblData[[#This Row],[Direct Selling]]</f>
        <v>-285</v>
      </c>
      <c r="AK786" s="74">
        <f>tblData[[#This Row],[Gross Profit]]+tblData[[#This Row],[AP Spend]]+tblData[[#This Row],[Cost to Serve]]</f>
        <v>1245</v>
      </c>
    </row>
    <row r="787" spans="2:37" x14ac:dyDescent="0.25">
      <c r="B787" s="71" t="s">
        <v>50</v>
      </c>
      <c r="C787" s="71">
        <v>2026</v>
      </c>
      <c r="D787" s="71">
        <v>9</v>
      </c>
      <c r="E787" s="71" t="s">
        <v>37</v>
      </c>
      <c r="F787" s="71" t="s">
        <v>40</v>
      </c>
      <c r="G787" s="72">
        <v>437.4</v>
      </c>
      <c r="H787" s="73">
        <v>3062</v>
      </c>
      <c r="I787" s="73">
        <v>-582</v>
      </c>
      <c r="J787" s="73">
        <v>-46</v>
      </c>
      <c r="K787" s="73">
        <v>-882</v>
      </c>
      <c r="L787" s="73">
        <v>-220</v>
      </c>
      <c r="M787" s="73">
        <v>-122</v>
      </c>
      <c r="N787" s="73">
        <v>-80</v>
      </c>
      <c r="O787" s="73">
        <v>-43</v>
      </c>
      <c r="P787" s="73">
        <v>-122</v>
      </c>
      <c r="Q787" s="73">
        <v>-92</v>
      </c>
      <c r="R787" s="73">
        <v>0</v>
      </c>
      <c r="S787" s="73">
        <v>0</v>
      </c>
      <c r="T787" s="73">
        <v>0</v>
      </c>
      <c r="U787" s="73">
        <v>0</v>
      </c>
      <c r="V787" s="73">
        <v>0</v>
      </c>
      <c r="W787" s="73">
        <v>0</v>
      </c>
      <c r="X787" s="73">
        <v>0</v>
      </c>
      <c r="Y787" s="73">
        <v>0</v>
      </c>
      <c r="Z787" s="73">
        <v>4110</v>
      </c>
      <c r="AA787" s="73">
        <v>2820</v>
      </c>
      <c r="AB787" s="73">
        <v>0</v>
      </c>
      <c r="AC787" s="73">
        <v>0</v>
      </c>
      <c r="AD787" s="73">
        <v>0</v>
      </c>
      <c r="AE787" s="73">
        <v>0</v>
      </c>
      <c r="AF787" s="74">
        <f>tblData[[#This Row],[Gross Sales]]+tblData[[#This Row],[Trade Discounts]]+tblData[[#This Row],[Returns]]</f>
        <v>2434</v>
      </c>
      <c r="AG787" s="74">
        <f>tblData[[#This Row],[Material Cost]]+tblData[[#This Row],[Conversion Cost]]+tblData[[#This Row],[Inbound Freight]]</f>
        <v>-1224</v>
      </c>
      <c r="AH787" s="74">
        <f>tblData[[#This Row],[Net Revenue]]+tblData[[#This Row],[COGS]]</f>
        <v>1210</v>
      </c>
      <c r="AI787" s="74">
        <f>tblData[[#This Row],[Advertising]]+tblData[[#This Row],[Promotions]]</f>
        <v>-123</v>
      </c>
      <c r="AJ787" s="74">
        <f>tblData[[#This Row],[Outbound Logistics]]+tblData[[#This Row],[Direct Selling]]</f>
        <v>-214</v>
      </c>
      <c r="AK787" s="74">
        <f>tblData[[#This Row],[Gross Profit]]+tblData[[#This Row],[AP Spend]]+tblData[[#This Row],[Cost to Serve]]</f>
        <v>873</v>
      </c>
    </row>
    <row r="788" spans="2:37" x14ac:dyDescent="0.25">
      <c r="B788" s="71" t="s">
        <v>50</v>
      </c>
      <c r="C788" s="71">
        <v>2026</v>
      </c>
      <c r="D788" s="71">
        <v>9</v>
      </c>
      <c r="E788" s="71" t="s">
        <v>37</v>
      </c>
      <c r="F788" s="71" t="s">
        <v>41</v>
      </c>
      <c r="G788" s="72">
        <v>216.5</v>
      </c>
      <c r="H788" s="73">
        <v>2381</v>
      </c>
      <c r="I788" s="73">
        <v>-452</v>
      </c>
      <c r="J788" s="73">
        <v>-36</v>
      </c>
      <c r="K788" s="73">
        <v>-566</v>
      </c>
      <c r="L788" s="73">
        <v>-141</v>
      </c>
      <c r="M788" s="73">
        <v>-79</v>
      </c>
      <c r="N788" s="73">
        <v>-170</v>
      </c>
      <c r="O788" s="73">
        <v>-92</v>
      </c>
      <c r="P788" s="73">
        <v>-95</v>
      </c>
      <c r="Q788" s="73">
        <v>-71</v>
      </c>
      <c r="R788" s="73">
        <v>0</v>
      </c>
      <c r="S788" s="73">
        <v>0</v>
      </c>
      <c r="T788" s="73">
        <v>0</v>
      </c>
      <c r="U788" s="73">
        <v>0</v>
      </c>
      <c r="V788" s="73">
        <v>0</v>
      </c>
      <c r="W788" s="73">
        <v>0</v>
      </c>
      <c r="X788" s="73">
        <v>0</v>
      </c>
      <c r="Y788" s="73">
        <v>0</v>
      </c>
      <c r="Z788" s="73">
        <v>3197</v>
      </c>
      <c r="AA788" s="73">
        <v>2171</v>
      </c>
      <c r="AB788" s="73">
        <v>0</v>
      </c>
      <c r="AC788" s="73">
        <v>0</v>
      </c>
      <c r="AD788" s="73">
        <v>0</v>
      </c>
      <c r="AE788" s="73">
        <v>0</v>
      </c>
      <c r="AF788" s="74">
        <f>tblData[[#This Row],[Gross Sales]]+tblData[[#This Row],[Trade Discounts]]+tblData[[#This Row],[Returns]]</f>
        <v>1893</v>
      </c>
      <c r="AG788" s="74">
        <f>tblData[[#This Row],[Material Cost]]+tblData[[#This Row],[Conversion Cost]]+tblData[[#This Row],[Inbound Freight]]</f>
        <v>-786</v>
      </c>
      <c r="AH788" s="74">
        <f>tblData[[#This Row],[Net Revenue]]+tblData[[#This Row],[COGS]]</f>
        <v>1107</v>
      </c>
      <c r="AI788" s="74">
        <f>tblData[[#This Row],[Advertising]]+tblData[[#This Row],[Promotions]]</f>
        <v>-262</v>
      </c>
      <c r="AJ788" s="74">
        <f>tblData[[#This Row],[Outbound Logistics]]+tblData[[#This Row],[Direct Selling]]</f>
        <v>-166</v>
      </c>
      <c r="AK788" s="74">
        <f>tblData[[#This Row],[Gross Profit]]+tblData[[#This Row],[AP Spend]]+tblData[[#This Row],[Cost to Serve]]</f>
        <v>679</v>
      </c>
    </row>
    <row r="789" spans="2:37" x14ac:dyDescent="0.25">
      <c r="B789" s="71" t="s">
        <v>50</v>
      </c>
      <c r="C789" s="71">
        <v>2026</v>
      </c>
      <c r="D789" s="71">
        <v>9</v>
      </c>
      <c r="E789" s="71" t="s">
        <v>37</v>
      </c>
      <c r="F789" s="71" t="s">
        <v>42</v>
      </c>
      <c r="G789" s="72">
        <v>283.5</v>
      </c>
      <c r="H789" s="73">
        <v>1701</v>
      </c>
      <c r="I789" s="73">
        <v>-323</v>
      </c>
      <c r="J789" s="73">
        <v>-26</v>
      </c>
      <c r="K789" s="73">
        <v>-539</v>
      </c>
      <c r="L789" s="73">
        <v>-135</v>
      </c>
      <c r="M789" s="73">
        <v>-75</v>
      </c>
      <c r="N789" s="73">
        <v>-33</v>
      </c>
      <c r="O789" s="73">
        <v>-18</v>
      </c>
      <c r="P789" s="73">
        <v>-68</v>
      </c>
      <c r="Q789" s="73">
        <v>-51</v>
      </c>
      <c r="R789" s="73">
        <v>0</v>
      </c>
      <c r="S789" s="73">
        <v>0</v>
      </c>
      <c r="T789" s="73">
        <v>0</v>
      </c>
      <c r="U789" s="73">
        <v>0</v>
      </c>
      <c r="V789" s="73">
        <v>0</v>
      </c>
      <c r="W789" s="73">
        <v>0</v>
      </c>
      <c r="X789" s="73">
        <v>0</v>
      </c>
      <c r="Y789" s="73">
        <v>0</v>
      </c>
      <c r="Z789" s="73">
        <v>2283</v>
      </c>
      <c r="AA789" s="73">
        <v>2528</v>
      </c>
      <c r="AB789" s="73">
        <v>0</v>
      </c>
      <c r="AC789" s="73">
        <v>0</v>
      </c>
      <c r="AD789" s="73">
        <v>0</v>
      </c>
      <c r="AE789" s="73">
        <v>0</v>
      </c>
      <c r="AF789" s="74">
        <f>tblData[[#This Row],[Gross Sales]]+tblData[[#This Row],[Trade Discounts]]+tblData[[#This Row],[Returns]]</f>
        <v>1352</v>
      </c>
      <c r="AG789" s="74">
        <f>tblData[[#This Row],[Material Cost]]+tblData[[#This Row],[Conversion Cost]]+tblData[[#This Row],[Inbound Freight]]</f>
        <v>-749</v>
      </c>
      <c r="AH789" s="74">
        <f>tblData[[#This Row],[Net Revenue]]+tblData[[#This Row],[COGS]]</f>
        <v>603</v>
      </c>
      <c r="AI789" s="74">
        <f>tblData[[#This Row],[Advertising]]+tblData[[#This Row],[Promotions]]</f>
        <v>-51</v>
      </c>
      <c r="AJ789" s="74">
        <f>tblData[[#This Row],[Outbound Logistics]]+tblData[[#This Row],[Direct Selling]]</f>
        <v>-119</v>
      </c>
      <c r="AK789" s="74">
        <f>tblData[[#This Row],[Gross Profit]]+tblData[[#This Row],[AP Spend]]+tblData[[#This Row],[Cost to Serve]]</f>
        <v>433</v>
      </c>
    </row>
    <row r="790" spans="2:37" x14ac:dyDescent="0.25">
      <c r="B790" s="71" t="s">
        <v>50</v>
      </c>
      <c r="C790" s="71">
        <v>2026</v>
      </c>
      <c r="D790" s="71">
        <v>9</v>
      </c>
      <c r="E790" s="71" t="s">
        <v>37</v>
      </c>
      <c r="F790" s="71" t="s">
        <v>43</v>
      </c>
      <c r="G790" s="72">
        <v>56.7</v>
      </c>
      <c r="H790" s="73">
        <v>1021</v>
      </c>
      <c r="I790" s="73">
        <v>-194</v>
      </c>
      <c r="J790" s="73">
        <v>-15</v>
      </c>
      <c r="K790" s="73">
        <v>-279</v>
      </c>
      <c r="L790" s="73">
        <v>-70</v>
      </c>
      <c r="M790" s="73">
        <v>-39</v>
      </c>
      <c r="N790" s="73">
        <v>-93</v>
      </c>
      <c r="O790" s="73">
        <v>-50</v>
      </c>
      <c r="P790" s="73">
        <v>-41</v>
      </c>
      <c r="Q790" s="73">
        <v>-31</v>
      </c>
      <c r="R790" s="73">
        <v>0</v>
      </c>
      <c r="S790" s="73">
        <v>0</v>
      </c>
      <c r="T790" s="73">
        <v>0</v>
      </c>
      <c r="U790" s="73">
        <v>0</v>
      </c>
      <c r="V790" s="73">
        <v>0</v>
      </c>
      <c r="W790" s="73">
        <v>0</v>
      </c>
      <c r="X790" s="73">
        <v>0</v>
      </c>
      <c r="Y790" s="73">
        <v>0</v>
      </c>
      <c r="Z790" s="73">
        <v>1370</v>
      </c>
      <c r="AA790" s="73">
        <v>1429</v>
      </c>
      <c r="AB790" s="73">
        <v>0</v>
      </c>
      <c r="AC790" s="73">
        <v>0</v>
      </c>
      <c r="AD790" s="73">
        <v>0</v>
      </c>
      <c r="AE790" s="73">
        <v>0</v>
      </c>
      <c r="AF790" s="74">
        <f>tblData[[#This Row],[Gross Sales]]+tblData[[#This Row],[Trade Discounts]]+tblData[[#This Row],[Returns]]</f>
        <v>812</v>
      </c>
      <c r="AG790" s="74">
        <f>tblData[[#This Row],[Material Cost]]+tblData[[#This Row],[Conversion Cost]]+tblData[[#This Row],[Inbound Freight]]</f>
        <v>-388</v>
      </c>
      <c r="AH790" s="74">
        <f>tblData[[#This Row],[Net Revenue]]+tblData[[#This Row],[COGS]]</f>
        <v>424</v>
      </c>
      <c r="AI790" s="74">
        <f>tblData[[#This Row],[Advertising]]+tblData[[#This Row],[Promotions]]</f>
        <v>-143</v>
      </c>
      <c r="AJ790" s="74">
        <f>tblData[[#This Row],[Outbound Logistics]]+tblData[[#This Row],[Direct Selling]]</f>
        <v>-72</v>
      </c>
      <c r="AK790" s="74">
        <f>tblData[[#This Row],[Gross Profit]]+tblData[[#This Row],[AP Spend]]+tblData[[#This Row],[Cost to Serve]]</f>
        <v>209</v>
      </c>
    </row>
    <row r="791" spans="2:37" x14ac:dyDescent="0.25">
      <c r="B791" s="71" t="s">
        <v>50</v>
      </c>
      <c r="C791" s="71">
        <v>2026</v>
      </c>
      <c r="D791" s="71">
        <v>9</v>
      </c>
      <c r="E791" s="71" t="s">
        <v>44</v>
      </c>
      <c r="F791" s="71" t="s">
        <v>38</v>
      </c>
      <c r="G791" s="72">
        <v>272.2</v>
      </c>
      <c r="H791" s="73">
        <v>3810</v>
      </c>
      <c r="I791" s="73">
        <v>-610</v>
      </c>
      <c r="J791" s="73">
        <v>-46</v>
      </c>
      <c r="K791" s="73">
        <v>-823</v>
      </c>
      <c r="L791" s="73">
        <v>-206</v>
      </c>
      <c r="M791" s="73">
        <v>-114</v>
      </c>
      <c r="N791" s="73">
        <v>-223</v>
      </c>
      <c r="O791" s="73">
        <v>-120</v>
      </c>
      <c r="P791" s="73">
        <v>-152</v>
      </c>
      <c r="Q791" s="73">
        <v>-114</v>
      </c>
      <c r="R791" s="73">
        <v>0</v>
      </c>
      <c r="S791" s="73">
        <v>0</v>
      </c>
      <c r="T791" s="73">
        <v>0</v>
      </c>
      <c r="U791" s="73">
        <v>0</v>
      </c>
      <c r="V791" s="73">
        <v>0</v>
      </c>
      <c r="W791" s="73">
        <v>0</v>
      </c>
      <c r="X791" s="73">
        <v>0</v>
      </c>
      <c r="Y791" s="73">
        <v>0</v>
      </c>
      <c r="Z791" s="73">
        <v>4843</v>
      </c>
      <c r="AA791" s="73">
        <v>3334</v>
      </c>
      <c r="AB791" s="73">
        <v>0</v>
      </c>
      <c r="AC791" s="73">
        <v>0</v>
      </c>
      <c r="AD791" s="73">
        <v>0</v>
      </c>
      <c r="AE791" s="73">
        <v>0</v>
      </c>
      <c r="AF791" s="74">
        <f>tblData[[#This Row],[Gross Sales]]+tblData[[#This Row],[Trade Discounts]]+tblData[[#This Row],[Returns]]</f>
        <v>3154</v>
      </c>
      <c r="AG791" s="74">
        <f>tblData[[#This Row],[Material Cost]]+tblData[[#This Row],[Conversion Cost]]+tblData[[#This Row],[Inbound Freight]]</f>
        <v>-1143</v>
      </c>
      <c r="AH791" s="74">
        <f>tblData[[#This Row],[Net Revenue]]+tblData[[#This Row],[COGS]]</f>
        <v>2011</v>
      </c>
      <c r="AI791" s="74">
        <f>tblData[[#This Row],[Advertising]]+tblData[[#This Row],[Promotions]]</f>
        <v>-343</v>
      </c>
      <c r="AJ791" s="74">
        <f>tblData[[#This Row],[Outbound Logistics]]+tblData[[#This Row],[Direct Selling]]</f>
        <v>-266</v>
      </c>
      <c r="AK791" s="74">
        <f>tblData[[#This Row],[Gross Profit]]+tblData[[#This Row],[AP Spend]]+tblData[[#This Row],[Cost to Serve]]</f>
        <v>1402</v>
      </c>
    </row>
    <row r="792" spans="2:37" x14ac:dyDescent="0.25">
      <c r="B792" s="71" t="s">
        <v>50</v>
      </c>
      <c r="C792" s="71">
        <v>2026</v>
      </c>
      <c r="D792" s="71">
        <v>9</v>
      </c>
      <c r="E792" s="71" t="s">
        <v>44</v>
      </c>
      <c r="F792" s="71" t="s">
        <v>39</v>
      </c>
      <c r="G792" s="72">
        <v>362.9</v>
      </c>
      <c r="H792" s="73">
        <v>3266</v>
      </c>
      <c r="I792" s="73">
        <v>-523</v>
      </c>
      <c r="J792" s="73">
        <v>-39</v>
      </c>
      <c r="K792" s="73">
        <v>-847</v>
      </c>
      <c r="L792" s="73">
        <v>-212</v>
      </c>
      <c r="M792" s="73">
        <v>-118</v>
      </c>
      <c r="N792" s="73">
        <v>-127</v>
      </c>
      <c r="O792" s="73">
        <v>-69</v>
      </c>
      <c r="P792" s="73">
        <v>-131</v>
      </c>
      <c r="Q792" s="73">
        <v>-98</v>
      </c>
      <c r="R792" s="73">
        <v>0</v>
      </c>
      <c r="S792" s="73">
        <v>0</v>
      </c>
      <c r="T792" s="73">
        <v>0</v>
      </c>
      <c r="U792" s="73">
        <v>0</v>
      </c>
      <c r="V792" s="73">
        <v>0</v>
      </c>
      <c r="W792" s="73">
        <v>0</v>
      </c>
      <c r="X792" s="73">
        <v>0</v>
      </c>
      <c r="Y792" s="73">
        <v>0</v>
      </c>
      <c r="Z792" s="73">
        <v>4151</v>
      </c>
      <c r="AA792" s="73">
        <v>2888</v>
      </c>
      <c r="AB792" s="73">
        <v>0</v>
      </c>
      <c r="AC792" s="73">
        <v>0</v>
      </c>
      <c r="AD792" s="73">
        <v>0</v>
      </c>
      <c r="AE792" s="73">
        <v>0</v>
      </c>
      <c r="AF792" s="74">
        <f>tblData[[#This Row],[Gross Sales]]+tblData[[#This Row],[Trade Discounts]]+tblData[[#This Row],[Returns]]</f>
        <v>2704</v>
      </c>
      <c r="AG792" s="74">
        <f>tblData[[#This Row],[Material Cost]]+tblData[[#This Row],[Conversion Cost]]+tblData[[#This Row],[Inbound Freight]]</f>
        <v>-1177</v>
      </c>
      <c r="AH792" s="74">
        <f>tblData[[#This Row],[Net Revenue]]+tblData[[#This Row],[COGS]]</f>
        <v>1527</v>
      </c>
      <c r="AI792" s="74">
        <f>tblData[[#This Row],[Advertising]]+tblData[[#This Row],[Promotions]]</f>
        <v>-196</v>
      </c>
      <c r="AJ792" s="74">
        <f>tblData[[#This Row],[Outbound Logistics]]+tblData[[#This Row],[Direct Selling]]</f>
        <v>-229</v>
      </c>
      <c r="AK792" s="74">
        <f>tblData[[#This Row],[Gross Profit]]+tblData[[#This Row],[AP Spend]]+tblData[[#This Row],[Cost to Serve]]</f>
        <v>1102</v>
      </c>
    </row>
    <row r="793" spans="2:37" x14ac:dyDescent="0.25">
      <c r="B793" s="71" t="s">
        <v>50</v>
      </c>
      <c r="C793" s="71">
        <v>2026</v>
      </c>
      <c r="D793" s="71">
        <v>9</v>
      </c>
      <c r="E793" s="71" t="s">
        <v>44</v>
      </c>
      <c r="F793" s="71" t="s">
        <v>40</v>
      </c>
      <c r="G793" s="72">
        <v>349.9</v>
      </c>
      <c r="H793" s="73">
        <v>2449</v>
      </c>
      <c r="I793" s="73">
        <v>-392</v>
      </c>
      <c r="J793" s="73">
        <v>-29</v>
      </c>
      <c r="K793" s="73">
        <v>-705</v>
      </c>
      <c r="L793" s="73">
        <v>-176</v>
      </c>
      <c r="M793" s="73">
        <v>-98</v>
      </c>
      <c r="N793" s="73">
        <v>-64</v>
      </c>
      <c r="O793" s="73">
        <v>-34</v>
      </c>
      <c r="P793" s="73">
        <v>-98</v>
      </c>
      <c r="Q793" s="73">
        <v>-73</v>
      </c>
      <c r="R793" s="73">
        <v>0</v>
      </c>
      <c r="S793" s="73">
        <v>0</v>
      </c>
      <c r="T793" s="73">
        <v>0</v>
      </c>
      <c r="U793" s="73">
        <v>0</v>
      </c>
      <c r="V793" s="73">
        <v>0</v>
      </c>
      <c r="W793" s="73">
        <v>0</v>
      </c>
      <c r="X793" s="73">
        <v>0</v>
      </c>
      <c r="Y793" s="73">
        <v>0</v>
      </c>
      <c r="Z793" s="73">
        <v>3113</v>
      </c>
      <c r="AA793" s="73">
        <v>2256</v>
      </c>
      <c r="AB793" s="73">
        <v>0</v>
      </c>
      <c r="AC793" s="73">
        <v>0</v>
      </c>
      <c r="AD793" s="73">
        <v>0</v>
      </c>
      <c r="AE793" s="73">
        <v>0</v>
      </c>
      <c r="AF793" s="74">
        <f>tblData[[#This Row],[Gross Sales]]+tblData[[#This Row],[Trade Discounts]]+tblData[[#This Row],[Returns]]</f>
        <v>2028</v>
      </c>
      <c r="AG793" s="74">
        <f>tblData[[#This Row],[Material Cost]]+tblData[[#This Row],[Conversion Cost]]+tblData[[#This Row],[Inbound Freight]]</f>
        <v>-979</v>
      </c>
      <c r="AH793" s="74">
        <f>tblData[[#This Row],[Net Revenue]]+tblData[[#This Row],[COGS]]</f>
        <v>1049</v>
      </c>
      <c r="AI793" s="74">
        <f>tblData[[#This Row],[Advertising]]+tblData[[#This Row],[Promotions]]</f>
        <v>-98</v>
      </c>
      <c r="AJ793" s="74">
        <f>tblData[[#This Row],[Outbound Logistics]]+tblData[[#This Row],[Direct Selling]]</f>
        <v>-171</v>
      </c>
      <c r="AK793" s="74">
        <f>tblData[[#This Row],[Gross Profit]]+tblData[[#This Row],[AP Spend]]+tblData[[#This Row],[Cost to Serve]]</f>
        <v>780</v>
      </c>
    </row>
    <row r="794" spans="2:37" x14ac:dyDescent="0.25">
      <c r="B794" s="71" t="s">
        <v>50</v>
      </c>
      <c r="C794" s="71">
        <v>2026</v>
      </c>
      <c r="D794" s="71">
        <v>9</v>
      </c>
      <c r="E794" s="71" t="s">
        <v>44</v>
      </c>
      <c r="F794" s="71" t="s">
        <v>41</v>
      </c>
      <c r="G794" s="72">
        <v>173.2</v>
      </c>
      <c r="H794" s="73">
        <v>1905</v>
      </c>
      <c r="I794" s="73">
        <v>-305</v>
      </c>
      <c r="J794" s="73">
        <v>-23</v>
      </c>
      <c r="K794" s="73">
        <v>-453</v>
      </c>
      <c r="L794" s="73">
        <v>-113</v>
      </c>
      <c r="M794" s="73">
        <v>-63</v>
      </c>
      <c r="N794" s="73">
        <v>-136</v>
      </c>
      <c r="O794" s="73">
        <v>-73</v>
      </c>
      <c r="P794" s="73">
        <v>-76</v>
      </c>
      <c r="Q794" s="73">
        <v>-57</v>
      </c>
      <c r="R794" s="73">
        <v>0</v>
      </c>
      <c r="S794" s="73">
        <v>0</v>
      </c>
      <c r="T794" s="73">
        <v>0</v>
      </c>
      <c r="U794" s="73">
        <v>0</v>
      </c>
      <c r="V794" s="73">
        <v>0</v>
      </c>
      <c r="W794" s="73">
        <v>0</v>
      </c>
      <c r="X794" s="73">
        <v>0</v>
      </c>
      <c r="Y794" s="73">
        <v>0</v>
      </c>
      <c r="Z794" s="73">
        <v>2422</v>
      </c>
      <c r="AA794" s="73">
        <v>1737</v>
      </c>
      <c r="AB794" s="73">
        <v>0</v>
      </c>
      <c r="AC794" s="73">
        <v>0</v>
      </c>
      <c r="AD794" s="73">
        <v>0</v>
      </c>
      <c r="AE794" s="73">
        <v>0</v>
      </c>
      <c r="AF794" s="74">
        <f>tblData[[#This Row],[Gross Sales]]+tblData[[#This Row],[Trade Discounts]]+tblData[[#This Row],[Returns]]</f>
        <v>1577</v>
      </c>
      <c r="AG794" s="74">
        <f>tblData[[#This Row],[Material Cost]]+tblData[[#This Row],[Conversion Cost]]+tblData[[#This Row],[Inbound Freight]]</f>
        <v>-629</v>
      </c>
      <c r="AH794" s="74">
        <f>tblData[[#This Row],[Net Revenue]]+tblData[[#This Row],[COGS]]</f>
        <v>948</v>
      </c>
      <c r="AI794" s="74">
        <f>tblData[[#This Row],[Advertising]]+tblData[[#This Row],[Promotions]]</f>
        <v>-209</v>
      </c>
      <c r="AJ794" s="74">
        <f>tblData[[#This Row],[Outbound Logistics]]+tblData[[#This Row],[Direct Selling]]</f>
        <v>-133</v>
      </c>
      <c r="AK794" s="74">
        <f>tblData[[#This Row],[Gross Profit]]+tblData[[#This Row],[AP Spend]]+tblData[[#This Row],[Cost to Serve]]</f>
        <v>606</v>
      </c>
    </row>
    <row r="795" spans="2:37" x14ac:dyDescent="0.25">
      <c r="B795" s="71" t="s">
        <v>50</v>
      </c>
      <c r="C795" s="71">
        <v>2026</v>
      </c>
      <c r="D795" s="71">
        <v>9</v>
      </c>
      <c r="E795" s="71" t="s">
        <v>44</v>
      </c>
      <c r="F795" s="71" t="s">
        <v>42</v>
      </c>
      <c r="G795" s="72">
        <v>226.8</v>
      </c>
      <c r="H795" s="73">
        <v>1361</v>
      </c>
      <c r="I795" s="73">
        <v>-218</v>
      </c>
      <c r="J795" s="73">
        <v>-16</v>
      </c>
      <c r="K795" s="73">
        <v>-431</v>
      </c>
      <c r="L795" s="73">
        <v>-108</v>
      </c>
      <c r="M795" s="73">
        <v>-60</v>
      </c>
      <c r="N795" s="73">
        <v>-27</v>
      </c>
      <c r="O795" s="73">
        <v>-14</v>
      </c>
      <c r="P795" s="73">
        <v>-54</v>
      </c>
      <c r="Q795" s="73">
        <v>-41</v>
      </c>
      <c r="R795" s="73">
        <v>0</v>
      </c>
      <c r="S795" s="73">
        <v>0</v>
      </c>
      <c r="T795" s="73">
        <v>0</v>
      </c>
      <c r="U795" s="73">
        <v>0</v>
      </c>
      <c r="V795" s="73">
        <v>0</v>
      </c>
      <c r="W795" s="73">
        <v>0</v>
      </c>
      <c r="X795" s="73">
        <v>0</v>
      </c>
      <c r="Y795" s="73">
        <v>0</v>
      </c>
      <c r="Z795" s="73">
        <v>1730</v>
      </c>
      <c r="AA795" s="73">
        <v>2022</v>
      </c>
      <c r="AB795" s="73">
        <v>0</v>
      </c>
      <c r="AC795" s="73">
        <v>0</v>
      </c>
      <c r="AD795" s="73">
        <v>0</v>
      </c>
      <c r="AE795" s="73">
        <v>0</v>
      </c>
      <c r="AF795" s="74">
        <f>tblData[[#This Row],[Gross Sales]]+tblData[[#This Row],[Trade Discounts]]+tblData[[#This Row],[Returns]]</f>
        <v>1127</v>
      </c>
      <c r="AG795" s="74">
        <f>tblData[[#This Row],[Material Cost]]+tblData[[#This Row],[Conversion Cost]]+tblData[[#This Row],[Inbound Freight]]</f>
        <v>-599</v>
      </c>
      <c r="AH795" s="74">
        <f>tblData[[#This Row],[Net Revenue]]+tblData[[#This Row],[COGS]]</f>
        <v>528</v>
      </c>
      <c r="AI795" s="74">
        <f>tblData[[#This Row],[Advertising]]+tblData[[#This Row],[Promotions]]</f>
        <v>-41</v>
      </c>
      <c r="AJ795" s="74">
        <f>tblData[[#This Row],[Outbound Logistics]]+tblData[[#This Row],[Direct Selling]]</f>
        <v>-95</v>
      </c>
      <c r="AK795" s="74">
        <f>tblData[[#This Row],[Gross Profit]]+tblData[[#This Row],[AP Spend]]+tblData[[#This Row],[Cost to Serve]]</f>
        <v>392</v>
      </c>
    </row>
    <row r="796" spans="2:37" x14ac:dyDescent="0.25">
      <c r="B796" s="71" t="s">
        <v>50</v>
      </c>
      <c r="C796" s="71">
        <v>2026</v>
      </c>
      <c r="D796" s="71">
        <v>9</v>
      </c>
      <c r="E796" s="71" t="s">
        <v>44</v>
      </c>
      <c r="F796" s="71" t="s">
        <v>43</v>
      </c>
      <c r="G796" s="72">
        <v>45.4</v>
      </c>
      <c r="H796" s="73">
        <v>816</v>
      </c>
      <c r="I796" s="73">
        <v>-131</v>
      </c>
      <c r="J796" s="73">
        <v>-10</v>
      </c>
      <c r="K796" s="73">
        <v>-223</v>
      </c>
      <c r="L796" s="73">
        <v>-56</v>
      </c>
      <c r="M796" s="73">
        <v>-31</v>
      </c>
      <c r="N796" s="73">
        <v>-74</v>
      </c>
      <c r="O796" s="73">
        <v>-40</v>
      </c>
      <c r="P796" s="73">
        <v>-33</v>
      </c>
      <c r="Q796" s="73">
        <v>-24</v>
      </c>
      <c r="R796" s="73">
        <v>0</v>
      </c>
      <c r="S796" s="73">
        <v>0</v>
      </c>
      <c r="T796" s="73">
        <v>0</v>
      </c>
      <c r="U796" s="73">
        <v>0</v>
      </c>
      <c r="V796" s="73">
        <v>0</v>
      </c>
      <c r="W796" s="73">
        <v>0</v>
      </c>
      <c r="X796" s="73">
        <v>0</v>
      </c>
      <c r="Y796" s="73">
        <v>0</v>
      </c>
      <c r="Z796" s="73">
        <v>1038</v>
      </c>
      <c r="AA796" s="73">
        <v>1143</v>
      </c>
      <c r="AB796" s="73">
        <v>0</v>
      </c>
      <c r="AC796" s="73">
        <v>0</v>
      </c>
      <c r="AD796" s="73">
        <v>0</v>
      </c>
      <c r="AE796" s="73">
        <v>0</v>
      </c>
      <c r="AF796" s="74">
        <f>tblData[[#This Row],[Gross Sales]]+tblData[[#This Row],[Trade Discounts]]+tblData[[#This Row],[Returns]]</f>
        <v>675</v>
      </c>
      <c r="AG796" s="74">
        <f>tblData[[#This Row],[Material Cost]]+tblData[[#This Row],[Conversion Cost]]+tblData[[#This Row],[Inbound Freight]]</f>
        <v>-310</v>
      </c>
      <c r="AH796" s="74">
        <f>tblData[[#This Row],[Net Revenue]]+tblData[[#This Row],[COGS]]</f>
        <v>365</v>
      </c>
      <c r="AI796" s="74">
        <f>tblData[[#This Row],[Advertising]]+tblData[[#This Row],[Promotions]]</f>
        <v>-114</v>
      </c>
      <c r="AJ796" s="74">
        <f>tblData[[#This Row],[Outbound Logistics]]+tblData[[#This Row],[Direct Selling]]</f>
        <v>-57</v>
      </c>
      <c r="AK796" s="74">
        <f>tblData[[#This Row],[Gross Profit]]+tblData[[#This Row],[AP Spend]]+tblData[[#This Row],[Cost to Serve]]</f>
        <v>194</v>
      </c>
    </row>
    <row r="797" spans="2:37" x14ac:dyDescent="0.25">
      <c r="B797" s="71" t="s">
        <v>50</v>
      </c>
      <c r="C797" s="71">
        <v>2026</v>
      </c>
      <c r="D797" s="71">
        <v>9</v>
      </c>
      <c r="E797" s="71" t="s">
        <v>45</v>
      </c>
      <c r="F797" s="71" t="s">
        <v>38</v>
      </c>
      <c r="G797" s="72">
        <v>158.80000000000001</v>
      </c>
      <c r="H797" s="73">
        <v>2223</v>
      </c>
      <c r="I797" s="73">
        <v>-489</v>
      </c>
      <c r="J797" s="73">
        <v>-22</v>
      </c>
      <c r="K797" s="73">
        <v>-480</v>
      </c>
      <c r="L797" s="73">
        <v>-120</v>
      </c>
      <c r="M797" s="73">
        <v>-67</v>
      </c>
      <c r="N797" s="73">
        <v>-130</v>
      </c>
      <c r="O797" s="73">
        <v>-70</v>
      </c>
      <c r="P797" s="73">
        <v>-78</v>
      </c>
      <c r="Q797" s="73">
        <v>-44</v>
      </c>
      <c r="R797" s="73">
        <v>0</v>
      </c>
      <c r="S797" s="73">
        <v>0</v>
      </c>
      <c r="T797" s="73">
        <v>0</v>
      </c>
      <c r="U797" s="73">
        <v>0</v>
      </c>
      <c r="V797" s="73">
        <v>0</v>
      </c>
      <c r="W797" s="73">
        <v>0</v>
      </c>
      <c r="X797" s="73">
        <v>0</v>
      </c>
      <c r="Y797" s="73">
        <v>0</v>
      </c>
      <c r="Z797" s="73">
        <v>2364</v>
      </c>
      <c r="AA797" s="73">
        <v>1945</v>
      </c>
      <c r="AB797" s="73">
        <v>0</v>
      </c>
      <c r="AC797" s="73">
        <v>0</v>
      </c>
      <c r="AD797" s="73">
        <v>0</v>
      </c>
      <c r="AE797" s="73">
        <v>0</v>
      </c>
      <c r="AF797" s="74">
        <f>tblData[[#This Row],[Gross Sales]]+tblData[[#This Row],[Trade Discounts]]+tblData[[#This Row],[Returns]]</f>
        <v>1712</v>
      </c>
      <c r="AG797" s="74">
        <f>tblData[[#This Row],[Material Cost]]+tblData[[#This Row],[Conversion Cost]]+tblData[[#This Row],[Inbound Freight]]</f>
        <v>-667</v>
      </c>
      <c r="AH797" s="74">
        <f>tblData[[#This Row],[Net Revenue]]+tblData[[#This Row],[COGS]]</f>
        <v>1045</v>
      </c>
      <c r="AI797" s="74">
        <f>tblData[[#This Row],[Advertising]]+tblData[[#This Row],[Promotions]]</f>
        <v>-200</v>
      </c>
      <c r="AJ797" s="74">
        <f>tblData[[#This Row],[Outbound Logistics]]+tblData[[#This Row],[Direct Selling]]</f>
        <v>-122</v>
      </c>
      <c r="AK797" s="74">
        <f>tblData[[#This Row],[Gross Profit]]+tblData[[#This Row],[AP Spend]]+tblData[[#This Row],[Cost to Serve]]</f>
        <v>723</v>
      </c>
    </row>
    <row r="798" spans="2:37" x14ac:dyDescent="0.25">
      <c r="B798" s="71" t="s">
        <v>50</v>
      </c>
      <c r="C798" s="71">
        <v>2026</v>
      </c>
      <c r="D798" s="71">
        <v>9</v>
      </c>
      <c r="E798" s="71" t="s">
        <v>45</v>
      </c>
      <c r="F798" s="71" t="s">
        <v>39</v>
      </c>
      <c r="G798" s="72">
        <v>211.7</v>
      </c>
      <c r="H798" s="73">
        <v>1905</v>
      </c>
      <c r="I798" s="73">
        <v>-419</v>
      </c>
      <c r="J798" s="73">
        <v>-19</v>
      </c>
      <c r="K798" s="73">
        <v>-494</v>
      </c>
      <c r="L798" s="73">
        <v>-123</v>
      </c>
      <c r="M798" s="73">
        <v>-69</v>
      </c>
      <c r="N798" s="73">
        <v>-74</v>
      </c>
      <c r="O798" s="73">
        <v>-40</v>
      </c>
      <c r="P798" s="73">
        <v>-67</v>
      </c>
      <c r="Q798" s="73">
        <v>-38</v>
      </c>
      <c r="R798" s="73">
        <v>0</v>
      </c>
      <c r="S798" s="73">
        <v>0</v>
      </c>
      <c r="T798" s="73">
        <v>0</v>
      </c>
      <c r="U798" s="73">
        <v>0</v>
      </c>
      <c r="V798" s="73">
        <v>0</v>
      </c>
      <c r="W798" s="73">
        <v>0</v>
      </c>
      <c r="X798" s="73">
        <v>0</v>
      </c>
      <c r="Y798" s="73">
        <v>0</v>
      </c>
      <c r="Z798" s="73">
        <v>2027</v>
      </c>
      <c r="AA798" s="73">
        <v>1685</v>
      </c>
      <c r="AB798" s="73">
        <v>0</v>
      </c>
      <c r="AC798" s="73">
        <v>0</v>
      </c>
      <c r="AD798" s="73">
        <v>0</v>
      </c>
      <c r="AE798" s="73">
        <v>0</v>
      </c>
      <c r="AF798" s="74">
        <f>tblData[[#This Row],[Gross Sales]]+tblData[[#This Row],[Trade Discounts]]+tblData[[#This Row],[Returns]]</f>
        <v>1467</v>
      </c>
      <c r="AG798" s="74">
        <f>tblData[[#This Row],[Material Cost]]+tblData[[#This Row],[Conversion Cost]]+tblData[[#This Row],[Inbound Freight]]</f>
        <v>-686</v>
      </c>
      <c r="AH798" s="74">
        <f>tblData[[#This Row],[Net Revenue]]+tblData[[#This Row],[COGS]]</f>
        <v>781</v>
      </c>
      <c r="AI798" s="74">
        <f>tblData[[#This Row],[Advertising]]+tblData[[#This Row],[Promotions]]</f>
        <v>-114</v>
      </c>
      <c r="AJ798" s="74">
        <f>tblData[[#This Row],[Outbound Logistics]]+tblData[[#This Row],[Direct Selling]]</f>
        <v>-105</v>
      </c>
      <c r="AK798" s="74">
        <f>tblData[[#This Row],[Gross Profit]]+tblData[[#This Row],[AP Spend]]+tblData[[#This Row],[Cost to Serve]]</f>
        <v>562</v>
      </c>
    </row>
    <row r="799" spans="2:37" x14ac:dyDescent="0.25">
      <c r="B799" s="71" t="s">
        <v>50</v>
      </c>
      <c r="C799" s="71">
        <v>2026</v>
      </c>
      <c r="D799" s="71">
        <v>9</v>
      </c>
      <c r="E799" s="71" t="s">
        <v>45</v>
      </c>
      <c r="F799" s="71" t="s">
        <v>40</v>
      </c>
      <c r="G799" s="72">
        <v>204.1</v>
      </c>
      <c r="H799" s="73">
        <v>1429</v>
      </c>
      <c r="I799" s="73">
        <v>-314</v>
      </c>
      <c r="J799" s="73">
        <v>-14</v>
      </c>
      <c r="K799" s="73">
        <v>-412</v>
      </c>
      <c r="L799" s="73">
        <v>-103</v>
      </c>
      <c r="M799" s="73">
        <v>-57</v>
      </c>
      <c r="N799" s="73">
        <v>-37</v>
      </c>
      <c r="O799" s="73">
        <v>-20</v>
      </c>
      <c r="P799" s="73">
        <v>-50</v>
      </c>
      <c r="Q799" s="73">
        <v>-29</v>
      </c>
      <c r="R799" s="73">
        <v>0</v>
      </c>
      <c r="S799" s="73">
        <v>0</v>
      </c>
      <c r="T799" s="73">
        <v>0</v>
      </c>
      <c r="U799" s="73">
        <v>0</v>
      </c>
      <c r="V799" s="73">
        <v>0</v>
      </c>
      <c r="W799" s="73">
        <v>0</v>
      </c>
      <c r="X799" s="73">
        <v>0</v>
      </c>
      <c r="Y799" s="73">
        <v>0</v>
      </c>
      <c r="Z799" s="73">
        <v>1520</v>
      </c>
      <c r="AA799" s="73">
        <v>1316</v>
      </c>
      <c r="AB799" s="73">
        <v>0</v>
      </c>
      <c r="AC799" s="73">
        <v>0</v>
      </c>
      <c r="AD799" s="73">
        <v>0</v>
      </c>
      <c r="AE799" s="73">
        <v>0</v>
      </c>
      <c r="AF799" s="74">
        <f>tblData[[#This Row],[Gross Sales]]+tblData[[#This Row],[Trade Discounts]]+tblData[[#This Row],[Returns]]</f>
        <v>1101</v>
      </c>
      <c r="AG799" s="74">
        <f>tblData[[#This Row],[Material Cost]]+tblData[[#This Row],[Conversion Cost]]+tblData[[#This Row],[Inbound Freight]]</f>
        <v>-572</v>
      </c>
      <c r="AH799" s="74">
        <f>tblData[[#This Row],[Net Revenue]]+tblData[[#This Row],[COGS]]</f>
        <v>529</v>
      </c>
      <c r="AI799" s="74">
        <f>tblData[[#This Row],[Advertising]]+tblData[[#This Row],[Promotions]]</f>
        <v>-57</v>
      </c>
      <c r="AJ799" s="74">
        <f>tblData[[#This Row],[Outbound Logistics]]+tblData[[#This Row],[Direct Selling]]</f>
        <v>-79</v>
      </c>
      <c r="AK799" s="74">
        <f>tblData[[#This Row],[Gross Profit]]+tblData[[#This Row],[AP Spend]]+tblData[[#This Row],[Cost to Serve]]</f>
        <v>393</v>
      </c>
    </row>
    <row r="800" spans="2:37" x14ac:dyDescent="0.25">
      <c r="B800" s="71" t="s">
        <v>50</v>
      </c>
      <c r="C800" s="71">
        <v>2026</v>
      </c>
      <c r="D800" s="71">
        <v>9</v>
      </c>
      <c r="E800" s="71" t="s">
        <v>45</v>
      </c>
      <c r="F800" s="71" t="s">
        <v>41</v>
      </c>
      <c r="G800" s="72">
        <v>101</v>
      </c>
      <c r="H800" s="73">
        <v>1111</v>
      </c>
      <c r="I800" s="73">
        <v>-244</v>
      </c>
      <c r="J800" s="73">
        <v>-11</v>
      </c>
      <c r="K800" s="73">
        <v>-264</v>
      </c>
      <c r="L800" s="73">
        <v>-66</v>
      </c>
      <c r="M800" s="73">
        <v>-37</v>
      </c>
      <c r="N800" s="73">
        <v>-79</v>
      </c>
      <c r="O800" s="73">
        <v>-43</v>
      </c>
      <c r="P800" s="73">
        <v>-39</v>
      </c>
      <c r="Q800" s="73">
        <v>-22</v>
      </c>
      <c r="R800" s="73">
        <v>0</v>
      </c>
      <c r="S800" s="73">
        <v>0</v>
      </c>
      <c r="T800" s="73">
        <v>0</v>
      </c>
      <c r="U800" s="73">
        <v>0</v>
      </c>
      <c r="V800" s="73">
        <v>0</v>
      </c>
      <c r="W800" s="73">
        <v>0</v>
      </c>
      <c r="X800" s="73">
        <v>0</v>
      </c>
      <c r="Y800" s="73">
        <v>0</v>
      </c>
      <c r="Z800" s="73">
        <v>1182</v>
      </c>
      <c r="AA800" s="73">
        <v>1013</v>
      </c>
      <c r="AB800" s="73">
        <v>0</v>
      </c>
      <c r="AC800" s="73">
        <v>0</v>
      </c>
      <c r="AD800" s="73">
        <v>0</v>
      </c>
      <c r="AE800" s="73">
        <v>0</v>
      </c>
      <c r="AF800" s="74">
        <f>tblData[[#This Row],[Gross Sales]]+tblData[[#This Row],[Trade Discounts]]+tblData[[#This Row],[Returns]]</f>
        <v>856</v>
      </c>
      <c r="AG800" s="74">
        <f>tblData[[#This Row],[Material Cost]]+tblData[[#This Row],[Conversion Cost]]+tblData[[#This Row],[Inbound Freight]]</f>
        <v>-367</v>
      </c>
      <c r="AH800" s="74">
        <f>tblData[[#This Row],[Net Revenue]]+tblData[[#This Row],[COGS]]</f>
        <v>489</v>
      </c>
      <c r="AI800" s="74">
        <f>tblData[[#This Row],[Advertising]]+tblData[[#This Row],[Promotions]]</f>
        <v>-122</v>
      </c>
      <c r="AJ800" s="74">
        <f>tblData[[#This Row],[Outbound Logistics]]+tblData[[#This Row],[Direct Selling]]</f>
        <v>-61</v>
      </c>
      <c r="AK800" s="74">
        <f>tblData[[#This Row],[Gross Profit]]+tblData[[#This Row],[AP Spend]]+tblData[[#This Row],[Cost to Serve]]</f>
        <v>306</v>
      </c>
    </row>
    <row r="801" spans="2:37" x14ac:dyDescent="0.25">
      <c r="B801" s="71" t="s">
        <v>50</v>
      </c>
      <c r="C801" s="71">
        <v>2026</v>
      </c>
      <c r="D801" s="71">
        <v>9</v>
      </c>
      <c r="E801" s="71" t="s">
        <v>45</v>
      </c>
      <c r="F801" s="71" t="s">
        <v>42</v>
      </c>
      <c r="G801" s="72">
        <v>132.30000000000001</v>
      </c>
      <c r="H801" s="73">
        <v>794</v>
      </c>
      <c r="I801" s="73">
        <v>-175</v>
      </c>
      <c r="J801" s="73">
        <v>-8</v>
      </c>
      <c r="K801" s="73">
        <v>-251</v>
      </c>
      <c r="L801" s="73">
        <v>-63</v>
      </c>
      <c r="M801" s="73">
        <v>-35</v>
      </c>
      <c r="N801" s="73">
        <v>-15</v>
      </c>
      <c r="O801" s="73">
        <v>-8</v>
      </c>
      <c r="P801" s="73">
        <v>-28</v>
      </c>
      <c r="Q801" s="73">
        <v>-16</v>
      </c>
      <c r="R801" s="73">
        <v>0</v>
      </c>
      <c r="S801" s="73">
        <v>0</v>
      </c>
      <c r="T801" s="73">
        <v>0</v>
      </c>
      <c r="U801" s="73">
        <v>0</v>
      </c>
      <c r="V801" s="73">
        <v>0</v>
      </c>
      <c r="W801" s="73">
        <v>0</v>
      </c>
      <c r="X801" s="73">
        <v>0</v>
      </c>
      <c r="Y801" s="73">
        <v>0</v>
      </c>
      <c r="Z801" s="73">
        <v>844</v>
      </c>
      <c r="AA801" s="73">
        <v>1180</v>
      </c>
      <c r="AB801" s="73">
        <v>0</v>
      </c>
      <c r="AC801" s="73">
        <v>0</v>
      </c>
      <c r="AD801" s="73">
        <v>0</v>
      </c>
      <c r="AE801" s="73">
        <v>0</v>
      </c>
      <c r="AF801" s="74">
        <f>tblData[[#This Row],[Gross Sales]]+tblData[[#This Row],[Trade Discounts]]+tblData[[#This Row],[Returns]]</f>
        <v>611</v>
      </c>
      <c r="AG801" s="74">
        <f>tblData[[#This Row],[Material Cost]]+tblData[[#This Row],[Conversion Cost]]+tblData[[#This Row],[Inbound Freight]]</f>
        <v>-349</v>
      </c>
      <c r="AH801" s="74">
        <f>tblData[[#This Row],[Net Revenue]]+tblData[[#This Row],[COGS]]</f>
        <v>262</v>
      </c>
      <c r="AI801" s="74">
        <f>tblData[[#This Row],[Advertising]]+tblData[[#This Row],[Promotions]]</f>
        <v>-23</v>
      </c>
      <c r="AJ801" s="74">
        <f>tblData[[#This Row],[Outbound Logistics]]+tblData[[#This Row],[Direct Selling]]</f>
        <v>-44</v>
      </c>
      <c r="AK801" s="74">
        <f>tblData[[#This Row],[Gross Profit]]+tblData[[#This Row],[AP Spend]]+tblData[[#This Row],[Cost to Serve]]</f>
        <v>195</v>
      </c>
    </row>
    <row r="802" spans="2:37" x14ac:dyDescent="0.25">
      <c r="B802" s="71" t="s">
        <v>50</v>
      </c>
      <c r="C802" s="71">
        <v>2026</v>
      </c>
      <c r="D802" s="71">
        <v>9</v>
      </c>
      <c r="E802" s="71" t="s">
        <v>45</v>
      </c>
      <c r="F802" s="71" t="s">
        <v>43</v>
      </c>
      <c r="G802" s="72">
        <v>26.5</v>
      </c>
      <c r="H802" s="73">
        <v>476</v>
      </c>
      <c r="I802" s="73">
        <v>-105</v>
      </c>
      <c r="J802" s="73">
        <v>-5</v>
      </c>
      <c r="K802" s="73">
        <v>-130</v>
      </c>
      <c r="L802" s="73">
        <v>-33</v>
      </c>
      <c r="M802" s="73">
        <v>-18</v>
      </c>
      <c r="N802" s="73">
        <v>-43</v>
      </c>
      <c r="O802" s="73">
        <v>-23</v>
      </c>
      <c r="P802" s="73">
        <v>-17</v>
      </c>
      <c r="Q802" s="73">
        <v>-10</v>
      </c>
      <c r="R802" s="73">
        <v>0</v>
      </c>
      <c r="S802" s="73">
        <v>0</v>
      </c>
      <c r="T802" s="73">
        <v>0</v>
      </c>
      <c r="U802" s="73">
        <v>0</v>
      </c>
      <c r="V802" s="73">
        <v>0</v>
      </c>
      <c r="W802" s="73">
        <v>0</v>
      </c>
      <c r="X802" s="73">
        <v>0</v>
      </c>
      <c r="Y802" s="73">
        <v>0</v>
      </c>
      <c r="Z802" s="73">
        <v>507</v>
      </c>
      <c r="AA802" s="73">
        <v>667</v>
      </c>
      <c r="AB802" s="73">
        <v>0</v>
      </c>
      <c r="AC802" s="73">
        <v>0</v>
      </c>
      <c r="AD802" s="73">
        <v>0</v>
      </c>
      <c r="AE802" s="73">
        <v>0</v>
      </c>
      <c r="AF802" s="74">
        <f>tblData[[#This Row],[Gross Sales]]+tblData[[#This Row],[Trade Discounts]]+tblData[[#This Row],[Returns]]</f>
        <v>366</v>
      </c>
      <c r="AG802" s="74">
        <f>tblData[[#This Row],[Material Cost]]+tblData[[#This Row],[Conversion Cost]]+tblData[[#This Row],[Inbound Freight]]</f>
        <v>-181</v>
      </c>
      <c r="AH802" s="74">
        <f>tblData[[#This Row],[Net Revenue]]+tblData[[#This Row],[COGS]]</f>
        <v>185</v>
      </c>
      <c r="AI802" s="74">
        <f>tblData[[#This Row],[Advertising]]+tblData[[#This Row],[Promotions]]</f>
        <v>-66</v>
      </c>
      <c r="AJ802" s="74">
        <f>tblData[[#This Row],[Outbound Logistics]]+tblData[[#This Row],[Direct Selling]]</f>
        <v>-27</v>
      </c>
      <c r="AK802" s="74">
        <f>tblData[[#This Row],[Gross Profit]]+tblData[[#This Row],[AP Spend]]+tblData[[#This Row],[Cost to Serve]]</f>
        <v>92</v>
      </c>
    </row>
    <row r="803" spans="2:37" x14ac:dyDescent="0.25">
      <c r="B803" s="71" t="s">
        <v>50</v>
      </c>
      <c r="C803" s="71">
        <v>2026</v>
      </c>
      <c r="D803" s="71">
        <v>9</v>
      </c>
      <c r="E803" s="71" t="s">
        <v>46</v>
      </c>
      <c r="F803" s="71" t="s">
        <v>38</v>
      </c>
      <c r="G803" s="72">
        <v>181.4</v>
      </c>
      <c r="H803" s="73">
        <v>2540</v>
      </c>
      <c r="I803" s="73">
        <v>-279</v>
      </c>
      <c r="J803" s="73">
        <v>-102</v>
      </c>
      <c r="K803" s="73">
        <v>-549</v>
      </c>
      <c r="L803" s="73">
        <v>-137</v>
      </c>
      <c r="M803" s="73">
        <v>-76</v>
      </c>
      <c r="N803" s="73">
        <v>-149</v>
      </c>
      <c r="O803" s="73">
        <v>-80</v>
      </c>
      <c r="P803" s="73">
        <v>-191</v>
      </c>
      <c r="Q803" s="73">
        <v>-51</v>
      </c>
      <c r="R803" s="73">
        <v>0</v>
      </c>
      <c r="S803" s="73">
        <v>0</v>
      </c>
      <c r="T803" s="73">
        <v>0</v>
      </c>
      <c r="U803" s="73">
        <v>0</v>
      </c>
      <c r="V803" s="73">
        <v>0</v>
      </c>
      <c r="W803" s="73">
        <v>0</v>
      </c>
      <c r="X803" s="73">
        <v>0</v>
      </c>
      <c r="Y803" s="73">
        <v>0</v>
      </c>
      <c r="Z803" s="73">
        <v>1657</v>
      </c>
      <c r="AA803" s="73">
        <v>2223</v>
      </c>
      <c r="AB803" s="73">
        <v>0</v>
      </c>
      <c r="AC803" s="73">
        <v>0</v>
      </c>
      <c r="AD803" s="73">
        <v>0</v>
      </c>
      <c r="AE803" s="73">
        <v>0</v>
      </c>
      <c r="AF803" s="74">
        <f>tblData[[#This Row],[Gross Sales]]+tblData[[#This Row],[Trade Discounts]]+tblData[[#This Row],[Returns]]</f>
        <v>2159</v>
      </c>
      <c r="AG803" s="74">
        <f>tblData[[#This Row],[Material Cost]]+tblData[[#This Row],[Conversion Cost]]+tblData[[#This Row],[Inbound Freight]]</f>
        <v>-762</v>
      </c>
      <c r="AH803" s="74">
        <f>tblData[[#This Row],[Net Revenue]]+tblData[[#This Row],[COGS]]</f>
        <v>1397</v>
      </c>
      <c r="AI803" s="74">
        <f>tblData[[#This Row],[Advertising]]+tblData[[#This Row],[Promotions]]</f>
        <v>-229</v>
      </c>
      <c r="AJ803" s="74">
        <f>tblData[[#This Row],[Outbound Logistics]]+tblData[[#This Row],[Direct Selling]]</f>
        <v>-242</v>
      </c>
      <c r="AK803" s="74">
        <f>tblData[[#This Row],[Gross Profit]]+tblData[[#This Row],[AP Spend]]+tblData[[#This Row],[Cost to Serve]]</f>
        <v>926</v>
      </c>
    </row>
    <row r="804" spans="2:37" x14ac:dyDescent="0.25">
      <c r="B804" s="71" t="s">
        <v>50</v>
      </c>
      <c r="C804" s="71">
        <v>2026</v>
      </c>
      <c r="D804" s="71">
        <v>9</v>
      </c>
      <c r="E804" s="71" t="s">
        <v>46</v>
      </c>
      <c r="F804" s="71" t="s">
        <v>39</v>
      </c>
      <c r="G804" s="72">
        <v>241.9</v>
      </c>
      <c r="H804" s="73">
        <v>2177</v>
      </c>
      <c r="I804" s="73">
        <v>-240</v>
      </c>
      <c r="J804" s="73">
        <v>-87</v>
      </c>
      <c r="K804" s="73">
        <v>-564</v>
      </c>
      <c r="L804" s="73">
        <v>-141</v>
      </c>
      <c r="M804" s="73">
        <v>-78</v>
      </c>
      <c r="N804" s="73">
        <v>-85</v>
      </c>
      <c r="O804" s="73">
        <v>-46</v>
      </c>
      <c r="P804" s="73">
        <v>-163</v>
      </c>
      <c r="Q804" s="73">
        <v>-44</v>
      </c>
      <c r="R804" s="73">
        <v>0</v>
      </c>
      <c r="S804" s="73">
        <v>0</v>
      </c>
      <c r="T804" s="73">
        <v>0</v>
      </c>
      <c r="U804" s="73">
        <v>0</v>
      </c>
      <c r="V804" s="73">
        <v>0</v>
      </c>
      <c r="W804" s="73">
        <v>0</v>
      </c>
      <c r="X804" s="73">
        <v>0</v>
      </c>
      <c r="Y804" s="73">
        <v>0</v>
      </c>
      <c r="Z804" s="73">
        <v>1420</v>
      </c>
      <c r="AA804" s="73">
        <v>1925</v>
      </c>
      <c r="AB804" s="73">
        <v>0</v>
      </c>
      <c r="AC804" s="73">
        <v>0</v>
      </c>
      <c r="AD804" s="73">
        <v>0</v>
      </c>
      <c r="AE804" s="73">
        <v>0</v>
      </c>
      <c r="AF804" s="74">
        <f>tblData[[#This Row],[Gross Sales]]+tblData[[#This Row],[Trade Discounts]]+tblData[[#This Row],[Returns]]</f>
        <v>1850</v>
      </c>
      <c r="AG804" s="74">
        <f>tblData[[#This Row],[Material Cost]]+tblData[[#This Row],[Conversion Cost]]+tblData[[#This Row],[Inbound Freight]]</f>
        <v>-783</v>
      </c>
      <c r="AH804" s="74">
        <f>tblData[[#This Row],[Net Revenue]]+tblData[[#This Row],[COGS]]</f>
        <v>1067</v>
      </c>
      <c r="AI804" s="74">
        <f>tblData[[#This Row],[Advertising]]+tblData[[#This Row],[Promotions]]</f>
        <v>-131</v>
      </c>
      <c r="AJ804" s="74">
        <f>tblData[[#This Row],[Outbound Logistics]]+tblData[[#This Row],[Direct Selling]]</f>
        <v>-207</v>
      </c>
      <c r="AK804" s="74">
        <f>tblData[[#This Row],[Gross Profit]]+tblData[[#This Row],[AP Spend]]+tblData[[#This Row],[Cost to Serve]]</f>
        <v>729</v>
      </c>
    </row>
    <row r="805" spans="2:37" x14ac:dyDescent="0.25">
      <c r="B805" s="71" t="s">
        <v>50</v>
      </c>
      <c r="C805" s="71">
        <v>2026</v>
      </c>
      <c r="D805" s="71">
        <v>9</v>
      </c>
      <c r="E805" s="71" t="s">
        <v>46</v>
      </c>
      <c r="F805" s="71" t="s">
        <v>40</v>
      </c>
      <c r="G805" s="72">
        <v>233.3</v>
      </c>
      <c r="H805" s="73">
        <v>1633</v>
      </c>
      <c r="I805" s="73">
        <v>-180</v>
      </c>
      <c r="J805" s="73">
        <v>-65</v>
      </c>
      <c r="K805" s="73">
        <v>-470</v>
      </c>
      <c r="L805" s="73">
        <v>-118</v>
      </c>
      <c r="M805" s="73">
        <v>-65</v>
      </c>
      <c r="N805" s="73">
        <v>-42</v>
      </c>
      <c r="O805" s="73">
        <v>-23</v>
      </c>
      <c r="P805" s="73">
        <v>-122</v>
      </c>
      <c r="Q805" s="73">
        <v>-33</v>
      </c>
      <c r="R805" s="73">
        <v>0</v>
      </c>
      <c r="S805" s="73">
        <v>0</v>
      </c>
      <c r="T805" s="73">
        <v>0</v>
      </c>
      <c r="U805" s="73">
        <v>0</v>
      </c>
      <c r="V805" s="73">
        <v>0</v>
      </c>
      <c r="W805" s="73">
        <v>0</v>
      </c>
      <c r="X805" s="73">
        <v>0</v>
      </c>
      <c r="Y805" s="73">
        <v>0</v>
      </c>
      <c r="Z805" s="73">
        <v>1065</v>
      </c>
      <c r="AA805" s="73">
        <v>1504</v>
      </c>
      <c r="AB805" s="73">
        <v>0</v>
      </c>
      <c r="AC805" s="73">
        <v>0</v>
      </c>
      <c r="AD805" s="73">
        <v>0</v>
      </c>
      <c r="AE805" s="73">
        <v>0</v>
      </c>
      <c r="AF805" s="74">
        <f>tblData[[#This Row],[Gross Sales]]+tblData[[#This Row],[Trade Discounts]]+tblData[[#This Row],[Returns]]</f>
        <v>1388</v>
      </c>
      <c r="AG805" s="74">
        <f>tblData[[#This Row],[Material Cost]]+tblData[[#This Row],[Conversion Cost]]+tblData[[#This Row],[Inbound Freight]]</f>
        <v>-653</v>
      </c>
      <c r="AH805" s="74">
        <f>tblData[[#This Row],[Net Revenue]]+tblData[[#This Row],[COGS]]</f>
        <v>735</v>
      </c>
      <c r="AI805" s="74">
        <f>tblData[[#This Row],[Advertising]]+tblData[[#This Row],[Promotions]]</f>
        <v>-65</v>
      </c>
      <c r="AJ805" s="74">
        <f>tblData[[#This Row],[Outbound Logistics]]+tblData[[#This Row],[Direct Selling]]</f>
        <v>-155</v>
      </c>
      <c r="AK805" s="74">
        <f>tblData[[#This Row],[Gross Profit]]+tblData[[#This Row],[AP Spend]]+tblData[[#This Row],[Cost to Serve]]</f>
        <v>515</v>
      </c>
    </row>
    <row r="806" spans="2:37" x14ac:dyDescent="0.25">
      <c r="B806" s="71" t="s">
        <v>50</v>
      </c>
      <c r="C806" s="71">
        <v>2026</v>
      </c>
      <c r="D806" s="71">
        <v>9</v>
      </c>
      <c r="E806" s="71" t="s">
        <v>46</v>
      </c>
      <c r="F806" s="71" t="s">
        <v>41</v>
      </c>
      <c r="G806" s="72">
        <v>115.5</v>
      </c>
      <c r="H806" s="73">
        <v>1270</v>
      </c>
      <c r="I806" s="73">
        <v>-140</v>
      </c>
      <c r="J806" s="73">
        <v>-51</v>
      </c>
      <c r="K806" s="73">
        <v>-302</v>
      </c>
      <c r="L806" s="73">
        <v>-75</v>
      </c>
      <c r="M806" s="73">
        <v>-42</v>
      </c>
      <c r="N806" s="73">
        <v>-91</v>
      </c>
      <c r="O806" s="73">
        <v>-49</v>
      </c>
      <c r="P806" s="73">
        <v>-95</v>
      </c>
      <c r="Q806" s="73">
        <v>-25</v>
      </c>
      <c r="R806" s="73">
        <v>0</v>
      </c>
      <c r="S806" s="73">
        <v>0</v>
      </c>
      <c r="T806" s="73">
        <v>0</v>
      </c>
      <c r="U806" s="73">
        <v>0</v>
      </c>
      <c r="V806" s="73">
        <v>0</v>
      </c>
      <c r="W806" s="73">
        <v>0</v>
      </c>
      <c r="X806" s="73">
        <v>0</v>
      </c>
      <c r="Y806" s="73">
        <v>0</v>
      </c>
      <c r="Z806" s="73">
        <v>829</v>
      </c>
      <c r="AA806" s="73">
        <v>1158</v>
      </c>
      <c r="AB806" s="73">
        <v>0</v>
      </c>
      <c r="AC806" s="73">
        <v>0</v>
      </c>
      <c r="AD806" s="73">
        <v>0</v>
      </c>
      <c r="AE806" s="73">
        <v>0</v>
      </c>
      <c r="AF806" s="74">
        <f>tblData[[#This Row],[Gross Sales]]+tblData[[#This Row],[Trade Discounts]]+tblData[[#This Row],[Returns]]</f>
        <v>1079</v>
      </c>
      <c r="AG806" s="74">
        <f>tblData[[#This Row],[Material Cost]]+tblData[[#This Row],[Conversion Cost]]+tblData[[#This Row],[Inbound Freight]]</f>
        <v>-419</v>
      </c>
      <c r="AH806" s="74">
        <f>tblData[[#This Row],[Net Revenue]]+tblData[[#This Row],[COGS]]</f>
        <v>660</v>
      </c>
      <c r="AI806" s="74">
        <f>tblData[[#This Row],[Advertising]]+tblData[[#This Row],[Promotions]]</f>
        <v>-140</v>
      </c>
      <c r="AJ806" s="74">
        <f>tblData[[#This Row],[Outbound Logistics]]+tblData[[#This Row],[Direct Selling]]</f>
        <v>-120</v>
      </c>
      <c r="AK806" s="74">
        <f>tblData[[#This Row],[Gross Profit]]+tblData[[#This Row],[AP Spend]]+tblData[[#This Row],[Cost to Serve]]</f>
        <v>400</v>
      </c>
    </row>
    <row r="807" spans="2:37" x14ac:dyDescent="0.25">
      <c r="B807" s="71" t="s">
        <v>50</v>
      </c>
      <c r="C807" s="71">
        <v>2026</v>
      </c>
      <c r="D807" s="71">
        <v>9</v>
      </c>
      <c r="E807" s="71" t="s">
        <v>46</v>
      </c>
      <c r="F807" s="71" t="s">
        <v>42</v>
      </c>
      <c r="G807" s="72">
        <v>151.19999999999999</v>
      </c>
      <c r="H807" s="73">
        <v>907</v>
      </c>
      <c r="I807" s="73">
        <v>-100</v>
      </c>
      <c r="J807" s="73">
        <v>-36</v>
      </c>
      <c r="K807" s="73">
        <v>-287</v>
      </c>
      <c r="L807" s="73">
        <v>-72</v>
      </c>
      <c r="M807" s="73">
        <v>-40</v>
      </c>
      <c r="N807" s="73">
        <v>-18</v>
      </c>
      <c r="O807" s="73">
        <v>-10</v>
      </c>
      <c r="P807" s="73">
        <v>-68</v>
      </c>
      <c r="Q807" s="73">
        <v>-18</v>
      </c>
      <c r="R807" s="73">
        <v>0</v>
      </c>
      <c r="S807" s="73">
        <v>0</v>
      </c>
      <c r="T807" s="73">
        <v>0</v>
      </c>
      <c r="U807" s="73">
        <v>0</v>
      </c>
      <c r="V807" s="73">
        <v>0</v>
      </c>
      <c r="W807" s="73">
        <v>0</v>
      </c>
      <c r="X807" s="73">
        <v>0</v>
      </c>
      <c r="Y807" s="73">
        <v>0</v>
      </c>
      <c r="Z807" s="73">
        <v>592</v>
      </c>
      <c r="AA807" s="73">
        <v>1348</v>
      </c>
      <c r="AB807" s="73">
        <v>0</v>
      </c>
      <c r="AC807" s="73">
        <v>0</v>
      </c>
      <c r="AD807" s="73">
        <v>0</v>
      </c>
      <c r="AE807" s="73">
        <v>0</v>
      </c>
      <c r="AF807" s="74">
        <f>tblData[[#This Row],[Gross Sales]]+tblData[[#This Row],[Trade Discounts]]+tblData[[#This Row],[Returns]]</f>
        <v>771</v>
      </c>
      <c r="AG807" s="74">
        <f>tblData[[#This Row],[Material Cost]]+tblData[[#This Row],[Conversion Cost]]+tblData[[#This Row],[Inbound Freight]]</f>
        <v>-399</v>
      </c>
      <c r="AH807" s="74">
        <f>tblData[[#This Row],[Net Revenue]]+tblData[[#This Row],[COGS]]</f>
        <v>372</v>
      </c>
      <c r="AI807" s="74">
        <f>tblData[[#This Row],[Advertising]]+tblData[[#This Row],[Promotions]]</f>
        <v>-28</v>
      </c>
      <c r="AJ807" s="74">
        <f>tblData[[#This Row],[Outbound Logistics]]+tblData[[#This Row],[Direct Selling]]</f>
        <v>-86</v>
      </c>
      <c r="AK807" s="74">
        <f>tblData[[#This Row],[Gross Profit]]+tblData[[#This Row],[AP Spend]]+tblData[[#This Row],[Cost to Serve]]</f>
        <v>258</v>
      </c>
    </row>
    <row r="808" spans="2:37" x14ac:dyDescent="0.25">
      <c r="B808" s="71" t="s">
        <v>50</v>
      </c>
      <c r="C808" s="71">
        <v>2026</v>
      </c>
      <c r="D808" s="71">
        <v>9</v>
      </c>
      <c r="E808" s="71" t="s">
        <v>46</v>
      </c>
      <c r="F808" s="71" t="s">
        <v>43</v>
      </c>
      <c r="G808" s="72">
        <v>30.2</v>
      </c>
      <c r="H808" s="73">
        <v>544</v>
      </c>
      <c r="I808" s="73">
        <v>-60</v>
      </c>
      <c r="J808" s="73">
        <v>-22</v>
      </c>
      <c r="K808" s="73">
        <v>-149</v>
      </c>
      <c r="L808" s="73">
        <v>-37</v>
      </c>
      <c r="M808" s="73">
        <v>-21</v>
      </c>
      <c r="N808" s="73">
        <v>-50</v>
      </c>
      <c r="O808" s="73">
        <v>-27</v>
      </c>
      <c r="P808" s="73">
        <v>-41</v>
      </c>
      <c r="Q808" s="73">
        <v>-11</v>
      </c>
      <c r="R808" s="73">
        <v>0</v>
      </c>
      <c r="S808" s="73">
        <v>0</v>
      </c>
      <c r="T808" s="73">
        <v>0</v>
      </c>
      <c r="U808" s="73">
        <v>0</v>
      </c>
      <c r="V808" s="73">
        <v>0</v>
      </c>
      <c r="W808" s="73">
        <v>0</v>
      </c>
      <c r="X808" s="73">
        <v>0</v>
      </c>
      <c r="Y808" s="73">
        <v>0</v>
      </c>
      <c r="Z808" s="73">
        <v>355</v>
      </c>
      <c r="AA808" s="73">
        <v>762</v>
      </c>
      <c r="AB808" s="73">
        <v>0</v>
      </c>
      <c r="AC808" s="73">
        <v>0</v>
      </c>
      <c r="AD808" s="73">
        <v>0</v>
      </c>
      <c r="AE808" s="73">
        <v>0</v>
      </c>
      <c r="AF808" s="74">
        <f>tblData[[#This Row],[Gross Sales]]+tblData[[#This Row],[Trade Discounts]]+tblData[[#This Row],[Returns]]</f>
        <v>462</v>
      </c>
      <c r="AG808" s="74">
        <f>tblData[[#This Row],[Material Cost]]+tblData[[#This Row],[Conversion Cost]]+tblData[[#This Row],[Inbound Freight]]</f>
        <v>-207</v>
      </c>
      <c r="AH808" s="74">
        <f>tblData[[#This Row],[Net Revenue]]+tblData[[#This Row],[COGS]]</f>
        <v>255</v>
      </c>
      <c r="AI808" s="74">
        <f>tblData[[#This Row],[Advertising]]+tblData[[#This Row],[Promotions]]</f>
        <v>-77</v>
      </c>
      <c r="AJ808" s="74">
        <f>tblData[[#This Row],[Outbound Logistics]]+tblData[[#This Row],[Direct Selling]]</f>
        <v>-52</v>
      </c>
      <c r="AK808" s="74">
        <f>tblData[[#This Row],[Gross Profit]]+tblData[[#This Row],[AP Spend]]+tblData[[#This Row],[Cost to Serve]]</f>
        <v>126</v>
      </c>
    </row>
    <row r="809" spans="2:37" x14ac:dyDescent="0.25">
      <c r="B809" s="71" t="s">
        <v>50</v>
      </c>
      <c r="C809" s="71">
        <v>2026</v>
      </c>
      <c r="D809" s="71">
        <v>9</v>
      </c>
      <c r="E809" s="71" t="s">
        <v>47</v>
      </c>
      <c r="F809" s="71" t="s">
        <v>38</v>
      </c>
      <c r="G809" s="72">
        <v>68</v>
      </c>
      <c r="H809" s="73">
        <v>953</v>
      </c>
      <c r="I809" s="73">
        <v>-29</v>
      </c>
      <c r="J809" s="73">
        <v>-48</v>
      </c>
      <c r="K809" s="73">
        <v>-206</v>
      </c>
      <c r="L809" s="73">
        <v>-51</v>
      </c>
      <c r="M809" s="73">
        <v>-29</v>
      </c>
      <c r="N809" s="73">
        <v>-56</v>
      </c>
      <c r="O809" s="73">
        <v>-30</v>
      </c>
      <c r="P809" s="73">
        <v>-114</v>
      </c>
      <c r="Q809" s="73">
        <v>-38</v>
      </c>
      <c r="R809" s="73">
        <v>0</v>
      </c>
      <c r="S809" s="73">
        <v>0</v>
      </c>
      <c r="T809" s="73">
        <v>0</v>
      </c>
      <c r="U809" s="73">
        <v>0</v>
      </c>
      <c r="V809" s="73">
        <v>0</v>
      </c>
      <c r="W809" s="73">
        <v>0</v>
      </c>
      <c r="X809" s="73">
        <v>0</v>
      </c>
      <c r="Y809" s="73">
        <v>0</v>
      </c>
      <c r="Z809" s="73">
        <v>81</v>
      </c>
      <c r="AA809" s="73">
        <v>833</v>
      </c>
      <c r="AB809" s="73">
        <v>0</v>
      </c>
      <c r="AC809" s="73">
        <v>0</v>
      </c>
      <c r="AD809" s="73">
        <v>0</v>
      </c>
      <c r="AE809" s="73">
        <v>0</v>
      </c>
      <c r="AF809" s="74">
        <f>tblData[[#This Row],[Gross Sales]]+tblData[[#This Row],[Trade Discounts]]+tblData[[#This Row],[Returns]]</f>
        <v>876</v>
      </c>
      <c r="AG809" s="74">
        <f>tblData[[#This Row],[Material Cost]]+tblData[[#This Row],[Conversion Cost]]+tblData[[#This Row],[Inbound Freight]]</f>
        <v>-286</v>
      </c>
      <c r="AH809" s="74">
        <f>tblData[[#This Row],[Net Revenue]]+tblData[[#This Row],[COGS]]</f>
        <v>590</v>
      </c>
      <c r="AI809" s="74">
        <f>tblData[[#This Row],[Advertising]]+tblData[[#This Row],[Promotions]]</f>
        <v>-86</v>
      </c>
      <c r="AJ809" s="74">
        <f>tblData[[#This Row],[Outbound Logistics]]+tblData[[#This Row],[Direct Selling]]</f>
        <v>-152</v>
      </c>
      <c r="AK809" s="74">
        <f>tblData[[#This Row],[Gross Profit]]+tblData[[#This Row],[AP Spend]]+tblData[[#This Row],[Cost to Serve]]</f>
        <v>352</v>
      </c>
    </row>
    <row r="810" spans="2:37" x14ac:dyDescent="0.25">
      <c r="B810" s="71" t="s">
        <v>50</v>
      </c>
      <c r="C810" s="71">
        <v>2026</v>
      </c>
      <c r="D810" s="71">
        <v>9</v>
      </c>
      <c r="E810" s="71" t="s">
        <v>47</v>
      </c>
      <c r="F810" s="71" t="s">
        <v>39</v>
      </c>
      <c r="G810" s="72">
        <v>90.7</v>
      </c>
      <c r="H810" s="73">
        <v>816</v>
      </c>
      <c r="I810" s="73">
        <v>-24</v>
      </c>
      <c r="J810" s="73">
        <v>-41</v>
      </c>
      <c r="K810" s="73">
        <v>-212</v>
      </c>
      <c r="L810" s="73">
        <v>-53</v>
      </c>
      <c r="M810" s="73">
        <v>-29</v>
      </c>
      <c r="N810" s="73">
        <v>-32</v>
      </c>
      <c r="O810" s="73">
        <v>-17</v>
      </c>
      <c r="P810" s="73">
        <v>-98</v>
      </c>
      <c r="Q810" s="73">
        <v>-33</v>
      </c>
      <c r="R810" s="73">
        <v>0</v>
      </c>
      <c r="S810" s="73">
        <v>0</v>
      </c>
      <c r="T810" s="73">
        <v>0</v>
      </c>
      <c r="U810" s="73">
        <v>0</v>
      </c>
      <c r="V810" s="73">
        <v>0</v>
      </c>
      <c r="W810" s="73">
        <v>0</v>
      </c>
      <c r="X810" s="73">
        <v>0</v>
      </c>
      <c r="Y810" s="73">
        <v>0</v>
      </c>
      <c r="Z810" s="73">
        <v>69</v>
      </c>
      <c r="AA810" s="73">
        <v>722</v>
      </c>
      <c r="AB810" s="73">
        <v>0</v>
      </c>
      <c r="AC810" s="73">
        <v>0</v>
      </c>
      <c r="AD810" s="73">
        <v>0</v>
      </c>
      <c r="AE810" s="73">
        <v>0</v>
      </c>
      <c r="AF810" s="74">
        <f>tblData[[#This Row],[Gross Sales]]+tblData[[#This Row],[Trade Discounts]]+tblData[[#This Row],[Returns]]</f>
        <v>751</v>
      </c>
      <c r="AG810" s="74">
        <f>tblData[[#This Row],[Material Cost]]+tblData[[#This Row],[Conversion Cost]]+tblData[[#This Row],[Inbound Freight]]</f>
        <v>-294</v>
      </c>
      <c r="AH810" s="74">
        <f>tblData[[#This Row],[Net Revenue]]+tblData[[#This Row],[COGS]]</f>
        <v>457</v>
      </c>
      <c r="AI810" s="74">
        <f>tblData[[#This Row],[Advertising]]+tblData[[#This Row],[Promotions]]</f>
        <v>-49</v>
      </c>
      <c r="AJ810" s="74">
        <f>tblData[[#This Row],[Outbound Logistics]]+tblData[[#This Row],[Direct Selling]]</f>
        <v>-131</v>
      </c>
      <c r="AK810" s="74">
        <f>tblData[[#This Row],[Gross Profit]]+tblData[[#This Row],[AP Spend]]+tblData[[#This Row],[Cost to Serve]]</f>
        <v>277</v>
      </c>
    </row>
    <row r="811" spans="2:37" x14ac:dyDescent="0.25">
      <c r="B811" s="71" t="s">
        <v>50</v>
      </c>
      <c r="C811" s="71">
        <v>2026</v>
      </c>
      <c r="D811" s="71">
        <v>9</v>
      </c>
      <c r="E811" s="71" t="s">
        <v>47</v>
      </c>
      <c r="F811" s="71" t="s">
        <v>40</v>
      </c>
      <c r="G811" s="72">
        <v>87.5</v>
      </c>
      <c r="H811" s="73">
        <v>612</v>
      </c>
      <c r="I811" s="73">
        <v>-18</v>
      </c>
      <c r="J811" s="73">
        <v>-31</v>
      </c>
      <c r="K811" s="73">
        <v>-176</v>
      </c>
      <c r="L811" s="73">
        <v>-44</v>
      </c>
      <c r="M811" s="73">
        <v>-24</v>
      </c>
      <c r="N811" s="73">
        <v>-16</v>
      </c>
      <c r="O811" s="73">
        <v>-9</v>
      </c>
      <c r="P811" s="73">
        <v>-73</v>
      </c>
      <c r="Q811" s="73">
        <v>-24</v>
      </c>
      <c r="R811" s="73">
        <v>0</v>
      </c>
      <c r="S811" s="73">
        <v>0</v>
      </c>
      <c r="T811" s="73">
        <v>0</v>
      </c>
      <c r="U811" s="73">
        <v>0</v>
      </c>
      <c r="V811" s="73">
        <v>0</v>
      </c>
      <c r="W811" s="73">
        <v>0</v>
      </c>
      <c r="X811" s="73">
        <v>0</v>
      </c>
      <c r="Y811" s="73">
        <v>0</v>
      </c>
      <c r="Z811" s="73">
        <v>52</v>
      </c>
      <c r="AA811" s="73">
        <v>564</v>
      </c>
      <c r="AB811" s="73">
        <v>0</v>
      </c>
      <c r="AC811" s="73">
        <v>0</v>
      </c>
      <c r="AD811" s="73">
        <v>0</v>
      </c>
      <c r="AE811" s="73">
        <v>0</v>
      </c>
      <c r="AF811" s="74">
        <f>tblData[[#This Row],[Gross Sales]]+tblData[[#This Row],[Trade Discounts]]+tblData[[#This Row],[Returns]]</f>
        <v>563</v>
      </c>
      <c r="AG811" s="74">
        <f>tblData[[#This Row],[Material Cost]]+tblData[[#This Row],[Conversion Cost]]+tblData[[#This Row],[Inbound Freight]]</f>
        <v>-244</v>
      </c>
      <c r="AH811" s="74">
        <f>tblData[[#This Row],[Net Revenue]]+tblData[[#This Row],[COGS]]</f>
        <v>319</v>
      </c>
      <c r="AI811" s="74">
        <f>tblData[[#This Row],[Advertising]]+tblData[[#This Row],[Promotions]]</f>
        <v>-25</v>
      </c>
      <c r="AJ811" s="74">
        <f>tblData[[#This Row],[Outbound Logistics]]+tblData[[#This Row],[Direct Selling]]</f>
        <v>-97</v>
      </c>
      <c r="AK811" s="74">
        <f>tblData[[#This Row],[Gross Profit]]+tblData[[#This Row],[AP Spend]]+tblData[[#This Row],[Cost to Serve]]</f>
        <v>197</v>
      </c>
    </row>
    <row r="812" spans="2:37" x14ac:dyDescent="0.25">
      <c r="B812" s="71" t="s">
        <v>50</v>
      </c>
      <c r="C812" s="71">
        <v>2026</v>
      </c>
      <c r="D812" s="71">
        <v>9</v>
      </c>
      <c r="E812" s="71" t="s">
        <v>47</v>
      </c>
      <c r="F812" s="71" t="s">
        <v>41</v>
      </c>
      <c r="G812" s="72">
        <v>43.3</v>
      </c>
      <c r="H812" s="73">
        <v>476</v>
      </c>
      <c r="I812" s="73">
        <v>-14</v>
      </c>
      <c r="J812" s="73">
        <v>-24</v>
      </c>
      <c r="K812" s="73">
        <v>-113</v>
      </c>
      <c r="L812" s="73">
        <v>-28</v>
      </c>
      <c r="M812" s="73">
        <v>-16</v>
      </c>
      <c r="N812" s="73">
        <v>-34</v>
      </c>
      <c r="O812" s="73">
        <v>-18</v>
      </c>
      <c r="P812" s="73">
        <v>-57</v>
      </c>
      <c r="Q812" s="73">
        <v>-19</v>
      </c>
      <c r="R812" s="73">
        <v>0</v>
      </c>
      <c r="S812" s="73">
        <v>0</v>
      </c>
      <c r="T812" s="73">
        <v>0</v>
      </c>
      <c r="U812" s="73">
        <v>0</v>
      </c>
      <c r="V812" s="73">
        <v>0</v>
      </c>
      <c r="W812" s="73">
        <v>0</v>
      </c>
      <c r="X812" s="73">
        <v>0</v>
      </c>
      <c r="Y812" s="73">
        <v>0</v>
      </c>
      <c r="Z812" s="73">
        <v>40</v>
      </c>
      <c r="AA812" s="73">
        <v>434</v>
      </c>
      <c r="AB812" s="73">
        <v>0</v>
      </c>
      <c r="AC812" s="73">
        <v>0</v>
      </c>
      <c r="AD812" s="73">
        <v>0</v>
      </c>
      <c r="AE812" s="73">
        <v>0</v>
      </c>
      <c r="AF812" s="74">
        <f>tblData[[#This Row],[Gross Sales]]+tblData[[#This Row],[Trade Discounts]]+tblData[[#This Row],[Returns]]</f>
        <v>438</v>
      </c>
      <c r="AG812" s="74">
        <f>tblData[[#This Row],[Material Cost]]+tblData[[#This Row],[Conversion Cost]]+tblData[[#This Row],[Inbound Freight]]</f>
        <v>-157</v>
      </c>
      <c r="AH812" s="74">
        <f>tblData[[#This Row],[Net Revenue]]+tblData[[#This Row],[COGS]]</f>
        <v>281</v>
      </c>
      <c r="AI812" s="74">
        <f>tblData[[#This Row],[Advertising]]+tblData[[#This Row],[Promotions]]</f>
        <v>-52</v>
      </c>
      <c r="AJ812" s="74">
        <f>tblData[[#This Row],[Outbound Logistics]]+tblData[[#This Row],[Direct Selling]]</f>
        <v>-76</v>
      </c>
      <c r="AK812" s="74">
        <f>tblData[[#This Row],[Gross Profit]]+tblData[[#This Row],[AP Spend]]+tblData[[#This Row],[Cost to Serve]]</f>
        <v>153</v>
      </c>
    </row>
    <row r="813" spans="2:37" x14ac:dyDescent="0.25">
      <c r="B813" s="71" t="s">
        <v>50</v>
      </c>
      <c r="C813" s="71">
        <v>2026</v>
      </c>
      <c r="D813" s="71">
        <v>9</v>
      </c>
      <c r="E813" s="71" t="s">
        <v>47</v>
      </c>
      <c r="F813" s="71" t="s">
        <v>42</v>
      </c>
      <c r="G813" s="72">
        <v>56.7</v>
      </c>
      <c r="H813" s="73">
        <v>340</v>
      </c>
      <c r="I813" s="73">
        <v>-10</v>
      </c>
      <c r="J813" s="73">
        <v>-17</v>
      </c>
      <c r="K813" s="73">
        <v>-108</v>
      </c>
      <c r="L813" s="73">
        <v>-27</v>
      </c>
      <c r="M813" s="73">
        <v>-15</v>
      </c>
      <c r="N813" s="73">
        <v>-7</v>
      </c>
      <c r="O813" s="73">
        <v>-4</v>
      </c>
      <c r="P813" s="73">
        <v>-41</v>
      </c>
      <c r="Q813" s="73">
        <v>-14</v>
      </c>
      <c r="R813" s="73">
        <v>0</v>
      </c>
      <c r="S813" s="73">
        <v>0</v>
      </c>
      <c r="T813" s="73">
        <v>0</v>
      </c>
      <c r="U813" s="73">
        <v>0</v>
      </c>
      <c r="V813" s="73">
        <v>0</v>
      </c>
      <c r="W813" s="73">
        <v>0</v>
      </c>
      <c r="X813" s="73">
        <v>0</v>
      </c>
      <c r="Y813" s="73">
        <v>0</v>
      </c>
      <c r="Z813" s="73">
        <v>29</v>
      </c>
      <c r="AA813" s="73">
        <v>506</v>
      </c>
      <c r="AB813" s="73">
        <v>0</v>
      </c>
      <c r="AC813" s="73">
        <v>0</v>
      </c>
      <c r="AD813" s="73">
        <v>0</v>
      </c>
      <c r="AE813" s="73">
        <v>0</v>
      </c>
      <c r="AF813" s="74">
        <f>tblData[[#This Row],[Gross Sales]]+tblData[[#This Row],[Trade Discounts]]+tblData[[#This Row],[Returns]]</f>
        <v>313</v>
      </c>
      <c r="AG813" s="74">
        <f>tblData[[#This Row],[Material Cost]]+tblData[[#This Row],[Conversion Cost]]+tblData[[#This Row],[Inbound Freight]]</f>
        <v>-150</v>
      </c>
      <c r="AH813" s="74">
        <f>tblData[[#This Row],[Net Revenue]]+tblData[[#This Row],[COGS]]</f>
        <v>163</v>
      </c>
      <c r="AI813" s="74">
        <f>tblData[[#This Row],[Advertising]]+tblData[[#This Row],[Promotions]]</f>
        <v>-11</v>
      </c>
      <c r="AJ813" s="74">
        <f>tblData[[#This Row],[Outbound Logistics]]+tblData[[#This Row],[Direct Selling]]</f>
        <v>-55</v>
      </c>
      <c r="AK813" s="74">
        <f>tblData[[#This Row],[Gross Profit]]+tblData[[#This Row],[AP Spend]]+tblData[[#This Row],[Cost to Serve]]</f>
        <v>97</v>
      </c>
    </row>
    <row r="814" spans="2:37" x14ac:dyDescent="0.25">
      <c r="B814" s="71" t="s">
        <v>50</v>
      </c>
      <c r="C814" s="71">
        <v>2026</v>
      </c>
      <c r="D814" s="71">
        <v>9</v>
      </c>
      <c r="E814" s="71" t="s">
        <v>47</v>
      </c>
      <c r="F814" s="71" t="s">
        <v>43</v>
      </c>
      <c r="G814" s="72">
        <v>11.3</v>
      </c>
      <c r="H814" s="73">
        <v>204</v>
      </c>
      <c r="I814" s="73">
        <v>-6</v>
      </c>
      <c r="J814" s="73">
        <v>-10</v>
      </c>
      <c r="K814" s="73">
        <v>-56</v>
      </c>
      <c r="L814" s="73">
        <v>-14</v>
      </c>
      <c r="M814" s="73">
        <v>-8</v>
      </c>
      <c r="N814" s="73">
        <v>-19</v>
      </c>
      <c r="O814" s="73">
        <v>-10</v>
      </c>
      <c r="P814" s="73">
        <v>-24</v>
      </c>
      <c r="Q814" s="73">
        <v>-8</v>
      </c>
      <c r="R814" s="73">
        <v>0</v>
      </c>
      <c r="S814" s="73">
        <v>0</v>
      </c>
      <c r="T814" s="73">
        <v>0</v>
      </c>
      <c r="U814" s="73">
        <v>0</v>
      </c>
      <c r="V814" s="73">
        <v>0</v>
      </c>
      <c r="W814" s="73">
        <v>0</v>
      </c>
      <c r="X814" s="73">
        <v>0</v>
      </c>
      <c r="Y814" s="73">
        <v>0</v>
      </c>
      <c r="Z814" s="73">
        <v>17</v>
      </c>
      <c r="AA814" s="73">
        <v>286</v>
      </c>
      <c r="AB814" s="73">
        <v>0</v>
      </c>
      <c r="AC814" s="73">
        <v>0</v>
      </c>
      <c r="AD814" s="73">
        <v>0</v>
      </c>
      <c r="AE814" s="73">
        <v>0</v>
      </c>
      <c r="AF814" s="74">
        <f>tblData[[#This Row],[Gross Sales]]+tblData[[#This Row],[Trade Discounts]]+tblData[[#This Row],[Returns]]</f>
        <v>188</v>
      </c>
      <c r="AG814" s="74">
        <f>tblData[[#This Row],[Material Cost]]+tblData[[#This Row],[Conversion Cost]]+tblData[[#This Row],[Inbound Freight]]</f>
        <v>-78</v>
      </c>
      <c r="AH814" s="74">
        <f>tblData[[#This Row],[Net Revenue]]+tblData[[#This Row],[COGS]]</f>
        <v>110</v>
      </c>
      <c r="AI814" s="74">
        <f>tblData[[#This Row],[Advertising]]+tblData[[#This Row],[Promotions]]</f>
        <v>-29</v>
      </c>
      <c r="AJ814" s="74">
        <f>tblData[[#This Row],[Outbound Logistics]]+tblData[[#This Row],[Direct Selling]]</f>
        <v>-32</v>
      </c>
      <c r="AK814" s="74">
        <f>tblData[[#This Row],[Gross Profit]]+tblData[[#This Row],[AP Spend]]+tblData[[#This Row],[Cost to Serve]]</f>
        <v>49</v>
      </c>
    </row>
    <row r="815" spans="2:37" x14ac:dyDescent="0.25">
      <c r="B815" s="71" t="s">
        <v>50</v>
      </c>
      <c r="C815" s="71">
        <v>2026</v>
      </c>
      <c r="D815" s="71">
        <v>9</v>
      </c>
      <c r="E815" s="71" t="s">
        <v>48</v>
      </c>
      <c r="F815" s="71" t="s">
        <v>38</v>
      </c>
      <c r="G815" s="72">
        <v>113.4</v>
      </c>
      <c r="H815" s="73">
        <v>1588</v>
      </c>
      <c r="I815" s="73">
        <v>-143</v>
      </c>
      <c r="J815" s="73">
        <v>-16</v>
      </c>
      <c r="K815" s="73">
        <v>-343</v>
      </c>
      <c r="L815" s="73">
        <v>-86</v>
      </c>
      <c r="M815" s="73">
        <v>-48</v>
      </c>
      <c r="N815" s="73">
        <v>-93</v>
      </c>
      <c r="O815" s="73">
        <v>-50</v>
      </c>
      <c r="P815" s="73">
        <v>-48</v>
      </c>
      <c r="Q815" s="73">
        <v>-24</v>
      </c>
      <c r="R815" s="73">
        <v>0</v>
      </c>
      <c r="S815" s="73">
        <v>0</v>
      </c>
      <c r="T815" s="73">
        <v>0</v>
      </c>
      <c r="U815" s="73">
        <v>0</v>
      </c>
      <c r="V815" s="73">
        <v>0</v>
      </c>
      <c r="W815" s="73">
        <v>0</v>
      </c>
      <c r="X815" s="73">
        <v>0</v>
      </c>
      <c r="Y815" s="73">
        <v>0</v>
      </c>
      <c r="Z815" s="73">
        <v>3071</v>
      </c>
      <c r="AA815" s="73">
        <v>1389</v>
      </c>
      <c r="AB815" s="73">
        <v>0</v>
      </c>
      <c r="AC815" s="73">
        <v>0</v>
      </c>
      <c r="AD815" s="73">
        <v>0</v>
      </c>
      <c r="AE815" s="73">
        <v>0</v>
      </c>
      <c r="AF815" s="74">
        <f>tblData[[#This Row],[Gross Sales]]+tblData[[#This Row],[Trade Discounts]]+tblData[[#This Row],[Returns]]</f>
        <v>1429</v>
      </c>
      <c r="AG815" s="74">
        <f>tblData[[#This Row],[Material Cost]]+tblData[[#This Row],[Conversion Cost]]+tblData[[#This Row],[Inbound Freight]]</f>
        <v>-477</v>
      </c>
      <c r="AH815" s="74">
        <f>tblData[[#This Row],[Net Revenue]]+tblData[[#This Row],[COGS]]</f>
        <v>952</v>
      </c>
      <c r="AI815" s="74">
        <f>tblData[[#This Row],[Advertising]]+tblData[[#This Row],[Promotions]]</f>
        <v>-143</v>
      </c>
      <c r="AJ815" s="74">
        <f>tblData[[#This Row],[Outbound Logistics]]+tblData[[#This Row],[Direct Selling]]</f>
        <v>-72</v>
      </c>
      <c r="AK815" s="74">
        <f>tblData[[#This Row],[Gross Profit]]+tblData[[#This Row],[AP Spend]]+tblData[[#This Row],[Cost to Serve]]</f>
        <v>737</v>
      </c>
    </row>
    <row r="816" spans="2:37" x14ac:dyDescent="0.25">
      <c r="B816" s="71" t="s">
        <v>50</v>
      </c>
      <c r="C816" s="71">
        <v>2026</v>
      </c>
      <c r="D816" s="71">
        <v>9</v>
      </c>
      <c r="E816" s="71" t="s">
        <v>48</v>
      </c>
      <c r="F816" s="71" t="s">
        <v>39</v>
      </c>
      <c r="G816" s="72">
        <v>151.19999999999999</v>
      </c>
      <c r="H816" s="73">
        <v>1361</v>
      </c>
      <c r="I816" s="73">
        <v>-122</v>
      </c>
      <c r="J816" s="73">
        <v>-14</v>
      </c>
      <c r="K816" s="73">
        <v>-353</v>
      </c>
      <c r="L816" s="73">
        <v>-88</v>
      </c>
      <c r="M816" s="73">
        <v>-49</v>
      </c>
      <c r="N816" s="73">
        <v>-53</v>
      </c>
      <c r="O816" s="73">
        <v>-29</v>
      </c>
      <c r="P816" s="73">
        <v>-41</v>
      </c>
      <c r="Q816" s="73">
        <v>-20</v>
      </c>
      <c r="R816" s="73">
        <v>0</v>
      </c>
      <c r="S816" s="73">
        <v>0</v>
      </c>
      <c r="T816" s="73">
        <v>0</v>
      </c>
      <c r="U816" s="73">
        <v>0</v>
      </c>
      <c r="V816" s="73">
        <v>0</v>
      </c>
      <c r="W816" s="73">
        <v>0</v>
      </c>
      <c r="X816" s="73">
        <v>0</v>
      </c>
      <c r="Y816" s="73">
        <v>0</v>
      </c>
      <c r="Z816" s="73">
        <v>2632</v>
      </c>
      <c r="AA816" s="73">
        <v>1203</v>
      </c>
      <c r="AB816" s="73">
        <v>0</v>
      </c>
      <c r="AC816" s="73">
        <v>0</v>
      </c>
      <c r="AD816" s="73">
        <v>0</v>
      </c>
      <c r="AE816" s="73">
        <v>0</v>
      </c>
      <c r="AF816" s="74">
        <f>tblData[[#This Row],[Gross Sales]]+tblData[[#This Row],[Trade Discounts]]+tblData[[#This Row],[Returns]]</f>
        <v>1225</v>
      </c>
      <c r="AG816" s="74">
        <f>tblData[[#This Row],[Material Cost]]+tblData[[#This Row],[Conversion Cost]]+tblData[[#This Row],[Inbound Freight]]</f>
        <v>-490</v>
      </c>
      <c r="AH816" s="74">
        <f>tblData[[#This Row],[Net Revenue]]+tblData[[#This Row],[COGS]]</f>
        <v>735</v>
      </c>
      <c r="AI816" s="74">
        <f>tblData[[#This Row],[Advertising]]+tblData[[#This Row],[Promotions]]</f>
        <v>-82</v>
      </c>
      <c r="AJ816" s="74">
        <f>tblData[[#This Row],[Outbound Logistics]]+tblData[[#This Row],[Direct Selling]]</f>
        <v>-61</v>
      </c>
      <c r="AK816" s="74">
        <f>tblData[[#This Row],[Gross Profit]]+tblData[[#This Row],[AP Spend]]+tblData[[#This Row],[Cost to Serve]]</f>
        <v>592</v>
      </c>
    </row>
    <row r="817" spans="2:37" x14ac:dyDescent="0.25">
      <c r="B817" s="71" t="s">
        <v>50</v>
      </c>
      <c r="C817" s="71">
        <v>2026</v>
      </c>
      <c r="D817" s="71">
        <v>9</v>
      </c>
      <c r="E817" s="71" t="s">
        <v>48</v>
      </c>
      <c r="F817" s="71" t="s">
        <v>40</v>
      </c>
      <c r="G817" s="72">
        <v>145.80000000000001</v>
      </c>
      <c r="H817" s="73">
        <v>1021</v>
      </c>
      <c r="I817" s="73">
        <v>-92</v>
      </c>
      <c r="J817" s="73">
        <v>-10</v>
      </c>
      <c r="K817" s="73">
        <v>-294</v>
      </c>
      <c r="L817" s="73">
        <v>-73</v>
      </c>
      <c r="M817" s="73">
        <v>-41</v>
      </c>
      <c r="N817" s="73">
        <v>-27</v>
      </c>
      <c r="O817" s="73">
        <v>-14</v>
      </c>
      <c r="P817" s="73">
        <v>-31</v>
      </c>
      <c r="Q817" s="73">
        <v>-15</v>
      </c>
      <c r="R817" s="73">
        <v>0</v>
      </c>
      <c r="S817" s="73">
        <v>0</v>
      </c>
      <c r="T817" s="73">
        <v>0</v>
      </c>
      <c r="U817" s="73">
        <v>0</v>
      </c>
      <c r="V817" s="73">
        <v>0</v>
      </c>
      <c r="W817" s="73">
        <v>0</v>
      </c>
      <c r="X817" s="73">
        <v>0</v>
      </c>
      <c r="Y817" s="73">
        <v>0</v>
      </c>
      <c r="Z817" s="73">
        <v>1974</v>
      </c>
      <c r="AA817" s="73">
        <v>940</v>
      </c>
      <c r="AB817" s="73">
        <v>0</v>
      </c>
      <c r="AC817" s="73">
        <v>0</v>
      </c>
      <c r="AD817" s="73">
        <v>0</v>
      </c>
      <c r="AE817" s="73">
        <v>0</v>
      </c>
      <c r="AF817" s="74">
        <f>tblData[[#This Row],[Gross Sales]]+tblData[[#This Row],[Trade Discounts]]+tblData[[#This Row],[Returns]]</f>
        <v>919</v>
      </c>
      <c r="AG817" s="74">
        <f>tblData[[#This Row],[Material Cost]]+tblData[[#This Row],[Conversion Cost]]+tblData[[#This Row],[Inbound Freight]]</f>
        <v>-408</v>
      </c>
      <c r="AH817" s="74">
        <f>tblData[[#This Row],[Net Revenue]]+tblData[[#This Row],[COGS]]</f>
        <v>511</v>
      </c>
      <c r="AI817" s="74">
        <f>tblData[[#This Row],[Advertising]]+tblData[[#This Row],[Promotions]]</f>
        <v>-41</v>
      </c>
      <c r="AJ817" s="74">
        <f>tblData[[#This Row],[Outbound Logistics]]+tblData[[#This Row],[Direct Selling]]</f>
        <v>-46</v>
      </c>
      <c r="AK817" s="74">
        <f>tblData[[#This Row],[Gross Profit]]+tblData[[#This Row],[AP Spend]]+tblData[[#This Row],[Cost to Serve]]</f>
        <v>424</v>
      </c>
    </row>
    <row r="818" spans="2:37" x14ac:dyDescent="0.25">
      <c r="B818" s="71" t="s">
        <v>50</v>
      </c>
      <c r="C818" s="71">
        <v>2026</v>
      </c>
      <c r="D818" s="71">
        <v>9</v>
      </c>
      <c r="E818" s="71" t="s">
        <v>48</v>
      </c>
      <c r="F818" s="71" t="s">
        <v>41</v>
      </c>
      <c r="G818" s="72">
        <v>72.2</v>
      </c>
      <c r="H818" s="73">
        <v>794</v>
      </c>
      <c r="I818" s="73">
        <v>-71</v>
      </c>
      <c r="J818" s="73">
        <v>-8</v>
      </c>
      <c r="K818" s="73">
        <v>-189</v>
      </c>
      <c r="L818" s="73">
        <v>-47</v>
      </c>
      <c r="M818" s="73">
        <v>-26</v>
      </c>
      <c r="N818" s="73">
        <v>-57</v>
      </c>
      <c r="O818" s="73">
        <v>-31</v>
      </c>
      <c r="P818" s="73">
        <v>-24</v>
      </c>
      <c r="Q818" s="73">
        <v>-12</v>
      </c>
      <c r="R818" s="73">
        <v>0</v>
      </c>
      <c r="S818" s="73">
        <v>0</v>
      </c>
      <c r="T818" s="73">
        <v>0</v>
      </c>
      <c r="U818" s="73">
        <v>0</v>
      </c>
      <c r="V818" s="73">
        <v>0</v>
      </c>
      <c r="W818" s="73">
        <v>0</v>
      </c>
      <c r="X818" s="73">
        <v>0</v>
      </c>
      <c r="Y818" s="73">
        <v>0</v>
      </c>
      <c r="Z818" s="73">
        <v>1535</v>
      </c>
      <c r="AA818" s="73">
        <v>724</v>
      </c>
      <c r="AB818" s="73">
        <v>0</v>
      </c>
      <c r="AC818" s="73">
        <v>0</v>
      </c>
      <c r="AD818" s="73">
        <v>0</v>
      </c>
      <c r="AE818" s="73">
        <v>0</v>
      </c>
      <c r="AF818" s="74">
        <f>tblData[[#This Row],[Gross Sales]]+tblData[[#This Row],[Trade Discounts]]+tblData[[#This Row],[Returns]]</f>
        <v>715</v>
      </c>
      <c r="AG818" s="74">
        <f>tblData[[#This Row],[Material Cost]]+tblData[[#This Row],[Conversion Cost]]+tblData[[#This Row],[Inbound Freight]]</f>
        <v>-262</v>
      </c>
      <c r="AH818" s="74">
        <f>tblData[[#This Row],[Net Revenue]]+tblData[[#This Row],[COGS]]</f>
        <v>453</v>
      </c>
      <c r="AI818" s="74">
        <f>tblData[[#This Row],[Advertising]]+tblData[[#This Row],[Promotions]]</f>
        <v>-88</v>
      </c>
      <c r="AJ818" s="74">
        <f>tblData[[#This Row],[Outbound Logistics]]+tblData[[#This Row],[Direct Selling]]</f>
        <v>-36</v>
      </c>
      <c r="AK818" s="74">
        <f>tblData[[#This Row],[Gross Profit]]+tblData[[#This Row],[AP Spend]]+tblData[[#This Row],[Cost to Serve]]</f>
        <v>329</v>
      </c>
    </row>
    <row r="819" spans="2:37" x14ac:dyDescent="0.25">
      <c r="B819" s="71" t="s">
        <v>50</v>
      </c>
      <c r="C819" s="71">
        <v>2026</v>
      </c>
      <c r="D819" s="71">
        <v>9</v>
      </c>
      <c r="E819" s="71" t="s">
        <v>48</v>
      </c>
      <c r="F819" s="71" t="s">
        <v>42</v>
      </c>
      <c r="G819" s="72">
        <v>94.5</v>
      </c>
      <c r="H819" s="73">
        <v>567</v>
      </c>
      <c r="I819" s="73">
        <v>-51</v>
      </c>
      <c r="J819" s="73">
        <v>-6</v>
      </c>
      <c r="K819" s="73">
        <v>-180</v>
      </c>
      <c r="L819" s="73">
        <v>-45</v>
      </c>
      <c r="M819" s="73">
        <v>-25</v>
      </c>
      <c r="N819" s="73">
        <v>-11</v>
      </c>
      <c r="O819" s="73">
        <v>-6</v>
      </c>
      <c r="P819" s="73">
        <v>-17</v>
      </c>
      <c r="Q819" s="73">
        <v>-9</v>
      </c>
      <c r="R819" s="73">
        <v>0</v>
      </c>
      <c r="S819" s="73">
        <v>0</v>
      </c>
      <c r="T819" s="73">
        <v>0</v>
      </c>
      <c r="U819" s="73">
        <v>0</v>
      </c>
      <c r="V819" s="73">
        <v>0</v>
      </c>
      <c r="W819" s="73">
        <v>0</v>
      </c>
      <c r="X819" s="73">
        <v>0</v>
      </c>
      <c r="Y819" s="73">
        <v>0</v>
      </c>
      <c r="Z819" s="73">
        <v>1097</v>
      </c>
      <c r="AA819" s="73">
        <v>843</v>
      </c>
      <c r="AB819" s="73">
        <v>0</v>
      </c>
      <c r="AC819" s="73">
        <v>0</v>
      </c>
      <c r="AD819" s="73">
        <v>0</v>
      </c>
      <c r="AE819" s="73">
        <v>0</v>
      </c>
      <c r="AF819" s="74">
        <f>tblData[[#This Row],[Gross Sales]]+tblData[[#This Row],[Trade Discounts]]+tblData[[#This Row],[Returns]]</f>
        <v>510</v>
      </c>
      <c r="AG819" s="74">
        <f>tblData[[#This Row],[Material Cost]]+tblData[[#This Row],[Conversion Cost]]+tblData[[#This Row],[Inbound Freight]]</f>
        <v>-250</v>
      </c>
      <c r="AH819" s="74">
        <f>tblData[[#This Row],[Net Revenue]]+tblData[[#This Row],[COGS]]</f>
        <v>260</v>
      </c>
      <c r="AI819" s="74">
        <f>tblData[[#This Row],[Advertising]]+tblData[[#This Row],[Promotions]]</f>
        <v>-17</v>
      </c>
      <c r="AJ819" s="74">
        <f>tblData[[#This Row],[Outbound Logistics]]+tblData[[#This Row],[Direct Selling]]</f>
        <v>-26</v>
      </c>
      <c r="AK819" s="74">
        <f>tblData[[#This Row],[Gross Profit]]+tblData[[#This Row],[AP Spend]]+tblData[[#This Row],[Cost to Serve]]</f>
        <v>217</v>
      </c>
    </row>
    <row r="820" spans="2:37" x14ac:dyDescent="0.25">
      <c r="B820" s="71" t="s">
        <v>50</v>
      </c>
      <c r="C820" s="71">
        <v>2026</v>
      </c>
      <c r="D820" s="71">
        <v>9</v>
      </c>
      <c r="E820" s="71" t="s">
        <v>48</v>
      </c>
      <c r="F820" s="71" t="s">
        <v>43</v>
      </c>
      <c r="G820" s="72">
        <v>18.899999999999999</v>
      </c>
      <c r="H820" s="73">
        <v>340</v>
      </c>
      <c r="I820" s="73">
        <v>-31</v>
      </c>
      <c r="J820" s="73">
        <v>-3</v>
      </c>
      <c r="K820" s="73">
        <v>-93</v>
      </c>
      <c r="L820" s="73">
        <v>-23</v>
      </c>
      <c r="M820" s="73">
        <v>-13</v>
      </c>
      <c r="N820" s="73">
        <v>-31</v>
      </c>
      <c r="O820" s="73">
        <v>-17</v>
      </c>
      <c r="P820" s="73">
        <v>-10</v>
      </c>
      <c r="Q820" s="73">
        <v>-5</v>
      </c>
      <c r="R820" s="73">
        <v>0</v>
      </c>
      <c r="S820" s="73">
        <v>0</v>
      </c>
      <c r="T820" s="73">
        <v>0</v>
      </c>
      <c r="U820" s="73">
        <v>0</v>
      </c>
      <c r="V820" s="73">
        <v>0</v>
      </c>
      <c r="W820" s="73">
        <v>0</v>
      </c>
      <c r="X820" s="73">
        <v>0</v>
      </c>
      <c r="Y820" s="73">
        <v>0</v>
      </c>
      <c r="Z820" s="73">
        <v>658</v>
      </c>
      <c r="AA820" s="73">
        <v>476</v>
      </c>
      <c r="AB820" s="73">
        <v>0</v>
      </c>
      <c r="AC820" s="73">
        <v>0</v>
      </c>
      <c r="AD820" s="73">
        <v>0</v>
      </c>
      <c r="AE820" s="73">
        <v>0</v>
      </c>
      <c r="AF820" s="74">
        <f>tblData[[#This Row],[Gross Sales]]+tblData[[#This Row],[Trade Discounts]]+tblData[[#This Row],[Returns]]</f>
        <v>306</v>
      </c>
      <c r="AG820" s="74">
        <f>tblData[[#This Row],[Material Cost]]+tblData[[#This Row],[Conversion Cost]]+tblData[[#This Row],[Inbound Freight]]</f>
        <v>-129</v>
      </c>
      <c r="AH820" s="74">
        <f>tblData[[#This Row],[Net Revenue]]+tblData[[#This Row],[COGS]]</f>
        <v>177</v>
      </c>
      <c r="AI820" s="74">
        <f>tblData[[#This Row],[Advertising]]+tblData[[#This Row],[Promotions]]</f>
        <v>-48</v>
      </c>
      <c r="AJ820" s="74">
        <f>tblData[[#This Row],[Outbound Logistics]]+tblData[[#This Row],[Direct Selling]]</f>
        <v>-15</v>
      </c>
      <c r="AK820" s="74">
        <f>tblData[[#This Row],[Gross Profit]]+tblData[[#This Row],[AP Spend]]+tblData[[#This Row],[Cost to Serve]]</f>
        <v>114</v>
      </c>
    </row>
    <row r="821" spans="2:37" x14ac:dyDescent="0.25">
      <c r="B821" s="71" t="s">
        <v>50</v>
      </c>
      <c r="C821" s="71">
        <v>2026</v>
      </c>
      <c r="D821" s="71">
        <v>9</v>
      </c>
      <c r="E821" s="71" t="s">
        <v>49</v>
      </c>
      <c r="F821" s="71" t="s">
        <v>49</v>
      </c>
      <c r="G821" s="72">
        <v>0</v>
      </c>
      <c r="H821" s="73">
        <v>0</v>
      </c>
      <c r="I821" s="73">
        <v>0</v>
      </c>
      <c r="J821" s="73">
        <v>0</v>
      </c>
      <c r="K821" s="73">
        <v>0</v>
      </c>
      <c r="L821" s="73">
        <v>0</v>
      </c>
      <c r="M821" s="73">
        <v>0</v>
      </c>
      <c r="N821" s="73">
        <v>0</v>
      </c>
      <c r="O821" s="73">
        <v>0</v>
      </c>
      <c r="P821" s="73">
        <v>0</v>
      </c>
      <c r="Q821" s="73">
        <v>0</v>
      </c>
      <c r="R821" s="73">
        <v>-4283</v>
      </c>
      <c r="S821" s="73">
        <v>-1020</v>
      </c>
      <c r="T821" s="73">
        <v>-1320</v>
      </c>
      <c r="U821" s="73">
        <v>-1130</v>
      </c>
      <c r="V821" s="73">
        <v>-1480</v>
      </c>
      <c r="W821" s="73">
        <v>-694</v>
      </c>
      <c r="X821" s="73">
        <v>-2089</v>
      </c>
      <c r="Y821" s="73">
        <v>-1452</v>
      </c>
      <c r="Z821" s="73">
        <v>0</v>
      </c>
      <c r="AA821" s="73">
        <v>0</v>
      </c>
      <c r="AB821" s="73">
        <v>38446</v>
      </c>
      <c r="AC821" s="73">
        <v>67698</v>
      </c>
      <c r="AD821" s="73">
        <v>182500</v>
      </c>
      <c r="AE821" s="73">
        <v>1195</v>
      </c>
      <c r="AF821" s="74">
        <f>tblData[[#This Row],[Gross Sales]]+tblData[[#This Row],[Trade Discounts]]+tblData[[#This Row],[Returns]]</f>
        <v>0</v>
      </c>
      <c r="AG821" s="74">
        <f>tblData[[#This Row],[Material Cost]]+tblData[[#This Row],[Conversion Cost]]+tblData[[#This Row],[Inbound Freight]]</f>
        <v>0</v>
      </c>
      <c r="AH821" s="74">
        <f>tblData[[#This Row],[Net Revenue]]+tblData[[#This Row],[COGS]]</f>
        <v>0</v>
      </c>
      <c r="AI821" s="74">
        <f>tblData[[#This Row],[Advertising]]+tblData[[#This Row],[Promotions]]</f>
        <v>0</v>
      </c>
      <c r="AJ821" s="74">
        <f>tblData[[#This Row],[Outbound Logistics]]+tblData[[#This Row],[Direct Selling]]</f>
        <v>0</v>
      </c>
      <c r="AK821" s="74">
        <f>tblData[[#This Row],[Gross Profit]]+tblData[[#This Row],[AP Spend]]+tblData[[#This Row],[Cost to Serve]]</f>
        <v>0</v>
      </c>
    </row>
    <row r="822" spans="2:37" x14ac:dyDescent="0.25">
      <c r="B822" s="71" t="s">
        <v>50</v>
      </c>
      <c r="C822" s="71">
        <v>2026</v>
      </c>
      <c r="D822" s="71">
        <v>10</v>
      </c>
      <c r="E822" s="71" t="s">
        <v>37</v>
      </c>
      <c r="F822" s="71" t="s">
        <v>38</v>
      </c>
      <c r="G822" s="72">
        <v>370.4</v>
      </c>
      <c r="H822" s="73">
        <v>5186</v>
      </c>
      <c r="I822" s="73">
        <v>-985</v>
      </c>
      <c r="J822" s="73">
        <v>-78</v>
      </c>
      <c r="K822" s="73">
        <v>-1120</v>
      </c>
      <c r="L822" s="73">
        <v>-280</v>
      </c>
      <c r="M822" s="73">
        <v>-156</v>
      </c>
      <c r="N822" s="73">
        <v>-303</v>
      </c>
      <c r="O822" s="73">
        <v>-163</v>
      </c>
      <c r="P822" s="73">
        <v>-207</v>
      </c>
      <c r="Q822" s="73">
        <v>-156</v>
      </c>
      <c r="R822" s="73">
        <v>0</v>
      </c>
      <c r="S822" s="73">
        <v>0</v>
      </c>
      <c r="T822" s="73">
        <v>0</v>
      </c>
      <c r="U822" s="73">
        <v>0</v>
      </c>
      <c r="V822" s="73">
        <v>0</v>
      </c>
      <c r="W822" s="73">
        <v>0</v>
      </c>
      <c r="X822" s="73">
        <v>0</v>
      </c>
      <c r="Y822" s="73">
        <v>0</v>
      </c>
      <c r="Z822" s="73">
        <v>6850</v>
      </c>
      <c r="AA822" s="73">
        <v>4465</v>
      </c>
      <c r="AB822" s="73">
        <v>0</v>
      </c>
      <c r="AC822" s="73">
        <v>0</v>
      </c>
      <c r="AD822" s="73">
        <v>0</v>
      </c>
      <c r="AE822" s="73">
        <v>0</v>
      </c>
      <c r="AF822" s="74">
        <f>tblData[[#This Row],[Gross Sales]]+tblData[[#This Row],[Trade Discounts]]+tblData[[#This Row],[Returns]]</f>
        <v>4123</v>
      </c>
      <c r="AG822" s="74">
        <f>tblData[[#This Row],[Material Cost]]+tblData[[#This Row],[Conversion Cost]]+tblData[[#This Row],[Inbound Freight]]</f>
        <v>-1556</v>
      </c>
      <c r="AH822" s="74">
        <f>tblData[[#This Row],[Net Revenue]]+tblData[[#This Row],[COGS]]</f>
        <v>2567</v>
      </c>
      <c r="AI822" s="74">
        <f>tblData[[#This Row],[Advertising]]+tblData[[#This Row],[Promotions]]</f>
        <v>-466</v>
      </c>
      <c r="AJ822" s="74">
        <f>tblData[[#This Row],[Outbound Logistics]]+tblData[[#This Row],[Direct Selling]]</f>
        <v>-363</v>
      </c>
      <c r="AK822" s="74">
        <f>tblData[[#This Row],[Gross Profit]]+tblData[[#This Row],[AP Spend]]+tblData[[#This Row],[Cost to Serve]]</f>
        <v>1738</v>
      </c>
    </row>
    <row r="823" spans="2:37" x14ac:dyDescent="0.25">
      <c r="B823" s="71" t="s">
        <v>50</v>
      </c>
      <c r="C823" s="71">
        <v>2026</v>
      </c>
      <c r="D823" s="71">
        <v>10</v>
      </c>
      <c r="E823" s="71" t="s">
        <v>37</v>
      </c>
      <c r="F823" s="71" t="s">
        <v>39</v>
      </c>
      <c r="G823" s="72">
        <v>493.9</v>
      </c>
      <c r="H823" s="73">
        <v>4445</v>
      </c>
      <c r="I823" s="73">
        <v>-845</v>
      </c>
      <c r="J823" s="73">
        <v>-67</v>
      </c>
      <c r="K823" s="73">
        <v>-1152</v>
      </c>
      <c r="L823" s="73">
        <v>-288</v>
      </c>
      <c r="M823" s="73">
        <v>-160</v>
      </c>
      <c r="N823" s="73">
        <v>-173</v>
      </c>
      <c r="O823" s="73">
        <v>-93</v>
      </c>
      <c r="P823" s="73">
        <v>-178</v>
      </c>
      <c r="Q823" s="73">
        <v>-133</v>
      </c>
      <c r="R823" s="73">
        <v>0</v>
      </c>
      <c r="S823" s="73">
        <v>0</v>
      </c>
      <c r="T823" s="73">
        <v>0</v>
      </c>
      <c r="U823" s="73">
        <v>0</v>
      </c>
      <c r="V823" s="73">
        <v>0</v>
      </c>
      <c r="W823" s="73">
        <v>0</v>
      </c>
      <c r="X823" s="73">
        <v>0</v>
      </c>
      <c r="Y823" s="73">
        <v>0</v>
      </c>
      <c r="Z823" s="73">
        <v>5872</v>
      </c>
      <c r="AA823" s="73">
        <v>3868</v>
      </c>
      <c r="AB823" s="73">
        <v>0</v>
      </c>
      <c r="AC823" s="73">
        <v>0</v>
      </c>
      <c r="AD823" s="73">
        <v>0</v>
      </c>
      <c r="AE823" s="73">
        <v>0</v>
      </c>
      <c r="AF823" s="74">
        <f>tblData[[#This Row],[Gross Sales]]+tblData[[#This Row],[Trade Discounts]]+tblData[[#This Row],[Returns]]</f>
        <v>3533</v>
      </c>
      <c r="AG823" s="74">
        <f>tblData[[#This Row],[Material Cost]]+tblData[[#This Row],[Conversion Cost]]+tblData[[#This Row],[Inbound Freight]]</f>
        <v>-1600</v>
      </c>
      <c r="AH823" s="74">
        <f>tblData[[#This Row],[Net Revenue]]+tblData[[#This Row],[COGS]]</f>
        <v>1933</v>
      </c>
      <c r="AI823" s="74">
        <f>tblData[[#This Row],[Advertising]]+tblData[[#This Row],[Promotions]]</f>
        <v>-266</v>
      </c>
      <c r="AJ823" s="74">
        <f>tblData[[#This Row],[Outbound Logistics]]+tblData[[#This Row],[Direct Selling]]</f>
        <v>-311</v>
      </c>
      <c r="AK823" s="74">
        <f>tblData[[#This Row],[Gross Profit]]+tblData[[#This Row],[AP Spend]]+tblData[[#This Row],[Cost to Serve]]</f>
        <v>1356</v>
      </c>
    </row>
    <row r="824" spans="2:37" x14ac:dyDescent="0.25">
      <c r="B824" s="71" t="s">
        <v>50</v>
      </c>
      <c r="C824" s="71">
        <v>2026</v>
      </c>
      <c r="D824" s="71">
        <v>10</v>
      </c>
      <c r="E824" s="71" t="s">
        <v>37</v>
      </c>
      <c r="F824" s="71" t="s">
        <v>40</v>
      </c>
      <c r="G824" s="72">
        <v>476.3</v>
      </c>
      <c r="H824" s="73">
        <v>3334</v>
      </c>
      <c r="I824" s="73">
        <v>-633</v>
      </c>
      <c r="J824" s="73">
        <v>-50</v>
      </c>
      <c r="K824" s="73">
        <v>-960</v>
      </c>
      <c r="L824" s="73">
        <v>-240</v>
      </c>
      <c r="M824" s="73">
        <v>-133</v>
      </c>
      <c r="N824" s="73">
        <v>-87</v>
      </c>
      <c r="O824" s="73">
        <v>-47</v>
      </c>
      <c r="P824" s="73">
        <v>-133</v>
      </c>
      <c r="Q824" s="73">
        <v>-100</v>
      </c>
      <c r="R824" s="73">
        <v>0</v>
      </c>
      <c r="S824" s="73">
        <v>0</v>
      </c>
      <c r="T824" s="73">
        <v>0</v>
      </c>
      <c r="U824" s="73">
        <v>0</v>
      </c>
      <c r="V824" s="73">
        <v>0</v>
      </c>
      <c r="W824" s="73">
        <v>0</v>
      </c>
      <c r="X824" s="73">
        <v>0</v>
      </c>
      <c r="Y824" s="73">
        <v>0</v>
      </c>
      <c r="Z824" s="73">
        <v>4404</v>
      </c>
      <c r="AA824" s="73">
        <v>3022</v>
      </c>
      <c r="AB824" s="73">
        <v>0</v>
      </c>
      <c r="AC824" s="73">
        <v>0</v>
      </c>
      <c r="AD824" s="73">
        <v>0</v>
      </c>
      <c r="AE824" s="73">
        <v>0</v>
      </c>
      <c r="AF824" s="74">
        <f>tblData[[#This Row],[Gross Sales]]+tblData[[#This Row],[Trade Discounts]]+tblData[[#This Row],[Returns]]</f>
        <v>2651</v>
      </c>
      <c r="AG824" s="74">
        <f>tblData[[#This Row],[Material Cost]]+tblData[[#This Row],[Conversion Cost]]+tblData[[#This Row],[Inbound Freight]]</f>
        <v>-1333</v>
      </c>
      <c r="AH824" s="74">
        <f>tblData[[#This Row],[Net Revenue]]+tblData[[#This Row],[COGS]]</f>
        <v>1318</v>
      </c>
      <c r="AI824" s="74">
        <f>tblData[[#This Row],[Advertising]]+tblData[[#This Row],[Promotions]]</f>
        <v>-134</v>
      </c>
      <c r="AJ824" s="74">
        <f>tblData[[#This Row],[Outbound Logistics]]+tblData[[#This Row],[Direct Selling]]</f>
        <v>-233</v>
      </c>
      <c r="AK824" s="74">
        <f>tblData[[#This Row],[Gross Profit]]+tblData[[#This Row],[AP Spend]]+tblData[[#This Row],[Cost to Serve]]</f>
        <v>951</v>
      </c>
    </row>
    <row r="825" spans="2:37" x14ac:dyDescent="0.25">
      <c r="B825" s="71" t="s">
        <v>50</v>
      </c>
      <c r="C825" s="71">
        <v>2026</v>
      </c>
      <c r="D825" s="71">
        <v>10</v>
      </c>
      <c r="E825" s="71" t="s">
        <v>37</v>
      </c>
      <c r="F825" s="71" t="s">
        <v>41</v>
      </c>
      <c r="G825" s="72">
        <v>235.7</v>
      </c>
      <c r="H825" s="73">
        <v>2593</v>
      </c>
      <c r="I825" s="73">
        <v>-493</v>
      </c>
      <c r="J825" s="73">
        <v>-39</v>
      </c>
      <c r="K825" s="73">
        <v>-616</v>
      </c>
      <c r="L825" s="73">
        <v>-154</v>
      </c>
      <c r="M825" s="73">
        <v>-86</v>
      </c>
      <c r="N825" s="73">
        <v>-185</v>
      </c>
      <c r="O825" s="73">
        <v>-100</v>
      </c>
      <c r="P825" s="73">
        <v>-104</v>
      </c>
      <c r="Q825" s="73">
        <v>-78</v>
      </c>
      <c r="R825" s="73">
        <v>0</v>
      </c>
      <c r="S825" s="73">
        <v>0</v>
      </c>
      <c r="T825" s="73">
        <v>0</v>
      </c>
      <c r="U825" s="73">
        <v>0</v>
      </c>
      <c r="V825" s="73">
        <v>0</v>
      </c>
      <c r="W825" s="73">
        <v>0</v>
      </c>
      <c r="X825" s="73">
        <v>0</v>
      </c>
      <c r="Y825" s="73">
        <v>0</v>
      </c>
      <c r="Z825" s="73">
        <v>3425</v>
      </c>
      <c r="AA825" s="73">
        <v>2327</v>
      </c>
      <c r="AB825" s="73">
        <v>0</v>
      </c>
      <c r="AC825" s="73">
        <v>0</v>
      </c>
      <c r="AD825" s="73">
        <v>0</v>
      </c>
      <c r="AE825" s="73">
        <v>0</v>
      </c>
      <c r="AF825" s="74">
        <f>tblData[[#This Row],[Gross Sales]]+tblData[[#This Row],[Trade Discounts]]+tblData[[#This Row],[Returns]]</f>
        <v>2061</v>
      </c>
      <c r="AG825" s="74">
        <f>tblData[[#This Row],[Material Cost]]+tblData[[#This Row],[Conversion Cost]]+tblData[[#This Row],[Inbound Freight]]</f>
        <v>-856</v>
      </c>
      <c r="AH825" s="74">
        <f>tblData[[#This Row],[Net Revenue]]+tblData[[#This Row],[COGS]]</f>
        <v>1205</v>
      </c>
      <c r="AI825" s="74">
        <f>tblData[[#This Row],[Advertising]]+tblData[[#This Row],[Promotions]]</f>
        <v>-285</v>
      </c>
      <c r="AJ825" s="74">
        <f>tblData[[#This Row],[Outbound Logistics]]+tblData[[#This Row],[Direct Selling]]</f>
        <v>-182</v>
      </c>
      <c r="AK825" s="74">
        <f>tblData[[#This Row],[Gross Profit]]+tblData[[#This Row],[AP Spend]]+tblData[[#This Row],[Cost to Serve]]</f>
        <v>738</v>
      </c>
    </row>
    <row r="826" spans="2:37" x14ac:dyDescent="0.25">
      <c r="B826" s="71" t="s">
        <v>50</v>
      </c>
      <c r="C826" s="71">
        <v>2026</v>
      </c>
      <c r="D826" s="71">
        <v>10</v>
      </c>
      <c r="E826" s="71" t="s">
        <v>37</v>
      </c>
      <c r="F826" s="71" t="s">
        <v>42</v>
      </c>
      <c r="G826" s="72">
        <v>308.7</v>
      </c>
      <c r="H826" s="73">
        <v>1852</v>
      </c>
      <c r="I826" s="73">
        <v>-352</v>
      </c>
      <c r="J826" s="73">
        <v>-28</v>
      </c>
      <c r="K826" s="73">
        <v>-587</v>
      </c>
      <c r="L826" s="73">
        <v>-147</v>
      </c>
      <c r="M826" s="73">
        <v>-81</v>
      </c>
      <c r="N826" s="73">
        <v>-36</v>
      </c>
      <c r="O826" s="73">
        <v>-19</v>
      </c>
      <c r="P826" s="73">
        <v>-74</v>
      </c>
      <c r="Q826" s="73">
        <v>-56</v>
      </c>
      <c r="R826" s="73">
        <v>0</v>
      </c>
      <c r="S826" s="73">
        <v>0</v>
      </c>
      <c r="T826" s="73">
        <v>0</v>
      </c>
      <c r="U826" s="73">
        <v>0</v>
      </c>
      <c r="V826" s="73">
        <v>0</v>
      </c>
      <c r="W826" s="73">
        <v>0</v>
      </c>
      <c r="X826" s="73">
        <v>0</v>
      </c>
      <c r="Y826" s="73">
        <v>0</v>
      </c>
      <c r="Z826" s="73">
        <v>2447</v>
      </c>
      <c r="AA826" s="73">
        <v>2708</v>
      </c>
      <c r="AB826" s="73">
        <v>0</v>
      </c>
      <c r="AC826" s="73">
        <v>0</v>
      </c>
      <c r="AD826" s="73">
        <v>0</v>
      </c>
      <c r="AE826" s="73">
        <v>0</v>
      </c>
      <c r="AF826" s="74">
        <f>tblData[[#This Row],[Gross Sales]]+tblData[[#This Row],[Trade Discounts]]+tblData[[#This Row],[Returns]]</f>
        <v>1472</v>
      </c>
      <c r="AG826" s="74">
        <f>tblData[[#This Row],[Material Cost]]+tblData[[#This Row],[Conversion Cost]]+tblData[[#This Row],[Inbound Freight]]</f>
        <v>-815</v>
      </c>
      <c r="AH826" s="74">
        <f>tblData[[#This Row],[Net Revenue]]+tblData[[#This Row],[COGS]]</f>
        <v>657</v>
      </c>
      <c r="AI826" s="74">
        <f>tblData[[#This Row],[Advertising]]+tblData[[#This Row],[Promotions]]</f>
        <v>-55</v>
      </c>
      <c r="AJ826" s="74">
        <f>tblData[[#This Row],[Outbound Logistics]]+tblData[[#This Row],[Direct Selling]]</f>
        <v>-130</v>
      </c>
      <c r="AK826" s="74">
        <f>tblData[[#This Row],[Gross Profit]]+tblData[[#This Row],[AP Spend]]+tblData[[#This Row],[Cost to Serve]]</f>
        <v>472</v>
      </c>
    </row>
    <row r="827" spans="2:37" x14ac:dyDescent="0.25">
      <c r="B827" s="71" t="s">
        <v>50</v>
      </c>
      <c r="C827" s="71">
        <v>2026</v>
      </c>
      <c r="D827" s="71">
        <v>10</v>
      </c>
      <c r="E827" s="71" t="s">
        <v>37</v>
      </c>
      <c r="F827" s="71" t="s">
        <v>43</v>
      </c>
      <c r="G827" s="72">
        <v>61.7</v>
      </c>
      <c r="H827" s="73">
        <v>1111</v>
      </c>
      <c r="I827" s="73">
        <v>-211</v>
      </c>
      <c r="J827" s="73">
        <v>-17</v>
      </c>
      <c r="K827" s="73">
        <v>-304</v>
      </c>
      <c r="L827" s="73">
        <v>-76</v>
      </c>
      <c r="M827" s="73">
        <v>-42</v>
      </c>
      <c r="N827" s="73">
        <v>-101</v>
      </c>
      <c r="O827" s="73">
        <v>-54</v>
      </c>
      <c r="P827" s="73">
        <v>-44</v>
      </c>
      <c r="Q827" s="73">
        <v>-33</v>
      </c>
      <c r="R827" s="73">
        <v>0</v>
      </c>
      <c r="S827" s="73">
        <v>0</v>
      </c>
      <c r="T827" s="73">
        <v>0</v>
      </c>
      <c r="U827" s="73">
        <v>0</v>
      </c>
      <c r="V827" s="73">
        <v>0</v>
      </c>
      <c r="W827" s="73">
        <v>0</v>
      </c>
      <c r="X827" s="73">
        <v>0</v>
      </c>
      <c r="Y827" s="73">
        <v>0</v>
      </c>
      <c r="Z827" s="73">
        <v>1468</v>
      </c>
      <c r="AA827" s="73">
        <v>1531</v>
      </c>
      <c r="AB827" s="73">
        <v>0</v>
      </c>
      <c r="AC827" s="73">
        <v>0</v>
      </c>
      <c r="AD827" s="73">
        <v>0</v>
      </c>
      <c r="AE827" s="73">
        <v>0</v>
      </c>
      <c r="AF827" s="74">
        <f>tblData[[#This Row],[Gross Sales]]+tblData[[#This Row],[Trade Discounts]]+tblData[[#This Row],[Returns]]</f>
        <v>883</v>
      </c>
      <c r="AG827" s="74">
        <f>tblData[[#This Row],[Material Cost]]+tblData[[#This Row],[Conversion Cost]]+tblData[[#This Row],[Inbound Freight]]</f>
        <v>-422</v>
      </c>
      <c r="AH827" s="74">
        <f>tblData[[#This Row],[Net Revenue]]+tblData[[#This Row],[COGS]]</f>
        <v>461</v>
      </c>
      <c r="AI827" s="74">
        <f>tblData[[#This Row],[Advertising]]+tblData[[#This Row],[Promotions]]</f>
        <v>-155</v>
      </c>
      <c r="AJ827" s="74">
        <f>tblData[[#This Row],[Outbound Logistics]]+tblData[[#This Row],[Direct Selling]]</f>
        <v>-77</v>
      </c>
      <c r="AK827" s="74">
        <f>tblData[[#This Row],[Gross Profit]]+tblData[[#This Row],[AP Spend]]+tblData[[#This Row],[Cost to Serve]]</f>
        <v>229</v>
      </c>
    </row>
    <row r="828" spans="2:37" x14ac:dyDescent="0.25">
      <c r="B828" s="71" t="s">
        <v>50</v>
      </c>
      <c r="C828" s="71">
        <v>2026</v>
      </c>
      <c r="D828" s="71">
        <v>10</v>
      </c>
      <c r="E828" s="71" t="s">
        <v>44</v>
      </c>
      <c r="F828" s="71" t="s">
        <v>38</v>
      </c>
      <c r="G828" s="72">
        <v>296.39999999999998</v>
      </c>
      <c r="H828" s="73">
        <v>4149</v>
      </c>
      <c r="I828" s="73">
        <v>-664</v>
      </c>
      <c r="J828" s="73">
        <v>-50</v>
      </c>
      <c r="K828" s="73">
        <v>-896</v>
      </c>
      <c r="L828" s="73">
        <v>-224</v>
      </c>
      <c r="M828" s="73">
        <v>-124</v>
      </c>
      <c r="N828" s="73">
        <v>-243</v>
      </c>
      <c r="O828" s="73">
        <v>-131</v>
      </c>
      <c r="P828" s="73">
        <v>-166</v>
      </c>
      <c r="Q828" s="73">
        <v>-124</v>
      </c>
      <c r="R828" s="73">
        <v>0</v>
      </c>
      <c r="S828" s="73">
        <v>0</v>
      </c>
      <c r="T828" s="73">
        <v>0</v>
      </c>
      <c r="U828" s="73">
        <v>0</v>
      </c>
      <c r="V828" s="73">
        <v>0</v>
      </c>
      <c r="W828" s="73">
        <v>0</v>
      </c>
      <c r="X828" s="73">
        <v>0</v>
      </c>
      <c r="Y828" s="73">
        <v>0</v>
      </c>
      <c r="Z828" s="73">
        <v>5189</v>
      </c>
      <c r="AA828" s="73">
        <v>3572</v>
      </c>
      <c r="AB828" s="73">
        <v>0</v>
      </c>
      <c r="AC828" s="73">
        <v>0</v>
      </c>
      <c r="AD828" s="73">
        <v>0</v>
      </c>
      <c r="AE828" s="73">
        <v>0</v>
      </c>
      <c r="AF828" s="74">
        <f>tblData[[#This Row],[Gross Sales]]+tblData[[#This Row],[Trade Discounts]]+tblData[[#This Row],[Returns]]</f>
        <v>3435</v>
      </c>
      <c r="AG828" s="74">
        <f>tblData[[#This Row],[Material Cost]]+tblData[[#This Row],[Conversion Cost]]+tblData[[#This Row],[Inbound Freight]]</f>
        <v>-1244</v>
      </c>
      <c r="AH828" s="74">
        <f>tblData[[#This Row],[Net Revenue]]+tblData[[#This Row],[COGS]]</f>
        <v>2191</v>
      </c>
      <c r="AI828" s="74">
        <f>tblData[[#This Row],[Advertising]]+tblData[[#This Row],[Promotions]]</f>
        <v>-374</v>
      </c>
      <c r="AJ828" s="74">
        <f>tblData[[#This Row],[Outbound Logistics]]+tblData[[#This Row],[Direct Selling]]</f>
        <v>-290</v>
      </c>
      <c r="AK828" s="74">
        <f>tblData[[#This Row],[Gross Profit]]+tblData[[#This Row],[AP Spend]]+tblData[[#This Row],[Cost to Serve]]</f>
        <v>1527</v>
      </c>
    </row>
    <row r="829" spans="2:37" x14ac:dyDescent="0.25">
      <c r="B829" s="71" t="s">
        <v>50</v>
      </c>
      <c r="C829" s="71">
        <v>2026</v>
      </c>
      <c r="D829" s="71">
        <v>10</v>
      </c>
      <c r="E829" s="71" t="s">
        <v>44</v>
      </c>
      <c r="F829" s="71" t="s">
        <v>39</v>
      </c>
      <c r="G829" s="72">
        <v>395.1</v>
      </c>
      <c r="H829" s="73">
        <v>3556</v>
      </c>
      <c r="I829" s="73">
        <v>-569</v>
      </c>
      <c r="J829" s="73">
        <v>-43</v>
      </c>
      <c r="K829" s="73">
        <v>-922</v>
      </c>
      <c r="L829" s="73">
        <v>-230</v>
      </c>
      <c r="M829" s="73">
        <v>-128</v>
      </c>
      <c r="N829" s="73">
        <v>-139</v>
      </c>
      <c r="O829" s="73">
        <v>-75</v>
      </c>
      <c r="P829" s="73">
        <v>-142</v>
      </c>
      <c r="Q829" s="73">
        <v>-107</v>
      </c>
      <c r="R829" s="73">
        <v>0</v>
      </c>
      <c r="S829" s="73">
        <v>0</v>
      </c>
      <c r="T829" s="73">
        <v>0</v>
      </c>
      <c r="U829" s="73">
        <v>0</v>
      </c>
      <c r="V829" s="73">
        <v>0</v>
      </c>
      <c r="W829" s="73">
        <v>0</v>
      </c>
      <c r="X829" s="73">
        <v>0</v>
      </c>
      <c r="Y829" s="73">
        <v>0</v>
      </c>
      <c r="Z829" s="73">
        <v>4448</v>
      </c>
      <c r="AA829" s="73">
        <v>3094</v>
      </c>
      <c r="AB829" s="73">
        <v>0</v>
      </c>
      <c r="AC829" s="73">
        <v>0</v>
      </c>
      <c r="AD829" s="73">
        <v>0</v>
      </c>
      <c r="AE829" s="73">
        <v>0</v>
      </c>
      <c r="AF829" s="74">
        <f>tblData[[#This Row],[Gross Sales]]+tblData[[#This Row],[Trade Discounts]]+tblData[[#This Row],[Returns]]</f>
        <v>2944</v>
      </c>
      <c r="AG829" s="74">
        <f>tblData[[#This Row],[Material Cost]]+tblData[[#This Row],[Conversion Cost]]+tblData[[#This Row],[Inbound Freight]]</f>
        <v>-1280</v>
      </c>
      <c r="AH829" s="74">
        <f>tblData[[#This Row],[Net Revenue]]+tblData[[#This Row],[COGS]]</f>
        <v>1664</v>
      </c>
      <c r="AI829" s="74">
        <f>tblData[[#This Row],[Advertising]]+tblData[[#This Row],[Promotions]]</f>
        <v>-214</v>
      </c>
      <c r="AJ829" s="74">
        <f>tblData[[#This Row],[Outbound Logistics]]+tblData[[#This Row],[Direct Selling]]</f>
        <v>-249</v>
      </c>
      <c r="AK829" s="74">
        <f>tblData[[#This Row],[Gross Profit]]+tblData[[#This Row],[AP Spend]]+tblData[[#This Row],[Cost to Serve]]</f>
        <v>1201</v>
      </c>
    </row>
    <row r="830" spans="2:37" x14ac:dyDescent="0.25">
      <c r="B830" s="71" t="s">
        <v>50</v>
      </c>
      <c r="C830" s="71">
        <v>2026</v>
      </c>
      <c r="D830" s="71">
        <v>10</v>
      </c>
      <c r="E830" s="71" t="s">
        <v>44</v>
      </c>
      <c r="F830" s="71" t="s">
        <v>40</v>
      </c>
      <c r="G830" s="72">
        <v>381</v>
      </c>
      <c r="H830" s="73">
        <v>2667</v>
      </c>
      <c r="I830" s="73">
        <v>-427</v>
      </c>
      <c r="J830" s="73">
        <v>-32</v>
      </c>
      <c r="K830" s="73">
        <v>-768</v>
      </c>
      <c r="L830" s="73">
        <v>-192</v>
      </c>
      <c r="M830" s="73">
        <v>-107</v>
      </c>
      <c r="N830" s="73">
        <v>-69</v>
      </c>
      <c r="O830" s="73">
        <v>-37</v>
      </c>
      <c r="P830" s="73">
        <v>-107</v>
      </c>
      <c r="Q830" s="73">
        <v>-80</v>
      </c>
      <c r="R830" s="73">
        <v>0</v>
      </c>
      <c r="S830" s="73">
        <v>0</v>
      </c>
      <c r="T830" s="73">
        <v>0</v>
      </c>
      <c r="U830" s="73">
        <v>0</v>
      </c>
      <c r="V830" s="73">
        <v>0</v>
      </c>
      <c r="W830" s="73">
        <v>0</v>
      </c>
      <c r="X830" s="73">
        <v>0</v>
      </c>
      <c r="Y830" s="73">
        <v>0</v>
      </c>
      <c r="Z830" s="73">
        <v>3336</v>
      </c>
      <c r="AA830" s="73">
        <v>2417</v>
      </c>
      <c r="AB830" s="73">
        <v>0</v>
      </c>
      <c r="AC830" s="73">
        <v>0</v>
      </c>
      <c r="AD830" s="73">
        <v>0</v>
      </c>
      <c r="AE830" s="73">
        <v>0</v>
      </c>
      <c r="AF830" s="74">
        <f>tblData[[#This Row],[Gross Sales]]+tblData[[#This Row],[Trade Discounts]]+tblData[[#This Row],[Returns]]</f>
        <v>2208</v>
      </c>
      <c r="AG830" s="74">
        <f>tblData[[#This Row],[Material Cost]]+tblData[[#This Row],[Conversion Cost]]+tblData[[#This Row],[Inbound Freight]]</f>
        <v>-1067</v>
      </c>
      <c r="AH830" s="74">
        <f>tblData[[#This Row],[Net Revenue]]+tblData[[#This Row],[COGS]]</f>
        <v>1141</v>
      </c>
      <c r="AI830" s="74">
        <f>tblData[[#This Row],[Advertising]]+tblData[[#This Row],[Promotions]]</f>
        <v>-106</v>
      </c>
      <c r="AJ830" s="74">
        <f>tblData[[#This Row],[Outbound Logistics]]+tblData[[#This Row],[Direct Selling]]</f>
        <v>-187</v>
      </c>
      <c r="AK830" s="74">
        <f>tblData[[#This Row],[Gross Profit]]+tblData[[#This Row],[AP Spend]]+tblData[[#This Row],[Cost to Serve]]</f>
        <v>848</v>
      </c>
    </row>
    <row r="831" spans="2:37" x14ac:dyDescent="0.25">
      <c r="B831" s="71" t="s">
        <v>50</v>
      </c>
      <c r="C831" s="71">
        <v>2026</v>
      </c>
      <c r="D831" s="71">
        <v>10</v>
      </c>
      <c r="E831" s="71" t="s">
        <v>44</v>
      </c>
      <c r="F831" s="71" t="s">
        <v>41</v>
      </c>
      <c r="G831" s="72">
        <v>188.6</v>
      </c>
      <c r="H831" s="73">
        <v>2074</v>
      </c>
      <c r="I831" s="73">
        <v>-332</v>
      </c>
      <c r="J831" s="73">
        <v>-25</v>
      </c>
      <c r="K831" s="73">
        <v>-493</v>
      </c>
      <c r="L831" s="73">
        <v>-123</v>
      </c>
      <c r="M831" s="73">
        <v>-68</v>
      </c>
      <c r="N831" s="73">
        <v>-148</v>
      </c>
      <c r="O831" s="73">
        <v>-80</v>
      </c>
      <c r="P831" s="73">
        <v>-83</v>
      </c>
      <c r="Q831" s="73">
        <v>-62</v>
      </c>
      <c r="R831" s="73">
        <v>0</v>
      </c>
      <c r="S831" s="73">
        <v>0</v>
      </c>
      <c r="T831" s="73">
        <v>0</v>
      </c>
      <c r="U831" s="73">
        <v>0</v>
      </c>
      <c r="V831" s="73">
        <v>0</v>
      </c>
      <c r="W831" s="73">
        <v>0</v>
      </c>
      <c r="X831" s="73">
        <v>0</v>
      </c>
      <c r="Y831" s="73">
        <v>0</v>
      </c>
      <c r="Z831" s="73">
        <v>2594</v>
      </c>
      <c r="AA831" s="73">
        <v>1861</v>
      </c>
      <c r="AB831" s="73">
        <v>0</v>
      </c>
      <c r="AC831" s="73">
        <v>0</v>
      </c>
      <c r="AD831" s="73">
        <v>0</v>
      </c>
      <c r="AE831" s="73">
        <v>0</v>
      </c>
      <c r="AF831" s="74">
        <f>tblData[[#This Row],[Gross Sales]]+tblData[[#This Row],[Trade Discounts]]+tblData[[#This Row],[Returns]]</f>
        <v>1717</v>
      </c>
      <c r="AG831" s="74">
        <f>tblData[[#This Row],[Material Cost]]+tblData[[#This Row],[Conversion Cost]]+tblData[[#This Row],[Inbound Freight]]</f>
        <v>-684</v>
      </c>
      <c r="AH831" s="74">
        <f>tblData[[#This Row],[Net Revenue]]+tblData[[#This Row],[COGS]]</f>
        <v>1033</v>
      </c>
      <c r="AI831" s="74">
        <f>tblData[[#This Row],[Advertising]]+tblData[[#This Row],[Promotions]]</f>
        <v>-228</v>
      </c>
      <c r="AJ831" s="74">
        <f>tblData[[#This Row],[Outbound Logistics]]+tblData[[#This Row],[Direct Selling]]</f>
        <v>-145</v>
      </c>
      <c r="AK831" s="74">
        <f>tblData[[#This Row],[Gross Profit]]+tblData[[#This Row],[AP Spend]]+tblData[[#This Row],[Cost to Serve]]</f>
        <v>660</v>
      </c>
    </row>
    <row r="832" spans="2:37" x14ac:dyDescent="0.25">
      <c r="B832" s="71" t="s">
        <v>50</v>
      </c>
      <c r="C832" s="71">
        <v>2026</v>
      </c>
      <c r="D832" s="71">
        <v>10</v>
      </c>
      <c r="E832" s="71" t="s">
        <v>44</v>
      </c>
      <c r="F832" s="71" t="s">
        <v>42</v>
      </c>
      <c r="G832" s="72">
        <v>247</v>
      </c>
      <c r="H832" s="73">
        <v>1482</v>
      </c>
      <c r="I832" s="73">
        <v>-237</v>
      </c>
      <c r="J832" s="73">
        <v>-18</v>
      </c>
      <c r="K832" s="73">
        <v>-469</v>
      </c>
      <c r="L832" s="73">
        <v>-117</v>
      </c>
      <c r="M832" s="73">
        <v>-65</v>
      </c>
      <c r="N832" s="73">
        <v>-29</v>
      </c>
      <c r="O832" s="73">
        <v>-16</v>
      </c>
      <c r="P832" s="73">
        <v>-59</v>
      </c>
      <c r="Q832" s="73">
        <v>-44</v>
      </c>
      <c r="R832" s="73">
        <v>0</v>
      </c>
      <c r="S832" s="73">
        <v>0</v>
      </c>
      <c r="T832" s="73">
        <v>0</v>
      </c>
      <c r="U832" s="73">
        <v>0</v>
      </c>
      <c r="V832" s="73">
        <v>0</v>
      </c>
      <c r="W832" s="73">
        <v>0</v>
      </c>
      <c r="X832" s="73">
        <v>0</v>
      </c>
      <c r="Y832" s="73">
        <v>0</v>
      </c>
      <c r="Z832" s="73">
        <v>1853</v>
      </c>
      <c r="AA832" s="73">
        <v>2167</v>
      </c>
      <c r="AB832" s="73">
        <v>0</v>
      </c>
      <c r="AC832" s="73">
        <v>0</v>
      </c>
      <c r="AD832" s="73">
        <v>0</v>
      </c>
      <c r="AE832" s="73">
        <v>0</v>
      </c>
      <c r="AF832" s="74">
        <f>tblData[[#This Row],[Gross Sales]]+tblData[[#This Row],[Trade Discounts]]+tblData[[#This Row],[Returns]]</f>
        <v>1227</v>
      </c>
      <c r="AG832" s="74">
        <f>tblData[[#This Row],[Material Cost]]+tblData[[#This Row],[Conversion Cost]]+tblData[[#This Row],[Inbound Freight]]</f>
        <v>-651</v>
      </c>
      <c r="AH832" s="74">
        <f>tblData[[#This Row],[Net Revenue]]+tblData[[#This Row],[COGS]]</f>
        <v>576</v>
      </c>
      <c r="AI832" s="74">
        <f>tblData[[#This Row],[Advertising]]+tblData[[#This Row],[Promotions]]</f>
        <v>-45</v>
      </c>
      <c r="AJ832" s="74">
        <f>tblData[[#This Row],[Outbound Logistics]]+tblData[[#This Row],[Direct Selling]]</f>
        <v>-103</v>
      </c>
      <c r="AK832" s="74">
        <f>tblData[[#This Row],[Gross Profit]]+tblData[[#This Row],[AP Spend]]+tblData[[#This Row],[Cost to Serve]]</f>
        <v>428</v>
      </c>
    </row>
    <row r="833" spans="2:37" x14ac:dyDescent="0.25">
      <c r="B833" s="71" t="s">
        <v>50</v>
      </c>
      <c r="C833" s="71">
        <v>2026</v>
      </c>
      <c r="D833" s="71">
        <v>10</v>
      </c>
      <c r="E833" s="71" t="s">
        <v>44</v>
      </c>
      <c r="F833" s="71" t="s">
        <v>43</v>
      </c>
      <c r="G833" s="72">
        <v>49.4</v>
      </c>
      <c r="H833" s="73">
        <v>889</v>
      </c>
      <c r="I833" s="73">
        <v>-142</v>
      </c>
      <c r="J833" s="73">
        <v>-11</v>
      </c>
      <c r="K833" s="73">
        <v>-243</v>
      </c>
      <c r="L833" s="73">
        <v>-61</v>
      </c>
      <c r="M833" s="73">
        <v>-34</v>
      </c>
      <c r="N833" s="73">
        <v>-81</v>
      </c>
      <c r="O833" s="73">
        <v>-44</v>
      </c>
      <c r="P833" s="73">
        <v>-36</v>
      </c>
      <c r="Q833" s="73">
        <v>-27</v>
      </c>
      <c r="R833" s="73">
        <v>0</v>
      </c>
      <c r="S833" s="73">
        <v>0</v>
      </c>
      <c r="T833" s="73">
        <v>0</v>
      </c>
      <c r="U833" s="73">
        <v>0</v>
      </c>
      <c r="V833" s="73">
        <v>0</v>
      </c>
      <c r="W833" s="73">
        <v>0</v>
      </c>
      <c r="X833" s="73">
        <v>0</v>
      </c>
      <c r="Y833" s="73">
        <v>0</v>
      </c>
      <c r="Z833" s="73">
        <v>1112</v>
      </c>
      <c r="AA833" s="73">
        <v>1225</v>
      </c>
      <c r="AB833" s="73">
        <v>0</v>
      </c>
      <c r="AC833" s="73">
        <v>0</v>
      </c>
      <c r="AD833" s="73">
        <v>0</v>
      </c>
      <c r="AE833" s="73">
        <v>0</v>
      </c>
      <c r="AF833" s="74">
        <f>tblData[[#This Row],[Gross Sales]]+tblData[[#This Row],[Trade Discounts]]+tblData[[#This Row],[Returns]]</f>
        <v>736</v>
      </c>
      <c r="AG833" s="74">
        <f>tblData[[#This Row],[Material Cost]]+tblData[[#This Row],[Conversion Cost]]+tblData[[#This Row],[Inbound Freight]]</f>
        <v>-338</v>
      </c>
      <c r="AH833" s="74">
        <f>tblData[[#This Row],[Net Revenue]]+tblData[[#This Row],[COGS]]</f>
        <v>398</v>
      </c>
      <c r="AI833" s="74">
        <f>tblData[[#This Row],[Advertising]]+tblData[[#This Row],[Promotions]]</f>
        <v>-125</v>
      </c>
      <c r="AJ833" s="74">
        <f>tblData[[#This Row],[Outbound Logistics]]+tblData[[#This Row],[Direct Selling]]</f>
        <v>-63</v>
      </c>
      <c r="AK833" s="74">
        <f>tblData[[#This Row],[Gross Profit]]+tblData[[#This Row],[AP Spend]]+tblData[[#This Row],[Cost to Serve]]</f>
        <v>210</v>
      </c>
    </row>
    <row r="834" spans="2:37" x14ac:dyDescent="0.25">
      <c r="B834" s="71" t="s">
        <v>50</v>
      </c>
      <c r="C834" s="71">
        <v>2026</v>
      </c>
      <c r="D834" s="71">
        <v>10</v>
      </c>
      <c r="E834" s="71" t="s">
        <v>45</v>
      </c>
      <c r="F834" s="71" t="s">
        <v>38</v>
      </c>
      <c r="G834" s="72">
        <v>172.9</v>
      </c>
      <c r="H834" s="73">
        <v>2420</v>
      </c>
      <c r="I834" s="73">
        <v>-532</v>
      </c>
      <c r="J834" s="73">
        <v>-24</v>
      </c>
      <c r="K834" s="73">
        <v>-523</v>
      </c>
      <c r="L834" s="73">
        <v>-131</v>
      </c>
      <c r="M834" s="73">
        <v>-73</v>
      </c>
      <c r="N834" s="73">
        <v>-142</v>
      </c>
      <c r="O834" s="73">
        <v>-76</v>
      </c>
      <c r="P834" s="73">
        <v>-85</v>
      </c>
      <c r="Q834" s="73">
        <v>-48</v>
      </c>
      <c r="R834" s="73">
        <v>0</v>
      </c>
      <c r="S834" s="73">
        <v>0</v>
      </c>
      <c r="T834" s="73">
        <v>0</v>
      </c>
      <c r="U834" s="73">
        <v>0</v>
      </c>
      <c r="V834" s="73">
        <v>0</v>
      </c>
      <c r="W834" s="73">
        <v>0</v>
      </c>
      <c r="X834" s="73">
        <v>0</v>
      </c>
      <c r="Y834" s="73">
        <v>0</v>
      </c>
      <c r="Z834" s="73">
        <v>2533</v>
      </c>
      <c r="AA834" s="73">
        <v>2084</v>
      </c>
      <c r="AB834" s="73">
        <v>0</v>
      </c>
      <c r="AC834" s="73">
        <v>0</v>
      </c>
      <c r="AD834" s="73">
        <v>0</v>
      </c>
      <c r="AE834" s="73">
        <v>0</v>
      </c>
      <c r="AF834" s="74">
        <f>tblData[[#This Row],[Gross Sales]]+tblData[[#This Row],[Trade Discounts]]+tblData[[#This Row],[Returns]]</f>
        <v>1864</v>
      </c>
      <c r="AG834" s="74">
        <f>tblData[[#This Row],[Material Cost]]+tblData[[#This Row],[Conversion Cost]]+tblData[[#This Row],[Inbound Freight]]</f>
        <v>-727</v>
      </c>
      <c r="AH834" s="74">
        <f>tblData[[#This Row],[Net Revenue]]+tblData[[#This Row],[COGS]]</f>
        <v>1137</v>
      </c>
      <c r="AI834" s="74">
        <f>tblData[[#This Row],[Advertising]]+tblData[[#This Row],[Promotions]]</f>
        <v>-218</v>
      </c>
      <c r="AJ834" s="74">
        <f>tblData[[#This Row],[Outbound Logistics]]+tblData[[#This Row],[Direct Selling]]</f>
        <v>-133</v>
      </c>
      <c r="AK834" s="74">
        <f>tblData[[#This Row],[Gross Profit]]+tblData[[#This Row],[AP Spend]]+tblData[[#This Row],[Cost to Serve]]</f>
        <v>786</v>
      </c>
    </row>
    <row r="835" spans="2:37" x14ac:dyDescent="0.25">
      <c r="B835" s="71" t="s">
        <v>50</v>
      </c>
      <c r="C835" s="71">
        <v>2026</v>
      </c>
      <c r="D835" s="71">
        <v>10</v>
      </c>
      <c r="E835" s="71" t="s">
        <v>45</v>
      </c>
      <c r="F835" s="71" t="s">
        <v>39</v>
      </c>
      <c r="G835" s="72">
        <v>230.5</v>
      </c>
      <c r="H835" s="73">
        <v>2074</v>
      </c>
      <c r="I835" s="73">
        <v>-456</v>
      </c>
      <c r="J835" s="73">
        <v>-21</v>
      </c>
      <c r="K835" s="73">
        <v>-538</v>
      </c>
      <c r="L835" s="73">
        <v>-134</v>
      </c>
      <c r="M835" s="73">
        <v>-75</v>
      </c>
      <c r="N835" s="73">
        <v>-81</v>
      </c>
      <c r="O835" s="73">
        <v>-44</v>
      </c>
      <c r="P835" s="73">
        <v>-73</v>
      </c>
      <c r="Q835" s="73">
        <v>-41</v>
      </c>
      <c r="R835" s="73">
        <v>0</v>
      </c>
      <c r="S835" s="73">
        <v>0</v>
      </c>
      <c r="T835" s="73">
        <v>0</v>
      </c>
      <c r="U835" s="73">
        <v>0</v>
      </c>
      <c r="V835" s="73">
        <v>0</v>
      </c>
      <c r="W835" s="73">
        <v>0</v>
      </c>
      <c r="X835" s="73">
        <v>0</v>
      </c>
      <c r="Y835" s="73">
        <v>0</v>
      </c>
      <c r="Z835" s="73">
        <v>2171</v>
      </c>
      <c r="AA835" s="73">
        <v>1805</v>
      </c>
      <c r="AB835" s="73">
        <v>0</v>
      </c>
      <c r="AC835" s="73">
        <v>0</v>
      </c>
      <c r="AD835" s="73">
        <v>0</v>
      </c>
      <c r="AE835" s="73">
        <v>0</v>
      </c>
      <c r="AF835" s="74">
        <f>tblData[[#This Row],[Gross Sales]]+tblData[[#This Row],[Trade Discounts]]+tblData[[#This Row],[Returns]]</f>
        <v>1597</v>
      </c>
      <c r="AG835" s="74">
        <f>tblData[[#This Row],[Material Cost]]+tblData[[#This Row],[Conversion Cost]]+tblData[[#This Row],[Inbound Freight]]</f>
        <v>-747</v>
      </c>
      <c r="AH835" s="74">
        <f>tblData[[#This Row],[Net Revenue]]+tblData[[#This Row],[COGS]]</f>
        <v>850</v>
      </c>
      <c r="AI835" s="74">
        <f>tblData[[#This Row],[Advertising]]+tblData[[#This Row],[Promotions]]</f>
        <v>-125</v>
      </c>
      <c r="AJ835" s="74">
        <f>tblData[[#This Row],[Outbound Logistics]]+tblData[[#This Row],[Direct Selling]]</f>
        <v>-114</v>
      </c>
      <c r="AK835" s="74">
        <f>tblData[[#This Row],[Gross Profit]]+tblData[[#This Row],[AP Spend]]+tblData[[#This Row],[Cost to Serve]]</f>
        <v>611</v>
      </c>
    </row>
    <row r="836" spans="2:37" x14ac:dyDescent="0.25">
      <c r="B836" s="71" t="s">
        <v>50</v>
      </c>
      <c r="C836" s="71">
        <v>2026</v>
      </c>
      <c r="D836" s="71">
        <v>10</v>
      </c>
      <c r="E836" s="71" t="s">
        <v>45</v>
      </c>
      <c r="F836" s="71" t="s">
        <v>40</v>
      </c>
      <c r="G836" s="72">
        <v>222.3</v>
      </c>
      <c r="H836" s="73">
        <v>1556</v>
      </c>
      <c r="I836" s="73">
        <v>-342</v>
      </c>
      <c r="J836" s="73">
        <v>-16</v>
      </c>
      <c r="K836" s="73">
        <v>-448</v>
      </c>
      <c r="L836" s="73">
        <v>-112</v>
      </c>
      <c r="M836" s="73">
        <v>-62</v>
      </c>
      <c r="N836" s="73">
        <v>-40</v>
      </c>
      <c r="O836" s="73">
        <v>-22</v>
      </c>
      <c r="P836" s="73">
        <v>-54</v>
      </c>
      <c r="Q836" s="73">
        <v>-31</v>
      </c>
      <c r="R836" s="73">
        <v>0</v>
      </c>
      <c r="S836" s="73">
        <v>0</v>
      </c>
      <c r="T836" s="73">
        <v>0</v>
      </c>
      <c r="U836" s="73">
        <v>0</v>
      </c>
      <c r="V836" s="73">
        <v>0</v>
      </c>
      <c r="W836" s="73">
        <v>0</v>
      </c>
      <c r="X836" s="73">
        <v>0</v>
      </c>
      <c r="Y836" s="73">
        <v>0</v>
      </c>
      <c r="Z836" s="73">
        <v>1629</v>
      </c>
      <c r="AA836" s="73">
        <v>1410</v>
      </c>
      <c r="AB836" s="73">
        <v>0</v>
      </c>
      <c r="AC836" s="73">
        <v>0</v>
      </c>
      <c r="AD836" s="73">
        <v>0</v>
      </c>
      <c r="AE836" s="73">
        <v>0</v>
      </c>
      <c r="AF836" s="74">
        <f>tblData[[#This Row],[Gross Sales]]+tblData[[#This Row],[Trade Discounts]]+tblData[[#This Row],[Returns]]</f>
        <v>1198</v>
      </c>
      <c r="AG836" s="74">
        <f>tblData[[#This Row],[Material Cost]]+tblData[[#This Row],[Conversion Cost]]+tblData[[#This Row],[Inbound Freight]]</f>
        <v>-622</v>
      </c>
      <c r="AH836" s="74">
        <f>tblData[[#This Row],[Net Revenue]]+tblData[[#This Row],[COGS]]</f>
        <v>576</v>
      </c>
      <c r="AI836" s="74">
        <f>tblData[[#This Row],[Advertising]]+tblData[[#This Row],[Promotions]]</f>
        <v>-62</v>
      </c>
      <c r="AJ836" s="74">
        <f>tblData[[#This Row],[Outbound Logistics]]+tblData[[#This Row],[Direct Selling]]</f>
        <v>-85</v>
      </c>
      <c r="AK836" s="74">
        <f>tblData[[#This Row],[Gross Profit]]+tblData[[#This Row],[AP Spend]]+tblData[[#This Row],[Cost to Serve]]</f>
        <v>429</v>
      </c>
    </row>
    <row r="837" spans="2:37" x14ac:dyDescent="0.25">
      <c r="B837" s="71" t="s">
        <v>50</v>
      </c>
      <c r="C837" s="71">
        <v>2026</v>
      </c>
      <c r="D837" s="71">
        <v>10</v>
      </c>
      <c r="E837" s="71" t="s">
        <v>45</v>
      </c>
      <c r="F837" s="71" t="s">
        <v>41</v>
      </c>
      <c r="G837" s="72">
        <v>110</v>
      </c>
      <c r="H837" s="73">
        <v>1210</v>
      </c>
      <c r="I837" s="73">
        <v>-266</v>
      </c>
      <c r="J837" s="73">
        <v>-12</v>
      </c>
      <c r="K837" s="73">
        <v>-288</v>
      </c>
      <c r="L837" s="73">
        <v>-72</v>
      </c>
      <c r="M837" s="73">
        <v>-40</v>
      </c>
      <c r="N837" s="73">
        <v>-87</v>
      </c>
      <c r="O837" s="73">
        <v>-47</v>
      </c>
      <c r="P837" s="73">
        <v>-42</v>
      </c>
      <c r="Q837" s="73">
        <v>-24</v>
      </c>
      <c r="R837" s="73">
        <v>0</v>
      </c>
      <c r="S837" s="73">
        <v>0</v>
      </c>
      <c r="T837" s="73">
        <v>0</v>
      </c>
      <c r="U837" s="73">
        <v>0</v>
      </c>
      <c r="V837" s="73">
        <v>0</v>
      </c>
      <c r="W837" s="73">
        <v>0</v>
      </c>
      <c r="X837" s="73">
        <v>0</v>
      </c>
      <c r="Y837" s="73">
        <v>0</v>
      </c>
      <c r="Z837" s="73">
        <v>1267</v>
      </c>
      <c r="AA837" s="73">
        <v>1086</v>
      </c>
      <c r="AB837" s="73">
        <v>0</v>
      </c>
      <c r="AC837" s="73">
        <v>0</v>
      </c>
      <c r="AD837" s="73">
        <v>0</v>
      </c>
      <c r="AE837" s="73">
        <v>0</v>
      </c>
      <c r="AF837" s="74">
        <f>tblData[[#This Row],[Gross Sales]]+tblData[[#This Row],[Trade Discounts]]+tblData[[#This Row],[Returns]]</f>
        <v>932</v>
      </c>
      <c r="AG837" s="74">
        <f>tblData[[#This Row],[Material Cost]]+tblData[[#This Row],[Conversion Cost]]+tblData[[#This Row],[Inbound Freight]]</f>
        <v>-400</v>
      </c>
      <c r="AH837" s="74">
        <f>tblData[[#This Row],[Net Revenue]]+tblData[[#This Row],[COGS]]</f>
        <v>532</v>
      </c>
      <c r="AI837" s="74">
        <f>tblData[[#This Row],[Advertising]]+tblData[[#This Row],[Promotions]]</f>
        <v>-134</v>
      </c>
      <c r="AJ837" s="74">
        <f>tblData[[#This Row],[Outbound Logistics]]+tblData[[#This Row],[Direct Selling]]</f>
        <v>-66</v>
      </c>
      <c r="AK837" s="74">
        <f>tblData[[#This Row],[Gross Profit]]+tblData[[#This Row],[AP Spend]]+tblData[[#This Row],[Cost to Serve]]</f>
        <v>332</v>
      </c>
    </row>
    <row r="838" spans="2:37" x14ac:dyDescent="0.25">
      <c r="B838" s="71" t="s">
        <v>50</v>
      </c>
      <c r="C838" s="71">
        <v>2026</v>
      </c>
      <c r="D838" s="71">
        <v>10</v>
      </c>
      <c r="E838" s="71" t="s">
        <v>45</v>
      </c>
      <c r="F838" s="71" t="s">
        <v>42</v>
      </c>
      <c r="G838" s="72">
        <v>144.1</v>
      </c>
      <c r="H838" s="73">
        <v>864</v>
      </c>
      <c r="I838" s="73">
        <v>-190</v>
      </c>
      <c r="J838" s="73">
        <v>-9</v>
      </c>
      <c r="K838" s="73">
        <v>-274</v>
      </c>
      <c r="L838" s="73">
        <v>-68</v>
      </c>
      <c r="M838" s="73">
        <v>-38</v>
      </c>
      <c r="N838" s="73">
        <v>-17</v>
      </c>
      <c r="O838" s="73">
        <v>-9</v>
      </c>
      <c r="P838" s="73">
        <v>-30</v>
      </c>
      <c r="Q838" s="73">
        <v>-17</v>
      </c>
      <c r="R838" s="73">
        <v>0</v>
      </c>
      <c r="S838" s="73">
        <v>0</v>
      </c>
      <c r="T838" s="73">
        <v>0</v>
      </c>
      <c r="U838" s="73">
        <v>0</v>
      </c>
      <c r="V838" s="73">
        <v>0</v>
      </c>
      <c r="W838" s="73">
        <v>0</v>
      </c>
      <c r="X838" s="73">
        <v>0</v>
      </c>
      <c r="Y838" s="73">
        <v>0</v>
      </c>
      <c r="Z838" s="73">
        <v>905</v>
      </c>
      <c r="AA838" s="73">
        <v>1264</v>
      </c>
      <c r="AB838" s="73">
        <v>0</v>
      </c>
      <c r="AC838" s="73">
        <v>0</v>
      </c>
      <c r="AD838" s="73">
        <v>0</v>
      </c>
      <c r="AE838" s="73">
        <v>0</v>
      </c>
      <c r="AF838" s="74">
        <f>tblData[[#This Row],[Gross Sales]]+tblData[[#This Row],[Trade Discounts]]+tblData[[#This Row],[Returns]]</f>
        <v>665</v>
      </c>
      <c r="AG838" s="74">
        <f>tblData[[#This Row],[Material Cost]]+tblData[[#This Row],[Conversion Cost]]+tblData[[#This Row],[Inbound Freight]]</f>
        <v>-380</v>
      </c>
      <c r="AH838" s="74">
        <f>tblData[[#This Row],[Net Revenue]]+tblData[[#This Row],[COGS]]</f>
        <v>285</v>
      </c>
      <c r="AI838" s="74">
        <f>tblData[[#This Row],[Advertising]]+tblData[[#This Row],[Promotions]]</f>
        <v>-26</v>
      </c>
      <c r="AJ838" s="74">
        <f>tblData[[#This Row],[Outbound Logistics]]+tblData[[#This Row],[Direct Selling]]</f>
        <v>-47</v>
      </c>
      <c r="AK838" s="74">
        <f>tblData[[#This Row],[Gross Profit]]+tblData[[#This Row],[AP Spend]]+tblData[[#This Row],[Cost to Serve]]</f>
        <v>212</v>
      </c>
    </row>
    <row r="839" spans="2:37" x14ac:dyDescent="0.25">
      <c r="B839" s="71" t="s">
        <v>50</v>
      </c>
      <c r="C839" s="71">
        <v>2026</v>
      </c>
      <c r="D839" s="71">
        <v>10</v>
      </c>
      <c r="E839" s="71" t="s">
        <v>45</v>
      </c>
      <c r="F839" s="71" t="s">
        <v>43</v>
      </c>
      <c r="G839" s="72">
        <v>28.8</v>
      </c>
      <c r="H839" s="73">
        <v>519</v>
      </c>
      <c r="I839" s="73">
        <v>-114</v>
      </c>
      <c r="J839" s="73">
        <v>-5</v>
      </c>
      <c r="K839" s="73">
        <v>-142</v>
      </c>
      <c r="L839" s="73">
        <v>-35</v>
      </c>
      <c r="M839" s="73">
        <v>-20</v>
      </c>
      <c r="N839" s="73">
        <v>-47</v>
      </c>
      <c r="O839" s="73">
        <v>-25</v>
      </c>
      <c r="P839" s="73">
        <v>-18</v>
      </c>
      <c r="Q839" s="73">
        <v>-10</v>
      </c>
      <c r="R839" s="73">
        <v>0</v>
      </c>
      <c r="S839" s="73">
        <v>0</v>
      </c>
      <c r="T839" s="73">
        <v>0</v>
      </c>
      <c r="U839" s="73">
        <v>0</v>
      </c>
      <c r="V839" s="73">
        <v>0</v>
      </c>
      <c r="W839" s="73">
        <v>0</v>
      </c>
      <c r="X839" s="73">
        <v>0</v>
      </c>
      <c r="Y839" s="73">
        <v>0</v>
      </c>
      <c r="Z839" s="73">
        <v>543</v>
      </c>
      <c r="AA839" s="73">
        <v>714</v>
      </c>
      <c r="AB839" s="73">
        <v>0</v>
      </c>
      <c r="AC839" s="73">
        <v>0</v>
      </c>
      <c r="AD839" s="73">
        <v>0</v>
      </c>
      <c r="AE839" s="73">
        <v>0</v>
      </c>
      <c r="AF839" s="74">
        <f>tblData[[#This Row],[Gross Sales]]+tblData[[#This Row],[Trade Discounts]]+tblData[[#This Row],[Returns]]</f>
        <v>400</v>
      </c>
      <c r="AG839" s="74">
        <f>tblData[[#This Row],[Material Cost]]+tblData[[#This Row],[Conversion Cost]]+tblData[[#This Row],[Inbound Freight]]</f>
        <v>-197</v>
      </c>
      <c r="AH839" s="74">
        <f>tblData[[#This Row],[Net Revenue]]+tblData[[#This Row],[COGS]]</f>
        <v>203</v>
      </c>
      <c r="AI839" s="74">
        <f>tblData[[#This Row],[Advertising]]+tblData[[#This Row],[Promotions]]</f>
        <v>-72</v>
      </c>
      <c r="AJ839" s="74">
        <f>tblData[[#This Row],[Outbound Logistics]]+tblData[[#This Row],[Direct Selling]]</f>
        <v>-28</v>
      </c>
      <c r="AK839" s="74">
        <f>tblData[[#This Row],[Gross Profit]]+tblData[[#This Row],[AP Spend]]+tblData[[#This Row],[Cost to Serve]]</f>
        <v>103</v>
      </c>
    </row>
    <row r="840" spans="2:37" x14ac:dyDescent="0.25">
      <c r="B840" s="71" t="s">
        <v>50</v>
      </c>
      <c r="C840" s="71">
        <v>2026</v>
      </c>
      <c r="D840" s="71">
        <v>10</v>
      </c>
      <c r="E840" s="71" t="s">
        <v>46</v>
      </c>
      <c r="F840" s="71" t="s">
        <v>38</v>
      </c>
      <c r="G840" s="72">
        <v>197.6</v>
      </c>
      <c r="H840" s="73">
        <v>2766</v>
      </c>
      <c r="I840" s="73">
        <v>-304</v>
      </c>
      <c r="J840" s="73">
        <v>-111</v>
      </c>
      <c r="K840" s="73">
        <v>-597</v>
      </c>
      <c r="L840" s="73">
        <v>-149</v>
      </c>
      <c r="M840" s="73">
        <v>-83</v>
      </c>
      <c r="N840" s="73">
        <v>-162</v>
      </c>
      <c r="O840" s="73">
        <v>-87</v>
      </c>
      <c r="P840" s="73">
        <v>-207</v>
      </c>
      <c r="Q840" s="73">
        <v>-55</v>
      </c>
      <c r="R840" s="73">
        <v>0</v>
      </c>
      <c r="S840" s="73">
        <v>0</v>
      </c>
      <c r="T840" s="73">
        <v>0</v>
      </c>
      <c r="U840" s="73">
        <v>0</v>
      </c>
      <c r="V840" s="73">
        <v>0</v>
      </c>
      <c r="W840" s="73">
        <v>0</v>
      </c>
      <c r="X840" s="73">
        <v>0</v>
      </c>
      <c r="Y840" s="73">
        <v>0</v>
      </c>
      <c r="Z840" s="73">
        <v>1776</v>
      </c>
      <c r="AA840" s="73">
        <v>2381</v>
      </c>
      <c r="AB840" s="73">
        <v>0</v>
      </c>
      <c r="AC840" s="73">
        <v>0</v>
      </c>
      <c r="AD840" s="73">
        <v>0</v>
      </c>
      <c r="AE840" s="73">
        <v>0</v>
      </c>
      <c r="AF840" s="74">
        <f>tblData[[#This Row],[Gross Sales]]+tblData[[#This Row],[Trade Discounts]]+tblData[[#This Row],[Returns]]</f>
        <v>2351</v>
      </c>
      <c r="AG840" s="74">
        <f>tblData[[#This Row],[Material Cost]]+tblData[[#This Row],[Conversion Cost]]+tblData[[#This Row],[Inbound Freight]]</f>
        <v>-829</v>
      </c>
      <c r="AH840" s="74">
        <f>tblData[[#This Row],[Net Revenue]]+tblData[[#This Row],[COGS]]</f>
        <v>1522</v>
      </c>
      <c r="AI840" s="74">
        <f>tblData[[#This Row],[Advertising]]+tblData[[#This Row],[Promotions]]</f>
        <v>-249</v>
      </c>
      <c r="AJ840" s="74">
        <f>tblData[[#This Row],[Outbound Logistics]]+tblData[[#This Row],[Direct Selling]]</f>
        <v>-262</v>
      </c>
      <c r="AK840" s="74">
        <f>tblData[[#This Row],[Gross Profit]]+tblData[[#This Row],[AP Spend]]+tblData[[#This Row],[Cost to Serve]]</f>
        <v>1011</v>
      </c>
    </row>
    <row r="841" spans="2:37" x14ac:dyDescent="0.25">
      <c r="B841" s="71" t="s">
        <v>50</v>
      </c>
      <c r="C841" s="71">
        <v>2026</v>
      </c>
      <c r="D841" s="71">
        <v>10</v>
      </c>
      <c r="E841" s="71" t="s">
        <v>46</v>
      </c>
      <c r="F841" s="71" t="s">
        <v>39</v>
      </c>
      <c r="G841" s="72">
        <v>263.39999999999998</v>
      </c>
      <c r="H841" s="73">
        <v>2371</v>
      </c>
      <c r="I841" s="73">
        <v>-261</v>
      </c>
      <c r="J841" s="73">
        <v>-95</v>
      </c>
      <c r="K841" s="73">
        <v>-615</v>
      </c>
      <c r="L841" s="73">
        <v>-154</v>
      </c>
      <c r="M841" s="73">
        <v>-85</v>
      </c>
      <c r="N841" s="73">
        <v>-92</v>
      </c>
      <c r="O841" s="73">
        <v>-50</v>
      </c>
      <c r="P841" s="73">
        <v>-178</v>
      </c>
      <c r="Q841" s="73">
        <v>-47</v>
      </c>
      <c r="R841" s="73">
        <v>0</v>
      </c>
      <c r="S841" s="73">
        <v>0</v>
      </c>
      <c r="T841" s="73">
        <v>0</v>
      </c>
      <c r="U841" s="73">
        <v>0</v>
      </c>
      <c r="V841" s="73">
        <v>0</v>
      </c>
      <c r="W841" s="73">
        <v>0</v>
      </c>
      <c r="X841" s="73">
        <v>0</v>
      </c>
      <c r="Y841" s="73">
        <v>0</v>
      </c>
      <c r="Z841" s="73">
        <v>1522</v>
      </c>
      <c r="AA841" s="73">
        <v>2063</v>
      </c>
      <c r="AB841" s="73">
        <v>0</v>
      </c>
      <c r="AC841" s="73">
        <v>0</v>
      </c>
      <c r="AD841" s="73">
        <v>0</v>
      </c>
      <c r="AE841" s="73">
        <v>0</v>
      </c>
      <c r="AF841" s="74">
        <f>tblData[[#This Row],[Gross Sales]]+tblData[[#This Row],[Trade Discounts]]+tblData[[#This Row],[Returns]]</f>
        <v>2015</v>
      </c>
      <c r="AG841" s="74">
        <f>tblData[[#This Row],[Material Cost]]+tblData[[#This Row],[Conversion Cost]]+tblData[[#This Row],[Inbound Freight]]</f>
        <v>-854</v>
      </c>
      <c r="AH841" s="74">
        <f>tblData[[#This Row],[Net Revenue]]+tblData[[#This Row],[COGS]]</f>
        <v>1161</v>
      </c>
      <c r="AI841" s="74">
        <f>tblData[[#This Row],[Advertising]]+tblData[[#This Row],[Promotions]]</f>
        <v>-142</v>
      </c>
      <c r="AJ841" s="74">
        <f>tblData[[#This Row],[Outbound Logistics]]+tblData[[#This Row],[Direct Selling]]</f>
        <v>-225</v>
      </c>
      <c r="AK841" s="74">
        <f>tblData[[#This Row],[Gross Profit]]+tblData[[#This Row],[AP Spend]]+tblData[[#This Row],[Cost to Serve]]</f>
        <v>794</v>
      </c>
    </row>
    <row r="842" spans="2:37" x14ac:dyDescent="0.25">
      <c r="B842" s="71" t="s">
        <v>50</v>
      </c>
      <c r="C842" s="71">
        <v>2026</v>
      </c>
      <c r="D842" s="71">
        <v>10</v>
      </c>
      <c r="E842" s="71" t="s">
        <v>46</v>
      </c>
      <c r="F842" s="71" t="s">
        <v>40</v>
      </c>
      <c r="G842" s="72">
        <v>254</v>
      </c>
      <c r="H842" s="73">
        <v>1778</v>
      </c>
      <c r="I842" s="73">
        <v>-196</v>
      </c>
      <c r="J842" s="73">
        <v>-71</v>
      </c>
      <c r="K842" s="73">
        <v>-512</v>
      </c>
      <c r="L842" s="73">
        <v>-128</v>
      </c>
      <c r="M842" s="73">
        <v>-71</v>
      </c>
      <c r="N842" s="73">
        <v>-46</v>
      </c>
      <c r="O842" s="73">
        <v>-25</v>
      </c>
      <c r="P842" s="73">
        <v>-133</v>
      </c>
      <c r="Q842" s="73">
        <v>-36</v>
      </c>
      <c r="R842" s="73">
        <v>0</v>
      </c>
      <c r="S842" s="73">
        <v>0</v>
      </c>
      <c r="T842" s="73">
        <v>0</v>
      </c>
      <c r="U842" s="73">
        <v>0</v>
      </c>
      <c r="V842" s="73">
        <v>0</v>
      </c>
      <c r="W842" s="73">
        <v>0</v>
      </c>
      <c r="X842" s="73">
        <v>0</v>
      </c>
      <c r="Y842" s="73">
        <v>0</v>
      </c>
      <c r="Z842" s="73">
        <v>1141</v>
      </c>
      <c r="AA842" s="73">
        <v>1611</v>
      </c>
      <c r="AB842" s="73">
        <v>0</v>
      </c>
      <c r="AC842" s="73">
        <v>0</v>
      </c>
      <c r="AD842" s="73">
        <v>0</v>
      </c>
      <c r="AE842" s="73">
        <v>0</v>
      </c>
      <c r="AF842" s="74">
        <f>tblData[[#This Row],[Gross Sales]]+tblData[[#This Row],[Trade Discounts]]+tblData[[#This Row],[Returns]]</f>
        <v>1511</v>
      </c>
      <c r="AG842" s="74">
        <f>tblData[[#This Row],[Material Cost]]+tblData[[#This Row],[Conversion Cost]]+tblData[[#This Row],[Inbound Freight]]</f>
        <v>-711</v>
      </c>
      <c r="AH842" s="74">
        <f>tblData[[#This Row],[Net Revenue]]+tblData[[#This Row],[COGS]]</f>
        <v>800</v>
      </c>
      <c r="AI842" s="74">
        <f>tblData[[#This Row],[Advertising]]+tblData[[#This Row],[Promotions]]</f>
        <v>-71</v>
      </c>
      <c r="AJ842" s="74">
        <f>tblData[[#This Row],[Outbound Logistics]]+tblData[[#This Row],[Direct Selling]]</f>
        <v>-169</v>
      </c>
      <c r="AK842" s="74">
        <f>tblData[[#This Row],[Gross Profit]]+tblData[[#This Row],[AP Spend]]+tblData[[#This Row],[Cost to Serve]]</f>
        <v>560</v>
      </c>
    </row>
    <row r="843" spans="2:37" x14ac:dyDescent="0.25">
      <c r="B843" s="71" t="s">
        <v>50</v>
      </c>
      <c r="C843" s="71">
        <v>2026</v>
      </c>
      <c r="D843" s="71">
        <v>10</v>
      </c>
      <c r="E843" s="71" t="s">
        <v>46</v>
      </c>
      <c r="F843" s="71" t="s">
        <v>41</v>
      </c>
      <c r="G843" s="72">
        <v>125.7</v>
      </c>
      <c r="H843" s="73">
        <v>1383</v>
      </c>
      <c r="I843" s="73">
        <v>-152</v>
      </c>
      <c r="J843" s="73">
        <v>-55</v>
      </c>
      <c r="K843" s="73">
        <v>-329</v>
      </c>
      <c r="L843" s="73">
        <v>-82</v>
      </c>
      <c r="M843" s="73">
        <v>-46</v>
      </c>
      <c r="N843" s="73">
        <v>-99</v>
      </c>
      <c r="O843" s="73">
        <v>-53</v>
      </c>
      <c r="P843" s="73">
        <v>-104</v>
      </c>
      <c r="Q843" s="73">
        <v>-28</v>
      </c>
      <c r="R843" s="73">
        <v>0</v>
      </c>
      <c r="S843" s="73">
        <v>0</v>
      </c>
      <c r="T843" s="73">
        <v>0</v>
      </c>
      <c r="U843" s="73">
        <v>0</v>
      </c>
      <c r="V843" s="73">
        <v>0</v>
      </c>
      <c r="W843" s="73">
        <v>0</v>
      </c>
      <c r="X843" s="73">
        <v>0</v>
      </c>
      <c r="Y843" s="73">
        <v>0</v>
      </c>
      <c r="Z843" s="73">
        <v>888</v>
      </c>
      <c r="AA843" s="73">
        <v>1241</v>
      </c>
      <c r="AB843" s="73">
        <v>0</v>
      </c>
      <c r="AC843" s="73">
        <v>0</v>
      </c>
      <c r="AD843" s="73">
        <v>0</v>
      </c>
      <c r="AE843" s="73">
        <v>0</v>
      </c>
      <c r="AF843" s="74">
        <f>tblData[[#This Row],[Gross Sales]]+tblData[[#This Row],[Trade Discounts]]+tblData[[#This Row],[Returns]]</f>
        <v>1176</v>
      </c>
      <c r="AG843" s="74">
        <f>tblData[[#This Row],[Material Cost]]+tblData[[#This Row],[Conversion Cost]]+tblData[[#This Row],[Inbound Freight]]</f>
        <v>-457</v>
      </c>
      <c r="AH843" s="74">
        <f>tblData[[#This Row],[Net Revenue]]+tblData[[#This Row],[COGS]]</f>
        <v>719</v>
      </c>
      <c r="AI843" s="74">
        <f>tblData[[#This Row],[Advertising]]+tblData[[#This Row],[Promotions]]</f>
        <v>-152</v>
      </c>
      <c r="AJ843" s="74">
        <f>tblData[[#This Row],[Outbound Logistics]]+tblData[[#This Row],[Direct Selling]]</f>
        <v>-132</v>
      </c>
      <c r="AK843" s="74">
        <f>tblData[[#This Row],[Gross Profit]]+tblData[[#This Row],[AP Spend]]+tblData[[#This Row],[Cost to Serve]]</f>
        <v>435</v>
      </c>
    </row>
    <row r="844" spans="2:37" x14ac:dyDescent="0.25">
      <c r="B844" s="71" t="s">
        <v>50</v>
      </c>
      <c r="C844" s="71">
        <v>2026</v>
      </c>
      <c r="D844" s="71">
        <v>10</v>
      </c>
      <c r="E844" s="71" t="s">
        <v>46</v>
      </c>
      <c r="F844" s="71" t="s">
        <v>42</v>
      </c>
      <c r="G844" s="72">
        <v>164.6</v>
      </c>
      <c r="H844" s="73">
        <v>988</v>
      </c>
      <c r="I844" s="73">
        <v>-109</v>
      </c>
      <c r="J844" s="73">
        <v>-40</v>
      </c>
      <c r="K844" s="73">
        <v>-313</v>
      </c>
      <c r="L844" s="73">
        <v>-78</v>
      </c>
      <c r="M844" s="73">
        <v>-43</v>
      </c>
      <c r="N844" s="73">
        <v>-19</v>
      </c>
      <c r="O844" s="73">
        <v>-10</v>
      </c>
      <c r="P844" s="73">
        <v>-74</v>
      </c>
      <c r="Q844" s="73">
        <v>-20</v>
      </c>
      <c r="R844" s="73">
        <v>0</v>
      </c>
      <c r="S844" s="73">
        <v>0</v>
      </c>
      <c r="T844" s="73">
        <v>0</v>
      </c>
      <c r="U844" s="73">
        <v>0</v>
      </c>
      <c r="V844" s="73">
        <v>0</v>
      </c>
      <c r="W844" s="73">
        <v>0</v>
      </c>
      <c r="X844" s="73">
        <v>0</v>
      </c>
      <c r="Y844" s="73">
        <v>0</v>
      </c>
      <c r="Z844" s="73">
        <v>634</v>
      </c>
      <c r="AA844" s="73">
        <v>1444</v>
      </c>
      <c r="AB844" s="73">
        <v>0</v>
      </c>
      <c r="AC844" s="73">
        <v>0</v>
      </c>
      <c r="AD844" s="73">
        <v>0</v>
      </c>
      <c r="AE844" s="73">
        <v>0</v>
      </c>
      <c r="AF844" s="74">
        <f>tblData[[#This Row],[Gross Sales]]+tblData[[#This Row],[Trade Discounts]]+tblData[[#This Row],[Returns]]</f>
        <v>839</v>
      </c>
      <c r="AG844" s="74">
        <f>tblData[[#This Row],[Material Cost]]+tblData[[#This Row],[Conversion Cost]]+tblData[[#This Row],[Inbound Freight]]</f>
        <v>-434</v>
      </c>
      <c r="AH844" s="74">
        <f>tblData[[#This Row],[Net Revenue]]+tblData[[#This Row],[COGS]]</f>
        <v>405</v>
      </c>
      <c r="AI844" s="74">
        <f>tblData[[#This Row],[Advertising]]+tblData[[#This Row],[Promotions]]</f>
        <v>-29</v>
      </c>
      <c r="AJ844" s="74">
        <f>tblData[[#This Row],[Outbound Logistics]]+tblData[[#This Row],[Direct Selling]]</f>
        <v>-94</v>
      </c>
      <c r="AK844" s="74">
        <f>tblData[[#This Row],[Gross Profit]]+tblData[[#This Row],[AP Spend]]+tblData[[#This Row],[Cost to Serve]]</f>
        <v>282</v>
      </c>
    </row>
    <row r="845" spans="2:37" x14ac:dyDescent="0.25">
      <c r="B845" s="71" t="s">
        <v>50</v>
      </c>
      <c r="C845" s="71">
        <v>2026</v>
      </c>
      <c r="D845" s="71">
        <v>10</v>
      </c>
      <c r="E845" s="71" t="s">
        <v>46</v>
      </c>
      <c r="F845" s="71" t="s">
        <v>43</v>
      </c>
      <c r="G845" s="72">
        <v>32.9</v>
      </c>
      <c r="H845" s="73">
        <v>593</v>
      </c>
      <c r="I845" s="73">
        <v>-65</v>
      </c>
      <c r="J845" s="73">
        <v>-24</v>
      </c>
      <c r="K845" s="73">
        <v>-162</v>
      </c>
      <c r="L845" s="73">
        <v>-41</v>
      </c>
      <c r="M845" s="73">
        <v>-23</v>
      </c>
      <c r="N845" s="73">
        <v>-54</v>
      </c>
      <c r="O845" s="73">
        <v>-29</v>
      </c>
      <c r="P845" s="73">
        <v>-44</v>
      </c>
      <c r="Q845" s="73">
        <v>-12</v>
      </c>
      <c r="R845" s="73">
        <v>0</v>
      </c>
      <c r="S845" s="73">
        <v>0</v>
      </c>
      <c r="T845" s="73">
        <v>0</v>
      </c>
      <c r="U845" s="73">
        <v>0</v>
      </c>
      <c r="V845" s="73">
        <v>0</v>
      </c>
      <c r="W845" s="73">
        <v>0</v>
      </c>
      <c r="X845" s="73">
        <v>0</v>
      </c>
      <c r="Y845" s="73">
        <v>0</v>
      </c>
      <c r="Z845" s="73">
        <v>380</v>
      </c>
      <c r="AA845" s="73">
        <v>816</v>
      </c>
      <c r="AB845" s="73">
        <v>0</v>
      </c>
      <c r="AC845" s="73">
        <v>0</v>
      </c>
      <c r="AD845" s="73">
        <v>0</v>
      </c>
      <c r="AE845" s="73">
        <v>0</v>
      </c>
      <c r="AF845" s="74">
        <f>tblData[[#This Row],[Gross Sales]]+tblData[[#This Row],[Trade Discounts]]+tblData[[#This Row],[Returns]]</f>
        <v>504</v>
      </c>
      <c r="AG845" s="74">
        <f>tblData[[#This Row],[Material Cost]]+tblData[[#This Row],[Conversion Cost]]+tblData[[#This Row],[Inbound Freight]]</f>
        <v>-226</v>
      </c>
      <c r="AH845" s="74">
        <f>tblData[[#This Row],[Net Revenue]]+tblData[[#This Row],[COGS]]</f>
        <v>278</v>
      </c>
      <c r="AI845" s="74">
        <f>tblData[[#This Row],[Advertising]]+tblData[[#This Row],[Promotions]]</f>
        <v>-83</v>
      </c>
      <c r="AJ845" s="74">
        <f>tblData[[#This Row],[Outbound Logistics]]+tblData[[#This Row],[Direct Selling]]</f>
        <v>-56</v>
      </c>
      <c r="AK845" s="74">
        <f>tblData[[#This Row],[Gross Profit]]+tblData[[#This Row],[AP Spend]]+tblData[[#This Row],[Cost to Serve]]</f>
        <v>139</v>
      </c>
    </row>
    <row r="846" spans="2:37" x14ac:dyDescent="0.25">
      <c r="B846" s="71" t="s">
        <v>50</v>
      </c>
      <c r="C846" s="71">
        <v>2026</v>
      </c>
      <c r="D846" s="71">
        <v>10</v>
      </c>
      <c r="E846" s="71" t="s">
        <v>47</v>
      </c>
      <c r="F846" s="71" t="s">
        <v>38</v>
      </c>
      <c r="G846" s="72">
        <v>74.099999999999994</v>
      </c>
      <c r="H846" s="73">
        <v>1037</v>
      </c>
      <c r="I846" s="73">
        <v>-31</v>
      </c>
      <c r="J846" s="73">
        <v>-52</v>
      </c>
      <c r="K846" s="73">
        <v>-224</v>
      </c>
      <c r="L846" s="73">
        <v>-56</v>
      </c>
      <c r="M846" s="73">
        <v>-31</v>
      </c>
      <c r="N846" s="73">
        <v>-61</v>
      </c>
      <c r="O846" s="73">
        <v>-33</v>
      </c>
      <c r="P846" s="73">
        <v>-124</v>
      </c>
      <c r="Q846" s="73">
        <v>-41</v>
      </c>
      <c r="R846" s="73">
        <v>0</v>
      </c>
      <c r="S846" s="73">
        <v>0</v>
      </c>
      <c r="T846" s="73">
        <v>0</v>
      </c>
      <c r="U846" s="73">
        <v>0</v>
      </c>
      <c r="V846" s="73">
        <v>0</v>
      </c>
      <c r="W846" s="73">
        <v>0</v>
      </c>
      <c r="X846" s="73">
        <v>0</v>
      </c>
      <c r="Y846" s="73">
        <v>0</v>
      </c>
      <c r="Z846" s="73">
        <v>86</v>
      </c>
      <c r="AA846" s="73">
        <v>893</v>
      </c>
      <c r="AB846" s="73">
        <v>0</v>
      </c>
      <c r="AC846" s="73">
        <v>0</v>
      </c>
      <c r="AD846" s="73">
        <v>0</v>
      </c>
      <c r="AE846" s="73">
        <v>0</v>
      </c>
      <c r="AF846" s="74">
        <f>tblData[[#This Row],[Gross Sales]]+tblData[[#This Row],[Trade Discounts]]+tblData[[#This Row],[Returns]]</f>
        <v>954</v>
      </c>
      <c r="AG846" s="74">
        <f>tblData[[#This Row],[Material Cost]]+tblData[[#This Row],[Conversion Cost]]+tblData[[#This Row],[Inbound Freight]]</f>
        <v>-311</v>
      </c>
      <c r="AH846" s="74">
        <f>tblData[[#This Row],[Net Revenue]]+tblData[[#This Row],[COGS]]</f>
        <v>643</v>
      </c>
      <c r="AI846" s="74">
        <f>tblData[[#This Row],[Advertising]]+tblData[[#This Row],[Promotions]]</f>
        <v>-94</v>
      </c>
      <c r="AJ846" s="74">
        <f>tblData[[#This Row],[Outbound Logistics]]+tblData[[#This Row],[Direct Selling]]</f>
        <v>-165</v>
      </c>
      <c r="AK846" s="74">
        <f>tblData[[#This Row],[Gross Profit]]+tblData[[#This Row],[AP Spend]]+tblData[[#This Row],[Cost to Serve]]</f>
        <v>384</v>
      </c>
    </row>
    <row r="847" spans="2:37" x14ac:dyDescent="0.25">
      <c r="B847" s="71" t="s">
        <v>50</v>
      </c>
      <c r="C847" s="71">
        <v>2026</v>
      </c>
      <c r="D847" s="71">
        <v>10</v>
      </c>
      <c r="E847" s="71" t="s">
        <v>47</v>
      </c>
      <c r="F847" s="71" t="s">
        <v>39</v>
      </c>
      <c r="G847" s="72">
        <v>98.8</v>
      </c>
      <c r="H847" s="73">
        <v>889</v>
      </c>
      <c r="I847" s="73">
        <v>-27</v>
      </c>
      <c r="J847" s="73">
        <v>-44</v>
      </c>
      <c r="K847" s="73">
        <v>-230</v>
      </c>
      <c r="L847" s="73">
        <v>-58</v>
      </c>
      <c r="M847" s="73">
        <v>-32</v>
      </c>
      <c r="N847" s="73">
        <v>-35</v>
      </c>
      <c r="O847" s="73">
        <v>-19</v>
      </c>
      <c r="P847" s="73">
        <v>-107</v>
      </c>
      <c r="Q847" s="73">
        <v>-36</v>
      </c>
      <c r="R847" s="73">
        <v>0</v>
      </c>
      <c r="S847" s="73">
        <v>0</v>
      </c>
      <c r="T847" s="73">
        <v>0</v>
      </c>
      <c r="U847" s="73">
        <v>0</v>
      </c>
      <c r="V847" s="73">
        <v>0</v>
      </c>
      <c r="W847" s="73">
        <v>0</v>
      </c>
      <c r="X847" s="73">
        <v>0</v>
      </c>
      <c r="Y847" s="73">
        <v>0</v>
      </c>
      <c r="Z847" s="73">
        <v>74</v>
      </c>
      <c r="AA847" s="73">
        <v>774</v>
      </c>
      <c r="AB847" s="73">
        <v>0</v>
      </c>
      <c r="AC847" s="73">
        <v>0</v>
      </c>
      <c r="AD847" s="73">
        <v>0</v>
      </c>
      <c r="AE847" s="73">
        <v>0</v>
      </c>
      <c r="AF847" s="74">
        <f>tblData[[#This Row],[Gross Sales]]+tblData[[#This Row],[Trade Discounts]]+tblData[[#This Row],[Returns]]</f>
        <v>818</v>
      </c>
      <c r="AG847" s="74">
        <f>tblData[[#This Row],[Material Cost]]+tblData[[#This Row],[Conversion Cost]]+tblData[[#This Row],[Inbound Freight]]</f>
        <v>-320</v>
      </c>
      <c r="AH847" s="74">
        <f>tblData[[#This Row],[Net Revenue]]+tblData[[#This Row],[COGS]]</f>
        <v>498</v>
      </c>
      <c r="AI847" s="74">
        <f>tblData[[#This Row],[Advertising]]+tblData[[#This Row],[Promotions]]</f>
        <v>-54</v>
      </c>
      <c r="AJ847" s="74">
        <f>tblData[[#This Row],[Outbound Logistics]]+tblData[[#This Row],[Direct Selling]]</f>
        <v>-143</v>
      </c>
      <c r="AK847" s="74">
        <f>tblData[[#This Row],[Gross Profit]]+tblData[[#This Row],[AP Spend]]+tblData[[#This Row],[Cost to Serve]]</f>
        <v>301</v>
      </c>
    </row>
    <row r="848" spans="2:37" x14ac:dyDescent="0.25">
      <c r="B848" s="71" t="s">
        <v>50</v>
      </c>
      <c r="C848" s="71">
        <v>2026</v>
      </c>
      <c r="D848" s="71">
        <v>10</v>
      </c>
      <c r="E848" s="71" t="s">
        <v>47</v>
      </c>
      <c r="F848" s="71" t="s">
        <v>40</v>
      </c>
      <c r="G848" s="72">
        <v>95.3</v>
      </c>
      <c r="H848" s="73">
        <v>667</v>
      </c>
      <c r="I848" s="73">
        <v>-20</v>
      </c>
      <c r="J848" s="73">
        <v>-33</v>
      </c>
      <c r="K848" s="73">
        <v>-192</v>
      </c>
      <c r="L848" s="73">
        <v>-48</v>
      </c>
      <c r="M848" s="73">
        <v>-27</v>
      </c>
      <c r="N848" s="73">
        <v>-17</v>
      </c>
      <c r="O848" s="73">
        <v>-9</v>
      </c>
      <c r="P848" s="73">
        <v>-80</v>
      </c>
      <c r="Q848" s="73">
        <v>-27</v>
      </c>
      <c r="R848" s="73">
        <v>0</v>
      </c>
      <c r="S848" s="73">
        <v>0</v>
      </c>
      <c r="T848" s="73">
        <v>0</v>
      </c>
      <c r="U848" s="73">
        <v>0</v>
      </c>
      <c r="V848" s="73">
        <v>0</v>
      </c>
      <c r="W848" s="73">
        <v>0</v>
      </c>
      <c r="X848" s="73">
        <v>0</v>
      </c>
      <c r="Y848" s="73">
        <v>0</v>
      </c>
      <c r="Z848" s="73">
        <v>56</v>
      </c>
      <c r="AA848" s="73">
        <v>604</v>
      </c>
      <c r="AB848" s="73">
        <v>0</v>
      </c>
      <c r="AC848" s="73">
        <v>0</v>
      </c>
      <c r="AD848" s="73">
        <v>0</v>
      </c>
      <c r="AE848" s="73">
        <v>0</v>
      </c>
      <c r="AF848" s="74">
        <f>tblData[[#This Row],[Gross Sales]]+tblData[[#This Row],[Trade Discounts]]+tblData[[#This Row],[Returns]]</f>
        <v>614</v>
      </c>
      <c r="AG848" s="74">
        <f>tblData[[#This Row],[Material Cost]]+tblData[[#This Row],[Conversion Cost]]+tblData[[#This Row],[Inbound Freight]]</f>
        <v>-267</v>
      </c>
      <c r="AH848" s="74">
        <f>tblData[[#This Row],[Net Revenue]]+tblData[[#This Row],[COGS]]</f>
        <v>347</v>
      </c>
      <c r="AI848" s="74">
        <f>tblData[[#This Row],[Advertising]]+tblData[[#This Row],[Promotions]]</f>
        <v>-26</v>
      </c>
      <c r="AJ848" s="74">
        <f>tblData[[#This Row],[Outbound Logistics]]+tblData[[#This Row],[Direct Selling]]</f>
        <v>-107</v>
      </c>
      <c r="AK848" s="74">
        <f>tblData[[#This Row],[Gross Profit]]+tblData[[#This Row],[AP Spend]]+tblData[[#This Row],[Cost to Serve]]</f>
        <v>214</v>
      </c>
    </row>
    <row r="849" spans="2:37" x14ac:dyDescent="0.25">
      <c r="B849" s="71" t="s">
        <v>50</v>
      </c>
      <c r="C849" s="71">
        <v>2026</v>
      </c>
      <c r="D849" s="71">
        <v>10</v>
      </c>
      <c r="E849" s="71" t="s">
        <v>47</v>
      </c>
      <c r="F849" s="71" t="s">
        <v>41</v>
      </c>
      <c r="G849" s="72">
        <v>47.1</v>
      </c>
      <c r="H849" s="73">
        <v>519</v>
      </c>
      <c r="I849" s="73">
        <v>-16</v>
      </c>
      <c r="J849" s="73">
        <v>-26</v>
      </c>
      <c r="K849" s="73">
        <v>-123</v>
      </c>
      <c r="L849" s="73">
        <v>-31</v>
      </c>
      <c r="M849" s="73">
        <v>-17</v>
      </c>
      <c r="N849" s="73">
        <v>-37</v>
      </c>
      <c r="O849" s="73">
        <v>-20</v>
      </c>
      <c r="P849" s="73">
        <v>-62</v>
      </c>
      <c r="Q849" s="73">
        <v>-21</v>
      </c>
      <c r="R849" s="73">
        <v>0</v>
      </c>
      <c r="S849" s="73">
        <v>0</v>
      </c>
      <c r="T849" s="73">
        <v>0</v>
      </c>
      <c r="U849" s="73">
        <v>0</v>
      </c>
      <c r="V849" s="73">
        <v>0</v>
      </c>
      <c r="W849" s="73">
        <v>0</v>
      </c>
      <c r="X849" s="73">
        <v>0</v>
      </c>
      <c r="Y849" s="73">
        <v>0</v>
      </c>
      <c r="Z849" s="73">
        <v>43</v>
      </c>
      <c r="AA849" s="73">
        <v>465</v>
      </c>
      <c r="AB849" s="73">
        <v>0</v>
      </c>
      <c r="AC849" s="73">
        <v>0</v>
      </c>
      <c r="AD849" s="73">
        <v>0</v>
      </c>
      <c r="AE849" s="73">
        <v>0</v>
      </c>
      <c r="AF849" s="74">
        <f>tblData[[#This Row],[Gross Sales]]+tblData[[#This Row],[Trade Discounts]]+tblData[[#This Row],[Returns]]</f>
        <v>477</v>
      </c>
      <c r="AG849" s="74">
        <f>tblData[[#This Row],[Material Cost]]+tblData[[#This Row],[Conversion Cost]]+tblData[[#This Row],[Inbound Freight]]</f>
        <v>-171</v>
      </c>
      <c r="AH849" s="74">
        <f>tblData[[#This Row],[Net Revenue]]+tblData[[#This Row],[COGS]]</f>
        <v>306</v>
      </c>
      <c r="AI849" s="74">
        <f>tblData[[#This Row],[Advertising]]+tblData[[#This Row],[Promotions]]</f>
        <v>-57</v>
      </c>
      <c r="AJ849" s="74">
        <f>tblData[[#This Row],[Outbound Logistics]]+tblData[[#This Row],[Direct Selling]]</f>
        <v>-83</v>
      </c>
      <c r="AK849" s="74">
        <f>tblData[[#This Row],[Gross Profit]]+tblData[[#This Row],[AP Spend]]+tblData[[#This Row],[Cost to Serve]]</f>
        <v>166</v>
      </c>
    </row>
    <row r="850" spans="2:37" x14ac:dyDescent="0.25">
      <c r="B850" s="71" t="s">
        <v>50</v>
      </c>
      <c r="C850" s="71">
        <v>2026</v>
      </c>
      <c r="D850" s="71">
        <v>10</v>
      </c>
      <c r="E850" s="71" t="s">
        <v>47</v>
      </c>
      <c r="F850" s="71" t="s">
        <v>42</v>
      </c>
      <c r="G850" s="72">
        <v>61.7</v>
      </c>
      <c r="H850" s="73">
        <v>370</v>
      </c>
      <c r="I850" s="73">
        <v>-11</v>
      </c>
      <c r="J850" s="73">
        <v>-19</v>
      </c>
      <c r="K850" s="73">
        <v>-117</v>
      </c>
      <c r="L850" s="73">
        <v>-29</v>
      </c>
      <c r="M850" s="73">
        <v>-16</v>
      </c>
      <c r="N850" s="73">
        <v>-7</v>
      </c>
      <c r="O850" s="73">
        <v>-4</v>
      </c>
      <c r="P850" s="73">
        <v>-44</v>
      </c>
      <c r="Q850" s="73">
        <v>-15</v>
      </c>
      <c r="R850" s="73">
        <v>0</v>
      </c>
      <c r="S850" s="73">
        <v>0</v>
      </c>
      <c r="T850" s="73">
        <v>0</v>
      </c>
      <c r="U850" s="73">
        <v>0</v>
      </c>
      <c r="V850" s="73">
        <v>0</v>
      </c>
      <c r="W850" s="73">
        <v>0</v>
      </c>
      <c r="X850" s="73">
        <v>0</v>
      </c>
      <c r="Y850" s="73">
        <v>0</v>
      </c>
      <c r="Z850" s="73">
        <v>31</v>
      </c>
      <c r="AA850" s="73">
        <v>542</v>
      </c>
      <c r="AB850" s="73">
        <v>0</v>
      </c>
      <c r="AC850" s="73">
        <v>0</v>
      </c>
      <c r="AD850" s="73">
        <v>0</v>
      </c>
      <c r="AE850" s="73">
        <v>0</v>
      </c>
      <c r="AF850" s="74">
        <f>tblData[[#This Row],[Gross Sales]]+tblData[[#This Row],[Trade Discounts]]+tblData[[#This Row],[Returns]]</f>
        <v>340</v>
      </c>
      <c r="AG850" s="74">
        <f>tblData[[#This Row],[Material Cost]]+tblData[[#This Row],[Conversion Cost]]+tblData[[#This Row],[Inbound Freight]]</f>
        <v>-162</v>
      </c>
      <c r="AH850" s="74">
        <f>tblData[[#This Row],[Net Revenue]]+tblData[[#This Row],[COGS]]</f>
        <v>178</v>
      </c>
      <c r="AI850" s="74">
        <f>tblData[[#This Row],[Advertising]]+tblData[[#This Row],[Promotions]]</f>
        <v>-11</v>
      </c>
      <c r="AJ850" s="74">
        <f>tblData[[#This Row],[Outbound Logistics]]+tblData[[#This Row],[Direct Selling]]</f>
        <v>-59</v>
      </c>
      <c r="AK850" s="74">
        <f>tblData[[#This Row],[Gross Profit]]+tblData[[#This Row],[AP Spend]]+tblData[[#This Row],[Cost to Serve]]</f>
        <v>108</v>
      </c>
    </row>
    <row r="851" spans="2:37" x14ac:dyDescent="0.25">
      <c r="B851" s="71" t="s">
        <v>50</v>
      </c>
      <c r="C851" s="71">
        <v>2026</v>
      </c>
      <c r="D851" s="71">
        <v>10</v>
      </c>
      <c r="E851" s="71" t="s">
        <v>47</v>
      </c>
      <c r="F851" s="71" t="s">
        <v>43</v>
      </c>
      <c r="G851" s="72">
        <v>12.3</v>
      </c>
      <c r="H851" s="73">
        <v>222</v>
      </c>
      <c r="I851" s="73">
        <v>-7</v>
      </c>
      <c r="J851" s="73">
        <v>-11</v>
      </c>
      <c r="K851" s="73">
        <v>-61</v>
      </c>
      <c r="L851" s="73">
        <v>-15</v>
      </c>
      <c r="M851" s="73">
        <v>-8</v>
      </c>
      <c r="N851" s="73">
        <v>-20</v>
      </c>
      <c r="O851" s="73">
        <v>-11</v>
      </c>
      <c r="P851" s="73">
        <v>-27</v>
      </c>
      <c r="Q851" s="73">
        <v>-9</v>
      </c>
      <c r="R851" s="73">
        <v>0</v>
      </c>
      <c r="S851" s="73">
        <v>0</v>
      </c>
      <c r="T851" s="73">
        <v>0</v>
      </c>
      <c r="U851" s="73">
        <v>0</v>
      </c>
      <c r="V851" s="73">
        <v>0</v>
      </c>
      <c r="W851" s="73">
        <v>0</v>
      </c>
      <c r="X851" s="73">
        <v>0</v>
      </c>
      <c r="Y851" s="73">
        <v>0</v>
      </c>
      <c r="Z851" s="73">
        <v>19</v>
      </c>
      <c r="AA851" s="73">
        <v>306</v>
      </c>
      <c r="AB851" s="73">
        <v>0</v>
      </c>
      <c r="AC851" s="73">
        <v>0</v>
      </c>
      <c r="AD851" s="73">
        <v>0</v>
      </c>
      <c r="AE851" s="73">
        <v>0</v>
      </c>
      <c r="AF851" s="74">
        <f>tblData[[#This Row],[Gross Sales]]+tblData[[#This Row],[Trade Discounts]]+tblData[[#This Row],[Returns]]</f>
        <v>204</v>
      </c>
      <c r="AG851" s="74">
        <f>tblData[[#This Row],[Material Cost]]+tblData[[#This Row],[Conversion Cost]]+tblData[[#This Row],[Inbound Freight]]</f>
        <v>-84</v>
      </c>
      <c r="AH851" s="74">
        <f>tblData[[#This Row],[Net Revenue]]+tblData[[#This Row],[COGS]]</f>
        <v>120</v>
      </c>
      <c r="AI851" s="74">
        <f>tblData[[#This Row],[Advertising]]+tblData[[#This Row],[Promotions]]</f>
        <v>-31</v>
      </c>
      <c r="AJ851" s="74">
        <f>tblData[[#This Row],[Outbound Logistics]]+tblData[[#This Row],[Direct Selling]]</f>
        <v>-36</v>
      </c>
      <c r="AK851" s="74">
        <f>tblData[[#This Row],[Gross Profit]]+tblData[[#This Row],[AP Spend]]+tblData[[#This Row],[Cost to Serve]]</f>
        <v>53</v>
      </c>
    </row>
    <row r="852" spans="2:37" x14ac:dyDescent="0.25">
      <c r="B852" s="71" t="s">
        <v>50</v>
      </c>
      <c r="C852" s="71">
        <v>2026</v>
      </c>
      <c r="D852" s="71">
        <v>10</v>
      </c>
      <c r="E852" s="71" t="s">
        <v>48</v>
      </c>
      <c r="F852" s="71" t="s">
        <v>38</v>
      </c>
      <c r="G852" s="72">
        <v>123.5</v>
      </c>
      <c r="H852" s="73">
        <v>1729</v>
      </c>
      <c r="I852" s="73">
        <v>-156</v>
      </c>
      <c r="J852" s="73">
        <v>-17</v>
      </c>
      <c r="K852" s="73">
        <v>-373</v>
      </c>
      <c r="L852" s="73">
        <v>-93</v>
      </c>
      <c r="M852" s="73">
        <v>-52</v>
      </c>
      <c r="N852" s="73">
        <v>-101</v>
      </c>
      <c r="O852" s="73">
        <v>-54</v>
      </c>
      <c r="P852" s="73">
        <v>-52</v>
      </c>
      <c r="Q852" s="73">
        <v>-26</v>
      </c>
      <c r="R852" s="73">
        <v>0</v>
      </c>
      <c r="S852" s="73">
        <v>0</v>
      </c>
      <c r="T852" s="73">
        <v>0</v>
      </c>
      <c r="U852" s="73">
        <v>0</v>
      </c>
      <c r="V852" s="73">
        <v>0</v>
      </c>
      <c r="W852" s="73">
        <v>0</v>
      </c>
      <c r="X852" s="73">
        <v>0</v>
      </c>
      <c r="Y852" s="73">
        <v>0</v>
      </c>
      <c r="Z852" s="73">
        <v>3290</v>
      </c>
      <c r="AA852" s="73">
        <v>1488</v>
      </c>
      <c r="AB852" s="73">
        <v>0</v>
      </c>
      <c r="AC852" s="73">
        <v>0</v>
      </c>
      <c r="AD852" s="73">
        <v>0</v>
      </c>
      <c r="AE852" s="73">
        <v>0</v>
      </c>
      <c r="AF852" s="74">
        <f>tblData[[#This Row],[Gross Sales]]+tblData[[#This Row],[Trade Discounts]]+tblData[[#This Row],[Returns]]</f>
        <v>1556</v>
      </c>
      <c r="AG852" s="74">
        <f>tblData[[#This Row],[Material Cost]]+tblData[[#This Row],[Conversion Cost]]+tblData[[#This Row],[Inbound Freight]]</f>
        <v>-518</v>
      </c>
      <c r="AH852" s="74">
        <f>tblData[[#This Row],[Net Revenue]]+tblData[[#This Row],[COGS]]</f>
        <v>1038</v>
      </c>
      <c r="AI852" s="74">
        <f>tblData[[#This Row],[Advertising]]+tblData[[#This Row],[Promotions]]</f>
        <v>-155</v>
      </c>
      <c r="AJ852" s="74">
        <f>tblData[[#This Row],[Outbound Logistics]]+tblData[[#This Row],[Direct Selling]]</f>
        <v>-78</v>
      </c>
      <c r="AK852" s="74">
        <f>tblData[[#This Row],[Gross Profit]]+tblData[[#This Row],[AP Spend]]+tblData[[#This Row],[Cost to Serve]]</f>
        <v>805</v>
      </c>
    </row>
    <row r="853" spans="2:37" x14ac:dyDescent="0.25">
      <c r="B853" s="71" t="s">
        <v>50</v>
      </c>
      <c r="C853" s="71">
        <v>2026</v>
      </c>
      <c r="D853" s="71">
        <v>10</v>
      </c>
      <c r="E853" s="71" t="s">
        <v>48</v>
      </c>
      <c r="F853" s="71" t="s">
        <v>39</v>
      </c>
      <c r="G853" s="72">
        <v>164.6</v>
      </c>
      <c r="H853" s="73">
        <v>1482</v>
      </c>
      <c r="I853" s="73">
        <v>-133</v>
      </c>
      <c r="J853" s="73">
        <v>-15</v>
      </c>
      <c r="K853" s="73">
        <v>-384</v>
      </c>
      <c r="L853" s="73">
        <v>-96</v>
      </c>
      <c r="M853" s="73">
        <v>-53</v>
      </c>
      <c r="N853" s="73">
        <v>-58</v>
      </c>
      <c r="O853" s="73">
        <v>-31</v>
      </c>
      <c r="P853" s="73">
        <v>-44</v>
      </c>
      <c r="Q853" s="73">
        <v>-22</v>
      </c>
      <c r="R853" s="73">
        <v>0</v>
      </c>
      <c r="S853" s="73">
        <v>0</v>
      </c>
      <c r="T853" s="73">
        <v>0</v>
      </c>
      <c r="U853" s="73">
        <v>0</v>
      </c>
      <c r="V853" s="73">
        <v>0</v>
      </c>
      <c r="W853" s="73">
        <v>0</v>
      </c>
      <c r="X853" s="73">
        <v>0</v>
      </c>
      <c r="Y853" s="73">
        <v>0</v>
      </c>
      <c r="Z853" s="73">
        <v>2820</v>
      </c>
      <c r="AA853" s="73">
        <v>1289</v>
      </c>
      <c r="AB853" s="73">
        <v>0</v>
      </c>
      <c r="AC853" s="73">
        <v>0</v>
      </c>
      <c r="AD853" s="73">
        <v>0</v>
      </c>
      <c r="AE853" s="73">
        <v>0</v>
      </c>
      <c r="AF853" s="74">
        <f>tblData[[#This Row],[Gross Sales]]+tblData[[#This Row],[Trade Discounts]]+tblData[[#This Row],[Returns]]</f>
        <v>1334</v>
      </c>
      <c r="AG853" s="74">
        <f>tblData[[#This Row],[Material Cost]]+tblData[[#This Row],[Conversion Cost]]+tblData[[#This Row],[Inbound Freight]]</f>
        <v>-533</v>
      </c>
      <c r="AH853" s="74">
        <f>tblData[[#This Row],[Net Revenue]]+tblData[[#This Row],[COGS]]</f>
        <v>801</v>
      </c>
      <c r="AI853" s="74">
        <f>tblData[[#This Row],[Advertising]]+tblData[[#This Row],[Promotions]]</f>
        <v>-89</v>
      </c>
      <c r="AJ853" s="74">
        <f>tblData[[#This Row],[Outbound Logistics]]+tblData[[#This Row],[Direct Selling]]</f>
        <v>-66</v>
      </c>
      <c r="AK853" s="74">
        <f>tblData[[#This Row],[Gross Profit]]+tblData[[#This Row],[AP Spend]]+tblData[[#This Row],[Cost to Serve]]</f>
        <v>646</v>
      </c>
    </row>
    <row r="854" spans="2:37" x14ac:dyDescent="0.25">
      <c r="B854" s="71" t="s">
        <v>50</v>
      </c>
      <c r="C854" s="71">
        <v>2026</v>
      </c>
      <c r="D854" s="71">
        <v>10</v>
      </c>
      <c r="E854" s="71" t="s">
        <v>48</v>
      </c>
      <c r="F854" s="71" t="s">
        <v>40</v>
      </c>
      <c r="G854" s="72">
        <v>158.80000000000001</v>
      </c>
      <c r="H854" s="73">
        <v>1111</v>
      </c>
      <c r="I854" s="73">
        <v>-100</v>
      </c>
      <c r="J854" s="73">
        <v>-11</v>
      </c>
      <c r="K854" s="73">
        <v>-320</v>
      </c>
      <c r="L854" s="73">
        <v>-80</v>
      </c>
      <c r="M854" s="73">
        <v>-44</v>
      </c>
      <c r="N854" s="73">
        <v>-29</v>
      </c>
      <c r="O854" s="73">
        <v>-16</v>
      </c>
      <c r="P854" s="73">
        <v>-33</v>
      </c>
      <c r="Q854" s="73">
        <v>-17</v>
      </c>
      <c r="R854" s="73">
        <v>0</v>
      </c>
      <c r="S854" s="73">
        <v>0</v>
      </c>
      <c r="T854" s="73">
        <v>0</v>
      </c>
      <c r="U854" s="73">
        <v>0</v>
      </c>
      <c r="V854" s="73">
        <v>0</v>
      </c>
      <c r="W854" s="73">
        <v>0</v>
      </c>
      <c r="X854" s="73">
        <v>0</v>
      </c>
      <c r="Y854" s="73">
        <v>0</v>
      </c>
      <c r="Z854" s="73">
        <v>2115</v>
      </c>
      <c r="AA854" s="73">
        <v>1007</v>
      </c>
      <c r="AB854" s="73">
        <v>0</v>
      </c>
      <c r="AC854" s="73">
        <v>0</v>
      </c>
      <c r="AD854" s="73">
        <v>0</v>
      </c>
      <c r="AE854" s="73">
        <v>0</v>
      </c>
      <c r="AF854" s="74">
        <f>tblData[[#This Row],[Gross Sales]]+tblData[[#This Row],[Trade Discounts]]+tblData[[#This Row],[Returns]]</f>
        <v>1000</v>
      </c>
      <c r="AG854" s="74">
        <f>tblData[[#This Row],[Material Cost]]+tblData[[#This Row],[Conversion Cost]]+tblData[[#This Row],[Inbound Freight]]</f>
        <v>-444</v>
      </c>
      <c r="AH854" s="74">
        <f>tblData[[#This Row],[Net Revenue]]+tblData[[#This Row],[COGS]]</f>
        <v>556</v>
      </c>
      <c r="AI854" s="74">
        <f>tblData[[#This Row],[Advertising]]+tblData[[#This Row],[Promotions]]</f>
        <v>-45</v>
      </c>
      <c r="AJ854" s="74">
        <f>tblData[[#This Row],[Outbound Logistics]]+tblData[[#This Row],[Direct Selling]]</f>
        <v>-50</v>
      </c>
      <c r="AK854" s="74">
        <f>tblData[[#This Row],[Gross Profit]]+tblData[[#This Row],[AP Spend]]+tblData[[#This Row],[Cost to Serve]]</f>
        <v>461</v>
      </c>
    </row>
    <row r="855" spans="2:37" x14ac:dyDescent="0.25">
      <c r="B855" s="71" t="s">
        <v>50</v>
      </c>
      <c r="C855" s="71">
        <v>2026</v>
      </c>
      <c r="D855" s="71">
        <v>10</v>
      </c>
      <c r="E855" s="71" t="s">
        <v>48</v>
      </c>
      <c r="F855" s="71" t="s">
        <v>41</v>
      </c>
      <c r="G855" s="72">
        <v>78.599999999999994</v>
      </c>
      <c r="H855" s="73">
        <v>864</v>
      </c>
      <c r="I855" s="73">
        <v>-78</v>
      </c>
      <c r="J855" s="73">
        <v>-9</v>
      </c>
      <c r="K855" s="73">
        <v>-205</v>
      </c>
      <c r="L855" s="73">
        <v>-51</v>
      </c>
      <c r="M855" s="73">
        <v>-29</v>
      </c>
      <c r="N855" s="73">
        <v>-62</v>
      </c>
      <c r="O855" s="73">
        <v>-33</v>
      </c>
      <c r="P855" s="73">
        <v>-26</v>
      </c>
      <c r="Q855" s="73">
        <v>-13</v>
      </c>
      <c r="R855" s="73">
        <v>0</v>
      </c>
      <c r="S855" s="73">
        <v>0</v>
      </c>
      <c r="T855" s="73">
        <v>0</v>
      </c>
      <c r="U855" s="73">
        <v>0</v>
      </c>
      <c r="V855" s="73">
        <v>0</v>
      </c>
      <c r="W855" s="73">
        <v>0</v>
      </c>
      <c r="X855" s="73">
        <v>0</v>
      </c>
      <c r="Y855" s="73">
        <v>0</v>
      </c>
      <c r="Z855" s="73">
        <v>1645</v>
      </c>
      <c r="AA855" s="73">
        <v>776</v>
      </c>
      <c r="AB855" s="73">
        <v>0</v>
      </c>
      <c r="AC855" s="73">
        <v>0</v>
      </c>
      <c r="AD855" s="73">
        <v>0</v>
      </c>
      <c r="AE855" s="73">
        <v>0</v>
      </c>
      <c r="AF855" s="74">
        <f>tblData[[#This Row],[Gross Sales]]+tblData[[#This Row],[Trade Discounts]]+tblData[[#This Row],[Returns]]</f>
        <v>777</v>
      </c>
      <c r="AG855" s="74">
        <f>tblData[[#This Row],[Material Cost]]+tblData[[#This Row],[Conversion Cost]]+tblData[[#This Row],[Inbound Freight]]</f>
        <v>-285</v>
      </c>
      <c r="AH855" s="74">
        <f>tblData[[#This Row],[Net Revenue]]+tblData[[#This Row],[COGS]]</f>
        <v>492</v>
      </c>
      <c r="AI855" s="74">
        <f>tblData[[#This Row],[Advertising]]+tblData[[#This Row],[Promotions]]</f>
        <v>-95</v>
      </c>
      <c r="AJ855" s="74">
        <f>tblData[[#This Row],[Outbound Logistics]]+tblData[[#This Row],[Direct Selling]]</f>
        <v>-39</v>
      </c>
      <c r="AK855" s="74">
        <f>tblData[[#This Row],[Gross Profit]]+tblData[[#This Row],[AP Spend]]+tblData[[#This Row],[Cost to Serve]]</f>
        <v>358</v>
      </c>
    </row>
    <row r="856" spans="2:37" x14ac:dyDescent="0.25">
      <c r="B856" s="71" t="s">
        <v>50</v>
      </c>
      <c r="C856" s="71">
        <v>2026</v>
      </c>
      <c r="D856" s="71">
        <v>10</v>
      </c>
      <c r="E856" s="71" t="s">
        <v>48</v>
      </c>
      <c r="F856" s="71" t="s">
        <v>42</v>
      </c>
      <c r="G856" s="72">
        <v>102.9</v>
      </c>
      <c r="H856" s="73">
        <v>617</v>
      </c>
      <c r="I856" s="73">
        <v>-56</v>
      </c>
      <c r="J856" s="73">
        <v>-6</v>
      </c>
      <c r="K856" s="73">
        <v>-196</v>
      </c>
      <c r="L856" s="73">
        <v>-49</v>
      </c>
      <c r="M856" s="73">
        <v>-27</v>
      </c>
      <c r="N856" s="73">
        <v>-12</v>
      </c>
      <c r="O856" s="73">
        <v>-6</v>
      </c>
      <c r="P856" s="73">
        <v>-19</v>
      </c>
      <c r="Q856" s="73">
        <v>-9</v>
      </c>
      <c r="R856" s="73">
        <v>0</v>
      </c>
      <c r="S856" s="73">
        <v>0</v>
      </c>
      <c r="T856" s="73">
        <v>0</v>
      </c>
      <c r="U856" s="73">
        <v>0</v>
      </c>
      <c r="V856" s="73">
        <v>0</v>
      </c>
      <c r="W856" s="73">
        <v>0</v>
      </c>
      <c r="X856" s="73">
        <v>0</v>
      </c>
      <c r="Y856" s="73">
        <v>0</v>
      </c>
      <c r="Z856" s="73">
        <v>1175</v>
      </c>
      <c r="AA856" s="73">
        <v>903</v>
      </c>
      <c r="AB856" s="73">
        <v>0</v>
      </c>
      <c r="AC856" s="73">
        <v>0</v>
      </c>
      <c r="AD856" s="73">
        <v>0</v>
      </c>
      <c r="AE856" s="73">
        <v>0</v>
      </c>
      <c r="AF856" s="74">
        <f>tblData[[#This Row],[Gross Sales]]+tblData[[#This Row],[Trade Discounts]]+tblData[[#This Row],[Returns]]</f>
        <v>555</v>
      </c>
      <c r="AG856" s="74">
        <f>tblData[[#This Row],[Material Cost]]+tblData[[#This Row],[Conversion Cost]]+tblData[[#This Row],[Inbound Freight]]</f>
        <v>-272</v>
      </c>
      <c r="AH856" s="74">
        <f>tblData[[#This Row],[Net Revenue]]+tblData[[#This Row],[COGS]]</f>
        <v>283</v>
      </c>
      <c r="AI856" s="74">
        <f>tblData[[#This Row],[Advertising]]+tblData[[#This Row],[Promotions]]</f>
        <v>-18</v>
      </c>
      <c r="AJ856" s="74">
        <f>tblData[[#This Row],[Outbound Logistics]]+tblData[[#This Row],[Direct Selling]]</f>
        <v>-28</v>
      </c>
      <c r="AK856" s="74">
        <f>tblData[[#This Row],[Gross Profit]]+tblData[[#This Row],[AP Spend]]+tblData[[#This Row],[Cost to Serve]]</f>
        <v>237</v>
      </c>
    </row>
    <row r="857" spans="2:37" x14ac:dyDescent="0.25">
      <c r="B857" s="71" t="s">
        <v>50</v>
      </c>
      <c r="C857" s="71">
        <v>2026</v>
      </c>
      <c r="D857" s="71">
        <v>10</v>
      </c>
      <c r="E857" s="71" t="s">
        <v>48</v>
      </c>
      <c r="F857" s="71" t="s">
        <v>43</v>
      </c>
      <c r="G857" s="72">
        <v>20.6</v>
      </c>
      <c r="H857" s="73">
        <v>370</v>
      </c>
      <c r="I857" s="73">
        <v>-33</v>
      </c>
      <c r="J857" s="73">
        <v>-4</v>
      </c>
      <c r="K857" s="73">
        <v>-101</v>
      </c>
      <c r="L857" s="73">
        <v>-25</v>
      </c>
      <c r="M857" s="73">
        <v>-14</v>
      </c>
      <c r="N857" s="73">
        <v>-34</v>
      </c>
      <c r="O857" s="73">
        <v>-18</v>
      </c>
      <c r="P857" s="73">
        <v>-11</v>
      </c>
      <c r="Q857" s="73">
        <v>-6</v>
      </c>
      <c r="R857" s="73">
        <v>0</v>
      </c>
      <c r="S857" s="73">
        <v>0</v>
      </c>
      <c r="T857" s="73">
        <v>0</v>
      </c>
      <c r="U857" s="73">
        <v>0</v>
      </c>
      <c r="V857" s="73">
        <v>0</v>
      </c>
      <c r="W857" s="73">
        <v>0</v>
      </c>
      <c r="X857" s="73">
        <v>0</v>
      </c>
      <c r="Y857" s="73">
        <v>0</v>
      </c>
      <c r="Z857" s="73">
        <v>705</v>
      </c>
      <c r="AA857" s="73">
        <v>510</v>
      </c>
      <c r="AB857" s="73">
        <v>0</v>
      </c>
      <c r="AC857" s="73">
        <v>0</v>
      </c>
      <c r="AD857" s="73">
        <v>0</v>
      </c>
      <c r="AE857" s="73">
        <v>0</v>
      </c>
      <c r="AF857" s="74">
        <f>tblData[[#This Row],[Gross Sales]]+tblData[[#This Row],[Trade Discounts]]+tblData[[#This Row],[Returns]]</f>
        <v>333</v>
      </c>
      <c r="AG857" s="74">
        <f>tblData[[#This Row],[Material Cost]]+tblData[[#This Row],[Conversion Cost]]+tblData[[#This Row],[Inbound Freight]]</f>
        <v>-140</v>
      </c>
      <c r="AH857" s="74">
        <f>tblData[[#This Row],[Net Revenue]]+tblData[[#This Row],[COGS]]</f>
        <v>193</v>
      </c>
      <c r="AI857" s="74">
        <f>tblData[[#This Row],[Advertising]]+tblData[[#This Row],[Promotions]]</f>
        <v>-52</v>
      </c>
      <c r="AJ857" s="74">
        <f>tblData[[#This Row],[Outbound Logistics]]+tblData[[#This Row],[Direct Selling]]</f>
        <v>-17</v>
      </c>
      <c r="AK857" s="74">
        <f>tblData[[#This Row],[Gross Profit]]+tblData[[#This Row],[AP Spend]]+tblData[[#This Row],[Cost to Serve]]</f>
        <v>124</v>
      </c>
    </row>
    <row r="858" spans="2:37" x14ac:dyDescent="0.25">
      <c r="B858" s="71" t="s">
        <v>50</v>
      </c>
      <c r="C858" s="71">
        <v>2026</v>
      </c>
      <c r="D858" s="71">
        <v>10</v>
      </c>
      <c r="E858" s="71" t="s">
        <v>49</v>
      </c>
      <c r="F858" s="71" t="s">
        <v>49</v>
      </c>
      <c r="G858" s="72">
        <v>0</v>
      </c>
      <c r="H858" s="73">
        <v>0</v>
      </c>
      <c r="I858" s="73">
        <v>0</v>
      </c>
      <c r="J858" s="73">
        <v>0</v>
      </c>
      <c r="K858" s="73">
        <v>0</v>
      </c>
      <c r="L858" s="73">
        <v>0</v>
      </c>
      <c r="M858" s="73">
        <v>0</v>
      </c>
      <c r="N858" s="73">
        <v>0</v>
      </c>
      <c r="O858" s="73">
        <v>0</v>
      </c>
      <c r="P858" s="73">
        <v>0</v>
      </c>
      <c r="Q858" s="73">
        <v>0</v>
      </c>
      <c r="R858" s="73">
        <v>-4299</v>
      </c>
      <c r="S858" s="73">
        <v>-1020</v>
      </c>
      <c r="T858" s="73">
        <v>-1320</v>
      </c>
      <c r="U858" s="73">
        <v>-1130</v>
      </c>
      <c r="V858" s="73">
        <v>-1480</v>
      </c>
      <c r="W858" s="73">
        <v>-684</v>
      </c>
      <c r="X858" s="73">
        <v>-2493</v>
      </c>
      <c r="Y858" s="73">
        <v>-1581</v>
      </c>
      <c r="Z858" s="73">
        <v>0</v>
      </c>
      <c r="AA858" s="73">
        <v>0</v>
      </c>
      <c r="AB858" s="73">
        <v>41864</v>
      </c>
      <c r="AC858" s="73">
        <v>69815</v>
      </c>
      <c r="AD858" s="73">
        <v>182500</v>
      </c>
      <c r="AE858" s="73">
        <v>1196</v>
      </c>
      <c r="AF858" s="74">
        <f>tblData[[#This Row],[Gross Sales]]+tblData[[#This Row],[Trade Discounts]]+tblData[[#This Row],[Returns]]</f>
        <v>0</v>
      </c>
      <c r="AG858" s="74">
        <f>tblData[[#This Row],[Material Cost]]+tblData[[#This Row],[Conversion Cost]]+tblData[[#This Row],[Inbound Freight]]</f>
        <v>0</v>
      </c>
      <c r="AH858" s="74">
        <f>tblData[[#This Row],[Net Revenue]]+tblData[[#This Row],[COGS]]</f>
        <v>0</v>
      </c>
      <c r="AI858" s="74">
        <f>tblData[[#This Row],[Advertising]]+tblData[[#This Row],[Promotions]]</f>
        <v>0</v>
      </c>
      <c r="AJ858" s="74">
        <f>tblData[[#This Row],[Outbound Logistics]]+tblData[[#This Row],[Direct Selling]]</f>
        <v>0</v>
      </c>
      <c r="AK858" s="74">
        <f>tblData[[#This Row],[Gross Profit]]+tblData[[#This Row],[AP Spend]]+tblData[[#This Row],[Cost to Serve]]</f>
        <v>0</v>
      </c>
    </row>
    <row r="859" spans="2:37" x14ac:dyDescent="0.25">
      <c r="B859" s="71" t="s">
        <v>50</v>
      </c>
      <c r="C859" s="71">
        <v>2026</v>
      </c>
      <c r="D859" s="71">
        <v>11</v>
      </c>
      <c r="E859" s="71" t="s">
        <v>37</v>
      </c>
      <c r="F859" s="71" t="s">
        <v>38</v>
      </c>
      <c r="G859" s="72">
        <v>393.1</v>
      </c>
      <c r="H859" s="73">
        <v>5504</v>
      </c>
      <c r="I859" s="73">
        <v>-1046</v>
      </c>
      <c r="J859" s="73">
        <v>-83</v>
      </c>
      <c r="K859" s="73">
        <v>-1189</v>
      </c>
      <c r="L859" s="73">
        <v>-297</v>
      </c>
      <c r="M859" s="73">
        <v>-165</v>
      </c>
      <c r="N859" s="73">
        <v>-322</v>
      </c>
      <c r="O859" s="73">
        <v>-173</v>
      </c>
      <c r="P859" s="73">
        <v>-220</v>
      </c>
      <c r="Q859" s="73">
        <v>-165</v>
      </c>
      <c r="R859" s="73">
        <v>0</v>
      </c>
      <c r="S859" s="73">
        <v>0</v>
      </c>
      <c r="T859" s="73">
        <v>0</v>
      </c>
      <c r="U859" s="73">
        <v>0</v>
      </c>
      <c r="V859" s="73">
        <v>0</v>
      </c>
      <c r="W859" s="73">
        <v>0</v>
      </c>
      <c r="X859" s="73">
        <v>0</v>
      </c>
      <c r="Y859" s="73">
        <v>0</v>
      </c>
      <c r="Z859" s="73">
        <v>7409</v>
      </c>
      <c r="AA859" s="73">
        <v>4829</v>
      </c>
      <c r="AB859" s="73">
        <v>0</v>
      </c>
      <c r="AC859" s="73">
        <v>0</v>
      </c>
      <c r="AD859" s="73">
        <v>0</v>
      </c>
      <c r="AE859" s="73">
        <v>0</v>
      </c>
      <c r="AF859" s="74">
        <f>tblData[[#This Row],[Gross Sales]]+tblData[[#This Row],[Trade Discounts]]+tblData[[#This Row],[Returns]]</f>
        <v>4375</v>
      </c>
      <c r="AG859" s="74">
        <f>tblData[[#This Row],[Material Cost]]+tblData[[#This Row],[Conversion Cost]]+tblData[[#This Row],[Inbound Freight]]</f>
        <v>-1651</v>
      </c>
      <c r="AH859" s="74">
        <f>tblData[[#This Row],[Net Revenue]]+tblData[[#This Row],[COGS]]</f>
        <v>2724</v>
      </c>
      <c r="AI859" s="74">
        <f>tblData[[#This Row],[Advertising]]+tblData[[#This Row],[Promotions]]</f>
        <v>-495</v>
      </c>
      <c r="AJ859" s="74">
        <f>tblData[[#This Row],[Outbound Logistics]]+tblData[[#This Row],[Direct Selling]]</f>
        <v>-385</v>
      </c>
      <c r="AK859" s="74">
        <f>tblData[[#This Row],[Gross Profit]]+tblData[[#This Row],[AP Spend]]+tblData[[#This Row],[Cost to Serve]]</f>
        <v>1844</v>
      </c>
    </row>
    <row r="860" spans="2:37" x14ac:dyDescent="0.25">
      <c r="B860" s="71" t="s">
        <v>50</v>
      </c>
      <c r="C860" s="71">
        <v>2026</v>
      </c>
      <c r="D860" s="71">
        <v>11</v>
      </c>
      <c r="E860" s="71" t="s">
        <v>37</v>
      </c>
      <c r="F860" s="71" t="s">
        <v>39</v>
      </c>
      <c r="G860" s="72">
        <v>524.20000000000005</v>
      </c>
      <c r="H860" s="73">
        <v>4717</v>
      </c>
      <c r="I860" s="73">
        <v>-896</v>
      </c>
      <c r="J860" s="73">
        <v>-71</v>
      </c>
      <c r="K860" s="73">
        <v>-1223</v>
      </c>
      <c r="L860" s="73">
        <v>-306</v>
      </c>
      <c r="M860" s="73">
        <v>-170</v>
      </c>
      <c r="N860" s="73">
        <v>-184</v>
      </c>
      <c r="O860" s="73">
        <v>-99</v>
      </c>
      <c r="P860" s="73">
        <v>-189</v>
      </c>
      <c r="Q860" s="73">
        <v>-142</v>
      </c>
      <c r="R860" s="73">
        <v>0</v>
      </c>
      <c r="S860" s="73">
        <v>0</v>
      </c>
      <c r="T860" s="73">
        <v>0</v>
      </c>
      <c r="U860" s="73">
        <v>0</v>
      </c>
      <c r="V860" s="73">
        <v>0</v>
      </c>
      <c r="W860" s="73">
        <v>0</v>
      </c>
      <c r="X860" s="73">
        <v>0</v>
      </c>
      <c r="Y860" s="73">
        <v>0</v>
      </c>
      <c r="Z860" s="73">
        <v>6350</v>
      </c>
      <c r="AA860" s="73">
        <v>4183</v>
      </c>
      <c r="AB860" s="73">
        <v>0</v>
      </c>
      <c r="AC860" s="73">
        <v>0</v>
      </c>
      <c r="AD860" s="73">
        <v>0</v>
      </c>
      <c r="AE860" s="73">
        <v>0</v>
      </c>
      <c r="AF860" s="74">
        <f>tblData[[#This Row],[Gross Sales]]+tblData[[#This Row],[Trade Discounts]]+tblData[[#This Row],[Returns]]</f>
        <v>3750</v>
      </c>
      <c r="AG860" s="74">
        <f>tblData[[#This Row],[Material Cost]]+tblData[[#This Row],[Conversion Cost]]+tblData[[#This Row],[Inbound Freight]]</f>
        <v>-1699</v>
      </c>
      <c r="AH860" s="74">
        <f>tblData[[#This Row],[Net Revenue]]+tblData[[#This Row],[COGS]]</f>
        <v>2051</v>
      </c>
      <c r="AI860" s="74">
        <f>tblData[[#This Row],[Advertising]]+tblData[[#This Row],[Promotions]]</f>
        <v>-283</v>
      </c>
      <c r="AJ860" s="74">
        <f>tblData[[#This Row],[Outbound Logistics]]+tblData[[#This Row],[Direct Selling]]</f>
        <v>-331</v>
      </c>
      <c r="AK860" s="74">
        <f>tblData[[#This Row],[Gross Profit]]+tblData[[#This Row],[AP Spend]]+tblData[[#This Row],[Cost to Serve]]</f>
        <v>1437</v>
      </c>
    </row>
    <row r="861" spans="2:37" x14ac:dyDescent="0.25">
      <c r="B861" s="71" t="s">
        <v>50</v>
      </c>
      <c r="C861" s="71">
        <v>2026</v>
      </c>
      <c r="D861" s="71">
        <v>11</v>
      </c>
      <c r="E861" s="71" t="s">
        <v>37</v>
      </c>
      <c r="F861" s="71" t="s">
        <v>40</v>
      </c>
      <c r="G861" s="72">
        <v>505.4</v>
      </c>
      <c r="H861" s="73">
        <v>3538</v>
      </c>
      <c r="I861" s="73">
        <v>-672</v>
      </c>
      <c r="J861" s="73">
        <v>-53</v>
      </c>
      <c r="K861" s="73">
        <v>-1019</v>
      </c>
      <c r="L861" s="73">
        <v>-255</v>
      </c>
      <c r="M861" s="73">
        <v>-142</v>
      </c>
      <c r="N861" s="73">
        <v>-92</v>
      </c>
      <c r="O861" s="73">
        <v>-50</v>
      </c>
      <c r="P861" s="73">
        <v>-142</v>
      </c>
      <c r="Q861" s="73">
        <v>-106</v>
      </c>
      <c r="R861" s="73">
        <v>0</v>
      </c>
      <c r="S861" s="73">
        <v>0</v>
      </c>
      <c r="T861" s="73">
        <v>0</v>
      </c>
      <c r="U861" s="73">
        <v>0</v>
      </c>
      <c r="V861" s="73">
        <v>0</v>
      </c>
      <c r="W861" s="73">
        <v>0</v>
      </c>
      <c r="X861" s="73">
        <v>0</v>
      </c>
      <c r="Y861" s="73">
        <v>0</v>
      </c>
      <c r="Z861" s="73">
        <v>4763</v>
      </c>
      <c r="AA861" s="73">
        <v>3268</v>
      </c>
      <c r="AB861" s="73">
        <v>0</v>
      </c>
      <c r="AC861" s="73">
        <v>0</v>
      </c>
      <c r="AD861" s="73">
        <v>0</v>
      </c>
      <c r="AE861" s="73">
        <v>0</v>
      </c>
      <c r="AF861" s="74">
        <f>tblData[[#This Row],[Gross Sales]]+tblData[[#This Row],[Trade Discounts]]+tblData[[#This Row],[Returns]]</f>
        <v>2813</v>
      </c>
      <c r="AG861" s="74">
        <f>tblData[[#This Row],[Material Cost]]+tblData[[#This Row],[Conversion Cost]]+tblData[[#This Row],[Inbound Freight]]</f>
        <v>-1416</v>
      </c>
      <c r="AH861" s="74">
        <f>tblData[[#This Row],[Net Revenue]]+tblData[[#This Row],[COGS]]</f>
        <v>1397</v>
      </c>
      <c r="AI861" s="74">
        <f>tblData[[#This Row],[Advertising]]+tblData[[#This Row],[Promotions]]</f>
        <v>-142</v>
      </c>
      <c r="AJ861" s="74">
        <f>tblData[[#This Row],[Outbound Logistics]]+tblData[[#This Row],[Direct Selling]]</f>
        <v>-248</v>
      </c>
      <c r="AK861" s="74">
        <f>tblData[[#This Row],[Gross Profit]]+tblData[[#This Row],[AP Spend]]+tblData[[#This Row],[Cost to Serve]]</f>
        <v>1007</v>
      </c>
    </row>
    <row r="862" spans="2:37" x14ac:dyDescent="0.25">
      <c r="B862" s="71" t="s">
        <v>50</v>
      </c>
      <c r="C862" s="71">
        <v>2026</v>
      </c>
      <c r="D862" s="71">
        <v>11</v>
      </c>
      <c r="E862" s="71" t="s">
        <v>37</v>
      </c>
      <c r="F862" s="71" t="s">
        <v>41</v>
      </c>
      <c r="G862" s="72">
        <v>250.2</v>
      </c>
      <c r="H862" s="73">
        <v>2752</v>
      </c>
      <c r="I862" s="73">
        <v>-523</v>
      </c>
      <c r="J862" s="73">
        <v>-41</v>
      </c>
      <c r="K862" s="73">
        <v>-654</v>
      </c>
      <c r="L862" s="73">
        <v>-163</v>
      </c>
      <c r="M862" s="73">
        <v>-91</v>
      </c>
      <c r="N862" s="73">
        <v>-197</v>
      </c>
      <c r="O862" s="73">
        <v>-106</v>
      </c>
      <c r="P862" s="73">
        <v>-110</v>
      </c>
      <c r="Q862" s="73">
        <v>-83</v>
      </c>
      <c r="R862" s="73">
        <v>0</v>
      </c>
      <c r="S862" s="73">
        <v>0</v>
      </c>
      <c r="T862" s="73">
        <v>0</v>
      </c>
      <c r="U862" s="73">
        <v>0</v>
      </c>
      <c r="V862" s="73">
        <v>0</v>
      </c>
      <c r="W862" s="73">
        <v>0</v>
      </c>
      <c r="X862" s="73">
        <v>0</v>
      </c>
      <c r="Y862" s="73">
        <v>0</v>
      </c>
      <c r="Z862" s="73">
        <v>3704</v>
      </c>
      <c r="AA862" s="73">
        <v>2516</v>
      </c>
      <c r="AB862" s="73">
        <v>0</v>
      </c>
      <c r="AC862" s="73">
        <v>0</v>
      </c>
      <c r="AD862" s="73">
        <v>0</v>
      </c>
      <c r="AE862" s="73">
        <v>0</v>
      </c>
      <c r="AF862" s="74">
        <f>tblData[[#This Row],[Gross Sales]]+tblData[[#This Row],[Trade Discounts]]+tblData[[#This Row],[Returns]]</f>
        <v>2188</v>
      </c>
      <c r="AG862" s="74">
        <f>tblData[[#This Row],[Material Cost]]+tblData[[#This Row],[Conversion Cost]]+tblData[[#This Row],[Inbound Freight]]</f>
        <v>-908</v>
      </c>
      <c r="AH862" s="74">
        <f>tblData[[#This Row],[Net Revenue]]+tblData[[#This Row],[COGS]]</f>
        <v>1280</v>
      </c>
      <c r="AI862" s="74">
        <f>tblData[[#This Row],[Advertising]]+tblData[[#This Row],[Promotions]]</f>
        <v>-303</v>
      </c>
      <c r="AJ862" s="74">
        <f>tblData[[#This Row],[Outbound Logistics]]+tblData[[#This Row],[Direct Selling]]</f>
        <v>-193</v>
      </c>
      <c r="AK862" s="74">
        <f>tblData[[#This Row],[Gross Profit]]+tblData[[#This Row],[AP Spend]]+tblData[[#This Row],[Cost to Serve]]</f>
        <v>784</v>
      </c>
    </row>
    <row r="863" spans="2:37" x14ac:dyDescent="0.25">
      <c r="B863" s="71" t="s">
        <v>50</v>
      </c>
      <c r="C863" s="71">
        <v>2026</v>
      </c>
      <c r="D863" s="71">
        <v>11</v>
      </c>
      <c r="E863" s="71" t="s">
        <v>37</v>
      </c>
      <c r="F863" s="71" t="s">
        <v>42</v>
      </c>
      <c r="G863" s="72">
        <v>327.60000000000002</v>
      </c>
      <c r="H863" s="73">
        <v>1966</v>
      </c>
      <c r="I863" s="73">
        <v>-373</v>
      </c>
      <c r="J863" s="73">
        <v>-29</v>
      </c>
      <c r="K863" s="73">
        <v>-623</v>
      </c>
      <c r="L863" s="73">
        <v>-156</v>
      </c>
      <c r="M863" s="73">
        <v>-86</v>
      </c>
      <c r="N863" s="73">
        <v>-38</v>
      </c>
      <c r="O863" s="73">
        <v>-21</v>
      </c>
      <c r="P863" s="73">
        <v>-79</v>
      </c>
      <c r="Q863" s="73">
        <v>-59</v>
      </c>
      <c r="R863" s="73">
        <v>0</v>
      </c>
      <c r="S863" s="73">
        <v>0</v>
      </c>
      <c r="T863" s="73">
        <v>0</v>
      </c>
      <c r="U863" s="73">
        <v>0</v>
      </c>
      <c r="V863" s="73">
        <v>0</v>
      </c>
      <c r="W863" s="73">
        <v>0</v>
      </c>
      <c r="X863" s="73">
        <v>0</v>
      </c>
      <c r="Y863" s="73">
        <v>0</v>
      </c>
      <c r="Z863" s="73">
        <v>2646</v>
      </c>
      <c r="AA863" s="73">
        <v>2929</v>
      </c>
      <c r="AB863" s="73">
        <v>0</v>
      </c>
      <c r="AC863" s="73">
        <v>0</v>
      </c>
      <c r="AD863" s="73">
        <v>0</v>
      </c>
      <c r="AE863" s="73">
        <v>0</v>
      </c>
      <c r="AF863" s="74">
        <f>tblData[[#This Row],[Gross Sales]]+tblData[[#This Row],[Trade Discounts]]+tblData[[#This Row],[Returns]]</f>
        <v>1564</v>
      </c>
      <c r="AG863" s="74">
        <f>tblData[[#This Row],[Material Cost]]+tblData[[#This Row],[Conversion Cost]]+tblData[[#This Row],[Inbound Freight]]</f>
        <v>-865</v>
      </c>
      <c r="AH863" s="74">
        <f>tblData[[#This Row],[Net Revenue]]+tblData[[#This Row],[COGS]]</f>
        <v>699</v>
      </c>
      <c r="AI863" s="74">
        <f>tblData[[#This Row],[Advertising]]+tblData[[#This Row],[Promotions]]</f>
        <v>-59</v>
      </c>
      <c r="AJ863" s="74">
        <f>tblData[[#This Row],[Outbound Logistics]]+tblData[[#This Row],[Direct Selling]]</f>
        <v>-138</v>
      </c>
      <c r="AK863" s="74">
        <f>tblData[[#This Row],[Gross Profit]]+tblData[[#This Row],[AP Spend]]+tblData[[#This Row],[Cost to Serve]]</f>
        <v>502</v>
      </c>
    </row>
    <row r="864" spans="2:37" x14ac:dyDescent="0.25">
      <c r="B864" s="71" t="s">
        <v>50</v>
      </c>
      <c r="C864" s="71">
        <v>2026</v>
      </c>
      <c r="D864" s="71">
        <v>11</v>
      </c>
      <c r="E864" s="71" t="s">
        <v>37</v>
      </c>
      <c r="F864" s="71" t="s">
        <v>43</v>
      </c>
      <c r="G864" s="72">
        <v>65.5</v>
      </c>
      <c r="H864" s="73">
        <v>1179</v>
      </c>
      <c r="I864" s="73">
        <v>-224</v>
      </c>
      <c r="J864" s="73">
        <v>-18</v>
      </c>
      <c r="K864" s="73">
        <v>-323</v>
      </c>
      <c r="L864" s="73">
        <v>-81</v>
      </c>
      <c r="M864" s="73">
        <v>-45</v>
      </c>
      <c r="N864" s="73">
        <v>-107</v>
      </c>
      <c r="O864" s="73">
        <v>-58</v>
      </c>
      <c r="P864" s="73">
        <v>-47</v>
      </c>
      <c r="Q864" s="73">
        <v>-35</v>
      </c>
      <c r="R864" s="73">
        <v>0</v>
      </c>
      <c r="S864" s="73">
        <v>0</v>
      </c>
      <c r="T864" s="73">
        <v>0</v>
      </c>
      <c r="U864" s="73">
        <v>0</v>
      </c>
      <c r="V864" s="73">
        <v>0</v>
      </c>
      <c r="W864" s="73">
        <v>0</v>
      </c>
      <c r="X864" s="73">
        <v>0</v>
      </c>
      <c r="Y864" s="73">
        <v>0</v>
      </c>
      <c r="Z864" s="73">
        <v>1588</v>
      </c>
      <c r="AA864" s="73">
        <v>1656</v>
      </c>
      <c r="AB864" s="73">
        <v>0</v>
      </c>
      <c r="AC864" s="73">
        <v>0</v>
      </c>
      <c r="AD864" s="73">
        <v>0</v>
      </c>
      <c r="AE864" s="73">
        <v>0</v>
      </c>
      <c r="AF864" s="74">
        <f>tblData[[#This Row],[Gross Sales]]+tblData[[#This Row],[Trade Discounts]]+tblData[[#This Row],[Returns]]</f>
        <v>937</v>
      </c>
      <c r="AG864" s="74">
        <f>tblData[[#This Row],[Material Cost]]+tblData[[#This Row],[Conversion Cost]]+tblData[[#This Row],[Inbound Freight]]</f>
        <v>-449</v>
      </c>
      <c r="AH864" s="74">
        <f>tblData[[#This Row],[Net Revenue]]+tblData[[#This Row],[COGS]]</f>
        <v>488</v>
      </c>
      <c r="AI864" s="74">
        <f>tblData[[#This Row],[Advertising]]+tblData[[#This Row],[Promotions]]</f>
        <v>-165</v>
      </c>
      <c r="AJ864" s="74">
        <f>tblData[[#This Row],[Outbound Logistics]]+tblData[[#This Row],[Direct Selling]]</f>
        <v>-82</v>
      </c>
      <c r="AK864" s="74">
        <f>tblData[[#This Row],[Gross Profit]]+tblData[[#This Row],[AP Spend]]+tblData[[#This Row],[Cost to Serve]]</f>
        <v>241</v>
      </c>
    </row>
    <row r="865" spans="2:37" x14ac:dyDescent="0.25">
      <c r="B865" s="71" t="s">
        <v>50</v>
      </c>
      <c r="C865" s="71">
        <v>2026</v>
      </c>
      <c r="D865" s="71">
        <v>11</v>
      </c>
      <c r="E865" s="71" t="s">
        <v>44</v>
      </c>
      <c r="F865" s="71" t="s">
        <v>38</v>
      </c>
      <c r="G865" s="72">
        <v>314.5</v>
      </c>
      <c r="H865" s="73">
        <v>4403</v>
      </c>
      <c r="I865" s="73">
        <v>-704</v>
      </c>
      <c r="J865" s="73">
        <v>-53</v>
      </c>
      <c r="K865" s="73">
        <v>-951</v>
      </c>
      <c r="L865" s="73">
        <v>-238</v>
      </c>
      <c r="M865" s="73">
        <v>-132</v>
      </c>
      <c r="N865" s="73">
        <v>-258</v>
      </c>
      <c r="O865" s="73">
        <v>-139</v>
      </c>
      <c r="P865" s="73">
        <v>-176</v>
      </c>
      <c r="Q865" s="73">
        <v>-132</v>
      </c>
      <c r="R865" s="73">
        <v>0</v>
      </c>
      <c r="S865" s="73">
        <v>0</v>
      </c>
      <c r="T865" s="73">
        <v>0</v>
      </c>
      <c r="U865" s="73">
        <v>0</v>
      </c>
      <c r="V865" s="73">
        <v>0</v>
      </c>
      <c r="W865" s="73">
        <v>0</v>
      </c>
      <c r="X865" s="73">
        <v>0</v>
      </c>
      <c r="Y865" s="73">
        <v>0</v>
      </c>
      <c r="Z865" s="73">
        <v>5612</v>
      </c>
      <c r="AA865" s="73">
        <v>3863</v>
      </c>
      <c r="AB865" s="73">
        <v>0</v>
      </c>
      <c r="AC865" s="73">
        <v>0</v>
      </c>
      <c r="AD865" s="73">
        <v>0</v>
      </c>
      <c r="AE865" s="73">
        <v>0</v>
      </c>
      <c r="AF865" s="74">
        <f>tblData[[#This Row],[Gross Sales]]+tblData[[#This Row],[Trade Discounts]]+tblData[[#This Row],[Returns]]</f>
        <v>3646</v>
      </c>
      <c r="AG865" s="74">
        <f>tblData[[#This Row],[Material Cost]]+tblData[[#This Row],[Conversion Cost]]+tblData[[#This Row],[Inbound Freight]]</f>
        <v>-1321</v>
      </c>
      <c r="AH865" s="74">
        <f>tblData[[#This Row],[Net Revenue]]+tblData[[#This Row],[COGS]]</f>
        <v>2325</v>
      </c>
      <c r="AI865" s="74">
        <f>tblData[[#This Row],[Advertising]]+tblData[[#This Row],[Promotions]]</f>
        <v>-397</v>
      </c>
      <c r="AJ865" s="74">
        <f>tblData[[#This Row],[Outbound Logistics]]+tblData[[#This Row],[Direct Selling]]</f>
        <v>-308</v>
      </c>
      <c r="AK865" s="74">
        <f>tblData[[#This Row],[Gross Profit]]+tblData[[#This Row],[AP Spend]]+tblData[[#This Row],[Cost to Serve]]</f>
        <v>1620</v>
      </c>
    </row>
    <row r="866" spans="2:37" x14ac:dyDescent="0.25">
      <c r="B866" s="71" t="s">
        <v>50</v>
      </c>
      <c r="C866" s="71">
        <v>2026</v>
      </c>
      <c r="D866" s="71">
        <v>11</v>
      </c>
      <c r="E866" s="71" t="s">
        <v>44</v>
      </c>
      <c r="F866" s="71" t="s">
        <v>39</v>
      </c>
      <c r="G866" s="72">
        <v>419.3</v>
      </c>
      <c r="H866" s="73">
        <v>3774</v>
      </c>
      <c r="I866" s="73">
        <v>-604</v>
      </c>
      <c r="J866" s="73">
        <v>-45</v>
      </c>
      <c r="K866" s="73">
        <v>-978</v>
      </c>
      <c r="L866" s="73">
        <v>-245</v>
      </c>
      <c r="M866" s="73">
        <v>-136</v>
      </c>
      <c r="N866" s="73">
        <v>-147</v>
      </c>
      <c r="O866" s="73">
        <v>-79</v>
      </c>
      <c r="P866" s="73">
        <v>-151</v>
      </c>
      <c r="Q866" s="73">
        <v>-113</v>
      </c>
      <c r="R866" s="73">
        <v>0</v>
      </c>
      <c r="S866" s="73">
        <v>0</v>
      </c>
      <c r="T866" s="73">
        <v>0</v>
      </c>
      <c r="U866" s="73">
        <v>0</v>
      </c>
      <c r="V866" s="73">
        <v>0</v>
      </c>
      <c r="W866" s="73">
        <v>0</v>
      </c>
      <c r="X866" s="73">
        <v>0</v>
      </c>
      <c r="Y866" s="73">
        <v>0</v>
      </c>
      <c r="Z866" s="73">
        <v>4810</v>
      </c>
      <c r="AA866" s="73">
        <v>3346</v>
      </c>
      <c r="AB866" s="73">
        <v>0</v>
      </c>
      <c r="AC866" s="73">
        <v>0</v>
      </c>
      <c r="AD866" s="73">
        <v>0</v>
      </c>
      <c r="AE866" s="73">
        <v>0</v>
      </c>
      <c r="AF866" s="74">
        <f>tblData[[#This Row],[Gross Sales]]+tblData[[#This Row],[Trade Discounts]]+tblData[[#This Row],[Returns]]</f>
        <v>3125</v>
      </c>
      <c r="AG866" s="74">
        <f>tblData[[#This Row],[Material Cost]]+tblData[[#This Row],[Conversion Cost]]+tblData[[#This Row],[Inbound Freight]]</f>
        <v>-1359</v>
      </c>
      <c r="AH866" s="74">
        <f>tblData[[#This Row],[Net Revenue]]+tblData[[#This Row],[COGS]]</f>
        <v>1766</v>
      </c>
      <c r="AI866" s="74">
        <f>tblData[[#This Row],[Advertising]]+tblData[[#This Row],[Promotions]]</f>
        <v>-226</v>
      </c>
      <c r="AJ866" s="74">
        <f>tblData[[#This Row],[Outbound Logistics]]+tblData[[#This Row],[Direct Selling]]</f>
        <v>-264</v>
      </c>
      <c r="AK866" s="74">
        <f>tblData[[#This Row],[Gross Profit]]+tblData[[#This Row],[AP Spend]]+tblData[[#This Row],[Cost to Serve]]</f>
        <v>1276</v>
      </c>
    </row>
    <row r="867" spans="2:37" x14ac:dyDescent="0.25">
      <c r="B867" s="71" t="s">
        <v>50</v>
      </c>
      <c r="C867" s="71">
        <v>2026</v>
      </c>
      <c r="D867" s="71">
        <v>11</v>
      </c>
      <c r="E867" s="71" t="s">
        <v>44</v>
      </c>
      <c r="F867" s="71" t="s">
        <v>40</v>
      </c>
      <c r="G867" s="72">
        <v>404.4</v>
      </c>
      <c r="H867" s="73">
        <v>2830</v>
      </c>
      <c r="I867" s="73">
        <v>-453</v>
      </c>
      <c r="J867" s="73">
        <v>-34</v>
      </c>
      <c r="K867" s="73">
        <v>-815</v>
      </c>
      <c r="L867" s="73">
        <v>-204</v>
      </c>
      <c r="M867" s="73">
        <v>-113</v>
      </c>
      <c r="N867" s="73">
        <v>-74</v>
      </c>
      <c r="O867" s="73">
        <v>-40</v>
      </c>
      <c r="P867" s="73">
        <v>-113</v>
      </c>
      <c r="Q867" s="73">
        <v>-85</v>
      </c>
      <c r="R867" s="73">
        <v>0</v>
      </c>
      <c r="S867" s="73">
        <v>0</v>
      </c>
      <c r="T867" s="73">
        <v>0</v>
      </c>
      <c r="U867" s="73">
        <v>0</v>
      </c>
      <c r="V867" s="73">
        <v>0</v>
      </c>
      <c r="W867" s="73">
        <v>0</v>
      </c>
      <c r="X867" s="73">
        <v>0</v>
      </c>
      <c r="Y867" s="73">
        <v>0</v>
      </c>
      <c r="Z867" s="73">
        <v>3608</v>
      </c>
      <c r="AA867" s="73">
        <v>2614</v>
      </c>
      <c r="AB867" s="73">
        <v>0</v>
      </c>
      <c r="AC867" s="73">
        <v>0</v>
      </c>
      <c r="AD867" s="73">
        <v>0</v>
      </c>
      <c r="AE867" s="73">
        <v>0</v>
      </c>
      <c r="AF867" s="74">
        <f>tblData[[#This Row],[Gross Sales]]+tblData[[#This Row],[Trade Discounts]]+tblData[[#This Row],[Returns]]</f>
        <v>2343</v>
      </c>
      <c r="AG867" s="74">
        <f>tblData[[#This Row],[Material Cost]]+tblData[[#This Row],[Conversion Cost]]+tblData[[#This Row],[Inbound Freight]]</f>
        <v>-1132</v>
      </c>
      <c r="AH867" s="74">
        <f>tblData[[#This Row],[Net Revenue]]+tblData[[#This Row],[COGS]]</f>
        <v>1211</v>
      </c>
      <c r="AI867" s="74">
        <f>tblData[[#This Row],[Advertising]]+tblData[[#This Row],[Promotions]]</f>
        <v>-114</v>
      </c>
      <c r="AJ867" s="74">
        <f>tblData[[#This Row],[Outbound Logistics]]+tblData[[#This Row],[Direct Selling]]</f>
        <v>-198</v>
      </c>
      <c r="AK867" s="74">
        <f>tblData[[#This Row],[Gross Profit]]+tblData[[#This Row],[AP Spend]]+tblData[[#This Row],[Cost to Serve]]</f>
        <v>899</v>
      </c>
    </row>
    <row r="868" spans="2:37" x14ac:dyDescent="0.25">
      <c r="B868" s="71" t="s">
        <v>50</v>
      </c>
      <c r="C868" s="71">
        <v>2026</v>
      </c>
      <c r="D868" s="71">
        <v>11</v>
      </c>
      <c r="E868" s="71" t="s">
        <v>44</v>
      </c>
      <c r="F868" s="71" t="s">
        <v>41</v>
      </c>
      <c r="G868" s="72">
        <v>200.1</v>
      </c>
      <c r="H868" s="73">
        <v>2201</v>
      </c>
      <c r="I868" s="73">
        <v>-352</v>
      </c>
      <c r="J868" s="73">
        <v>-26</v>
      </c>
      <c r="K868" s="73">
        <v>-523</v>
      </c>
      <c r="L868" s="73">
        <v>-131</v>
      </c>
      <c r="M868" s="73">
        <v>-73</v>
      </c>
      <c r="N868" s="73">
        <v>-157</v>
      </c>
      <c r="O868" s="73">
        <v>-85</v>
      </c>
      <c r="P868" s="73">
        <v>-88</v>
      </c>
      <c r="Q868" s="73">
        <v>-66</v>
      </c>
      <c r="R868" s="73">
        <v>0</v>
      </c>
      <c r="S868" s="73">
        <v>0</v>
      </c>
      <c r="T868" s="73">
        <v>0</v>
      </c>
      <c r="U868" s="73">
        <v>0</v>
      </c>
      <c r="V868" s="73">
        <v>0</v>
      </c>
      <c r="W868" s="73">
        <v>0</v>
      </c>
      <c r="X868" s="73">
        <v>0</v>
      </c>
      <c r="Y868" s="73">
        <v>0</v>
      </c>
      <c r="Z868" s="73">
        <v>2806</v>
      </c>
      <c r="AA868" s="73">
        <v>2013</v>
      </c>
      <c r="AB868" s="73">
        <v>0</v>
      </c>
      <c r="AC868" s="73">
        <v>0</v>
      </c>
      <c r="AD868" s="73">
        <v>0</v>
      </c>
      <c r="AE868" s="73">
        <v>0</v>
      </c>
      <c r="AF868" s="74">
        <f>tblData[[#This Row],[Gross Sales]]+tblData[[#This Row],[Trade Discounts]]+tblData[[#This Row],[Returns]]</f>
        <v>1823</v>
      </c>
      <c r="AG868" s="74">
        <f>tblData[[#This Row],[Material Cost]]+tblData[[#This Row],[Conversion Cost]]+tblData[[#This Row],[Inbound Freight]]</f>
        <v>-727</v>
      </c>
      <c r="AH868" s="74">
        <f>tblData[[#This Row],[Net Revenue]]+tblData[[#This Row],[COGS]]</f>
        <v>1096</v>
      </c>
      <c r="AI868" s="74">
        <f>tblData[[#This Row],[Advertising]]+tblData[[#This Row],[Promotions]]</f>
        <v>-242</v>
      </c>
      <c r="AJ868" s="74">
        <f>tblData[[#This Row],[Outbound Logistics]]+tblData[[#This Row],[Direct Selling]]</f>
        <v>-154</v>
      </c>
      <c r="AK868" s="74">
        <f>tblData[[#This Row],[Gross Profit]]+tblData[[#This Row],[AP Spend]]+tblData[[#This Row],[Cost to Serve]]</f>
        <v>700</v>
      </c>
    </row>
    <row r="869" spans="2:37" x14ac:dyDescent="0.25">
      <c r="B869" s="71" t="s">
        <v>50</v>
      </c>
      <c r="C869" s="71">
        <v>2026</v>
      </c>
      <c r="D869" s="71">
        <v>11</v>
      </c>
      <c r="E869" s="71" t="s">
        <v>44</v>
      </c>
      <c r="F869" s="71" t="s">
        <v>42</v>
      </c>
      <c r="G869" s="72">
        <v>262.10000000000002</v>
      </c>
      <c r="H869" s="73">
        <v>1572</v>
      </c>
      <c r="I869" s="73">
        <v>-252</v>
      </c>
      <c r="J869" s="73">
        <v>-19</v>
      </c>
      <c r="K869" s="73">
        <v>-498</v>
      </c>
      <c r="L869" s="73">
        <v>-125</v>
      </c>
      <c r="M869" s="73">
        <v>-69</v>
      </c>
      <c r="N869" s="73">
        <v>-31</v>
      </c>
      <c r="O869" s="73">
        <v>-17</v>
      </c>
      <c r="P869" s="73">
        <v>-63</v>
      </c>
      <c r="Q869" s="73">
        <v>-47</v>
      </c>
      <c r="R869" s="73">
        <v>0</v>
      </c>
      <c r="S869" s="73">
        <v>0</v>
      </c>
      <c r="T869" s="73">
        <v>0</v>
      </c>
      <c r="U869" s="73">
        <v>0</v>
      </c>
      <c r="V869" s="73">
        <v>0</v>
      </c>
      <c r="W869" s="73">
        <v>0</v>
      </c>
      <c r="X869" s="73">
        <v>0</v>
      </c>
      <c r="Y869" s="73">
        <v>0</v>
      </c>
      <c r="Z869" s="73">
        <v>2004</v>
      </c>
      <c r="AA869" s="73">
        <v>2343</v>
      </c>
      <c r="AB869" s="73">
        <v>0</v>
      </c>
      <c r="AC869" s="73">
        <v>0</v>
      </c>
      <c r="AD869" s="73">
        <v>0</v>
      </c>
      <c r="AE869" s="73">
        <v>0</v>
      </c>
      <c r="AF869" s="74">
        <f>tblData[[#This Row],[Gross Sales]]+tblData[[#This Row],[Trade Discounts]]+tblData[[#This Row],[Returns]]</f>
        <v>1301</v>
      </c>
      <c r="AG869" s="74">
        <f>tblData[[#This Row],[Material Cost]]+tblData[[#This Row],[Conversion Cost]]+tblData[[#This Row],[Inbound Freight]]</f>
        <v>-692</v>
      </c>
      <c r="AH869" s="74">
        <f>tblData[[#This Row],[Net Revenue]]+tblData[[#This Row],[COGS]]</f>
        <v>609</v>
      </c>
      <c r="AI869" s="74">
        <f>tblData[[#This Row],[Advertising]]+tblData[[#This Row],[Promotions]]</f>
        <v>-48</v>
      </c>
      <c r="AJ869" s="74">
        <f>tblData[[#This Row],[Outbound Logistics]]+tblData[[#This Row],[Direct Selling]]</f>
        <v>-110</v>
      </c>
      <c r="AK869" s="74">
        <f>tblData[[#This Row],[Gross Profit]]+tblData[[#This Row],[AP Spend]]+tblData[[#This Row],[Cost to Serve]]</f>
        <v>451</v>
      </c>
    </row>
    <row r="870" spans="2:37" x14ac:dyDescent="0.25">
      <c r="B870" s="71" t="s">
        <v>50</v>
      </c>
      <c r="C870" s="71">
        <v>2026</v>
      </c>
      <c r="D870" s="71">
        <v>11</v>
      </c>
      <c r="E870" s="71" t="s">
        <v>44</v>
      </c>
      <c r="F870" s="71" t="s">
        <v>43</v>
      </c>
      <c r="G870" s="72">
        <v>52.4</v>
      </c>
      <c r="H870" s="73">
        <v>943</v>
      </c>
      <c r="I870" s="73">
        <v>-151</v>
      </c>
      <c r="J870" s="73">
        <v>-11</v>
      </c>
      <c r="K870" s="73">
        <v>-258</v>
      </c>
      <c r="L870" s="73">
        <v>-65</v>
      </c>
      <c r="M870" s="73">
        <v>-36</v>
      </c>
      <c r="N870" s="73">
        <v>-86</v>
      </c>
      <c r="O870" s="73">
        <v>-46</v>
      </c>
      <c r="P870" s="73">
        <v>-38</v>
      </c>
      <c r="Q870" s="73">
        <v>-28</v>
      </c>
      <c r="R870" s="73">
        <v>0</v>
      </c>
      <c r="S870" s="73">
        <v>0</v>
      </c>
      <c r="T870" s="73">
        <v>0</v>
      </c>
      <c r="U870" s="73">
        <v>0</v>
      </c>
      <c r="V870" s="73">
        <v>0</v>
      </c>
      <c r="W870" s="73">
        <v>0</v>
      </c>
      <c r="X870" s="73">
        <v>0</v>
      </c>
      <c r="Y870" s="73">
        <v>0</v>
      </c>
      <c r="Z870" s="73">
        <v>1203</v>
      </c>
      <c r="AA870" s="73">
        <v>1325</v>
      </c>
      <c r="AB870" s="73">
        <v>0</v>
      </c>
      <c r="AC870" s="73">
        <v>0</v>
      </c>
      <c r="AD870" s="73">
        <v>0</v>
      </c>
      <c r="AE870" s="73">
        <v>0</v>
      </c>
      <c r="AF870" s="74">
        <f>tblData[[#This Row],[Gross Sales]]+tblData[[#This Row],[Trade Discounts]]+tblData[[#This Row],[Returns]]</f>
        <v>781</v>
      </c>
      <c r="AG870" s="74">
        <f>tblData[[#This Row],[Material Cost]]+tblData[[#This Row],[Conversion Cost]]+tblData[[#This Row],[Inbound Freight]]</f>
        <v>-359</v>
      </c>
      <c r="AH870" s="74">
        <f>tblData[[#This Row],[Net Revenue]]+tblData[[#This Row],[COGS]]</f>
        <v>422</v>
      </c>
      <c r="AI870" s="74">
        <f>tblData[[#This Row],[Advertising]]+tblData[[#This Row],[Promotions]]</f>
        <v>-132</v>
      </c>
      <c r="AJ870" s="74">
        <f>tblData[[#This Row],[Outbound Logistics]]+tblData[[#This Row],[Direct Selling]]</f>
        <v>-66</v>
      </c>
      <c r="AK870" s="74">
        <f>tblData[[#This Row],[Gross Profit]]+tblData[[#This Row],[AP Spend]]+tblData[[#This Row],[Cost to Serve]]</f>
        <v>224</v>
      </c>
    </row>
    <row r="871" spans="2:37" x14ac:dyDescent="0.25">
      <c r="B871" s="71" t="s">
        <v>50</v>
      </c>
      <c r="C871" s="71">
        <v>2026</v>
      </c>
      <c r="D871" s="71">
        <v>11</v>
      </c>
      <c r="E871" s="71" t="s">
        <v>45</v>
      </c>
      <c r="F871" s="71" t="s">
        <v>38</v>
      </c>
      <c r="G871" s="72">
        <v>183.5</v>
      </c>
      <c r="H871" s="73">
        <v>2568</v>
      </c>
      <c r="I871" s="73">
        <v>-565</v>
      </c>
      <c r="J871" s="73">
        <v>-26</v>
      </c>
      <c r="K871" s="73">
        <v>-555</v>
      </c>
      <c r="L871" s="73">
        <v>-139</v>
      </c>
      <c r="M871" s="73">
        <v>-77</v>
      </c>
      <c r="N871" s="73">
        <v>-150</v>
      </c>
      <c r="O871" s="73">
        <v>-81</v>
      </c>
      <c r="P871" s="73">
        <v>-90</v>
      </c>
      <c r="Q871" s="73">
        <v>-51</v>
      </c>
      <c r="R871" s="73">
        <v>0</v>
      </c>
      <c r="S871" s="73">
        <v>0</v>
      </c>
      <c r="T871" s="73">
        <v>0</v>
      </c>
      <c r="U871" s="73">
        <v>0</v>
      </c>
      <c r="V871" s="73">
        <v>0</v>
      </c>
      <c r="W871" s="73">
        <v>0</v>
      </c>
      <c r="X871" s="73">
        <v>0</v>
      </c>
      <c r="Y871" s="73">
        <v>0</v>
      </c>
      <c r="Z871" s="73">
        <v>2740</v>
      </c>
      <c r="AA871" s="73">
        <v>2254</v>
      </c>
      <c r="AB871" s="73">
        <v>0</v>
      </c>
      <c r="AC871" s="73">
        <v>0</v>
      </c>
      <c r="AD871" s="73">
        <v>0</v>
      </c>
      <c r="AE871" s="73">
        <v>0</v>
      </c>
      <c r="AF871" s="74">
        <f>tblData[[#This Row],[Gross Sales]]+tblData[[#This Row],[Trade Discounts]]+tblData[[#This Row],[Returns]]</f>
        <v>1977</v>
      </c>
      <c r="AG871" s="74">
        <f>tblData[[#This Row],[Material Cost]]+tblData[[#This Row],[Conversion Cost]]+tblData[[#This Row],[Inbound Freight]]</f>
        <v>-771</v>
      </c>
      <c r="AH871" s="74">
        <f>tblData[[#This Row],[Net Revenue]]+tblData[[#This Row],[COGS]]</f>
        <v>1206</v>
      </c>
      <c r="AI871" s="74">
        <f>tblData[[#This Row],[Advertising]]+tblData[[#This Row],[Promotions]]</f>
        <v>-231</v>
      </c>
      <c r="AJ871" s="74">
        <f>tblData[[#This Row],[Outbound Logistics]]+tblData[[#This Row],[Direct Selling]]</f>
        <v>-141</v>
      </c>
      <c r="AK871" s="74">
        <f>tblData[[#This Row],[Gross Profit]]+tblData[[#This Row],[AP Spend]]+tblData[[#This Row],[Cost to Serve]]</f>
        <v>834</v>
      </c>
    </row>
    <row r="872" spans="2:37" x14ac:dyDescent="0.25">
      <c r="B872" s="71" t="s">
        <v>50</v>
      </c>
      <c r="C872" s="71">
        <v>2026</v>
      </c>
      <c r="D872" s="71">
        <v>11</v>
      </c>
      <c r="E872" s="71" t="s">
        <v>45</v>
      </c>
      <c r="F872" s="71" t="s">
        <v>39</v>
      </c>
      <c r="G872" s="72">
        <v>244.6</v>
      </c>
      <c r="H872" s="73">
        <v>2201</v>
      </c>
      <c r="I872" s="73">
        <v>-484</v>
      </c>
      <c r="J872" s="73">
        <v>-22</v>
      </c>
      <c r="K872" s="73">
        <v>-571</v>
      </c>
      <c r="L872" s="73">
        <v>-143</v>
      </c>
      <c r="M872" s="73">
        <v>-79</v>
      </c>
      <c r="N872" s="73">
        <v>-86</v>
      </c>
      <c r="O872" s="73">
        <v>-46</v>
      </c>
      <c r="P872" s="73">
        <v>-77</v>
      </c>
      <c r="Q872" s="73">
        <v>-44</v>
      </c>
      <c r="R872" s="73">
        <v>0</v>
      </c>
      <c r="S872" s="73">
        <v>0</v>
      </c>
      <c r="T872" s="73">
        <v>0</v>
      </c>
      <c r="U872" s="73">
        <v>0</v>
      </c>
      <c r="V872" s="73">
        <v>0</v>
      </c>
      <c r="W872" s="73">
        <v>0</v>
      </c>
      <c r="X872" s="73">
        <v>0</v>
      </c>
      <c r="Y872" s="73">
        <v>0</v>
      </c>
      <c r="Z872" s="73">
        <v>2348</v>
      </c>
      <c r="AA872" s="73">
        <v>1952</v>
      </c>
      <c r="AB872" s="73">
        <v>0</v>
      </c>
      <c r="AC872" s="73">
        <v>0</v>
      </c>
      <c r="AD872" s="73">
        <v>0</v>
      </c>
      <c r="AE872" s="73">
        <v>0</v>
      </c>
      <c r="AF872" s="74">
        <f>tblData[[#This Row],[Gross Sales]]+tblData[[#This Row],[Trade Discounts]]+tblData[[#This Row],[Returns]]</f>
        <v>1695</v>
      </c>
      <c r="AG872" s="74">
        <f>tblData[[#This Row],[Material Cost]]+tblData[[#This Row],[Conversion Cost]]+tblData[[#This Row],[Inbound Freight]]</f>
        <v>-793</v>
      </c>
      <c r="AH872" s="74">
        <f>tblData[[#This Row],[Net Revenue]]+tblData[[#This Row],[COGS]]</f>
        <v>902</v>
      </c>
      <c r="AI872" s="74">
        <f>tblData[[#This Row],[Advertising]]+tblData[[#This Row],[Promotions]]</f>
        <v>-132</v>
      </c>
      <c r="AJ872" s="74">
        <f>tblData[[#This Row],[Outbound Logistics]]+tblData[[#This Row],[Direct Selling]]</f>
        <v>-121</v>
      </c>
      <c r="AK872" s="74">
        <f>tblData[[#This Row],[Gross Profit]]+tblData[[#This Row],[AP Spend]]+tblData[[#This Row],[Cost to Serve]]</f>
        <v>649</v>
      </c>
    </row>
    <row r="873" spans="2:37" x14ac:dyDescent="0.25">
      <c r="B873" s="71" t="s">
        <v>50</v>
      </c>
      <c r="C873" s="71">
        <v>2026</v>
      </c>
      <c r="D873" s="71">
        <v>11</v>
      </c>
      <c r="E873" s="71" t="s">
        <v>45</v>
      </c>
      <c r="F873" s="71" t="s">
        <v>40</v>
      </c>
      <c r="G873" s="72">
        <v>235.9</v>
      </c>
      <c r="H873" s="73">
        <v>1651</v>
      </c>
      <c r="I873" s="73">
        <v>-363</v>
      </c>
      <c r="J873" s="73">
        <v>-17</v>
      </c>
      <c r="K873" s="73">
        <v>-476</v>
      </c>
      <c r="L873" s="73">
        <v>-119</v>
      </c>
      <c r="M873" s="73">
        <v>-66</v>
      </c>
      <c r="N873" s="73">
        <v>-43</v>
      </c>
      <c r="O873" s="73">
        <v>-23</v>
      </c>
      <c r="P873" s="73">
        <v>-58</v>
      </c>
      <c r="Q873" s="73">
        <v>-33</v>
      </c>
      <c r="R873" s="73">
        <v>0</v>
      </c>
      <c r="S873" s="73">
        <v>0</v>
      </c>
      <c r="T873" s="73">
        <v>0</v>
      </c>
      <c r="U873" s="73">
        <v>0</v>
      </c>
      <c r="V873" s="73">
        <v>0</v>
      </c>
      <c r="W873" s="73">
        <v>0</v>
      </c>
      <c r="X873" s="73">
        <v>0</v>
      </c>
      <c r="Y873" s="73">
        <v>0</v>
      </c>
      <c r="Z873" s="73">
        <v>1761</v>
      </c>
      <c r="AA873" s="73">
        <v>1525</v>
      </c>
      <c r="AB873" s="73">
        <v>0</v>
      </c>
      <c r="AC873" s="73">
        <v>0</v>
      </c>
      <c r="AD873" s="73">
        <v>0</v>
      </c>
      <c r="AE873" s="73">
        <v>0</v>
      </c>
      <c r="AF873" s="74">
        <f>tblData[[#This Row],[Gross Sales]]+tblData[[#This Row],[Trade Discounts]]+tblData[[#This Row],[Returns]]</f>
        <v>1271</v>
      </c>
      <c r="AG873" s="74">
        <f>tblData[[#This Row],[Material Cost]]+tblData[[#This Row],[Conversion Cost]]+tblData[[#This Row],[Inbound Freight]]</f>
        <v>-661</v>
      </c>
      <c r="AH873" s="74">
        <f>tblData[[#This Row],[Net Revenue]]+tblData[[#This Row],[COGS]]</f>
        <v>610</v>
      </c>
      <c r="AI873" s="74">
        <f>tblData[[#This Row],[Advertising]]+tblData[[#This Row],[Promotions]]</f>
        <v>-66</v>
      </c>
      <c r="AJ873" s="74">
        <f>tblData[[#This Row],[Outbound Logistics]]+tblData[[#This Row],[Direct Selling]]</f>
        <v>-91</v>
      </c>
      <c r="AK873" s="74">
        <f>tblData[[#This Row],[Gross Profit]]+tblData[[#This Row],[AP Spend]]+tblData[[#This Row],[Cost to Serve]]</f>
        <v>453</v>
      </c>
    </row>
    <row r="874" spans="2:37" x14ac:dyDescent="0.25">
      <c r="B874" s="71" t="s">
        <v>50</v>
      </c>
      <c r="C874" s="71">
        <v>2026</v>
      </c>
      <c r="D874" s="71">
        <v>11</v>
      </c>
      <c r="E874" s="71" t="s">
        <v>45</v>
      </c>
      <c r="F874" s="71" t="s">
        <v>41</v>
      </c>
      <c r="G874" s="72">
        <v>116.7</v>
      </c>
      <c r="H874" s="73">
        <v>1284</v>
      </c>
      <c r="I874" s="73">
        <v>-283</v>
      </c>
      <c r="J874" s="73">
        <v>-13</v>
      </c>
      <c r="K874" s="73">
        <v>-305</v>
      </c>
      <c r="L874" s="73">
        <v>-76</v>
      </c>
      <c r="M874" s="73">
        <v>-42</v>
      </c>
      <c r="N874" s="73">
        <v>-92</v>
      </c>
      <c r="O874" s="73">
        <v>-49</v>
      </c>
      <c r="P874" s="73">
        <v>-45</v>
      </c>
      <c r="Q874" s="73">
        <v>-26</v>
      </c>
      <c r="R874" s="73">
        <v>0</v>
      </c>
      <c r="S874" s="73">
        <v>0</v>
      </c>
      <c r="T874" s="73">
        <v>0</v>
      </c>
      <c r="U874" s="73">
        <v>0</v>
      </c>
      <c r="V874" s="73">
        <v>0</v>
      </c>
      <c r="W874" s="73">
        <v>0</v>
      </c>
      <c r="X874" s="73">
        <v>0</v>
      </c>
      <c r="Y874" s="73">
        <v>0</v>
      </c>
      <c r="Z874" s="73">
        <v>1370</v>
      </c>
      <c r="AA874" s="73">
        <v>1174</v>
      </c>
      <c r="AB874" s="73">
        <v>0</v>
      </c>
      <c r="AC874" s="73">
        <v>0</v>
      </c>
      <c r="AD874" s="73">
        <v>0</v>
      </c>
      <c r="AE874" s="73">
        <v>0</v>
      </c>
      <c r="AF874" s="74">
        <f>tblData[[#This Row],[Gross Sales]]+tblData[[#This Row],[Trade Discounts]]+tblData[[#This Row],[Returns]]</f>
        <v>988</v>
      </c>
      <c r="AG874" s="74">
        <f>tblData[[#This Row],[Material Cost]]+tblData[[#This Row],[Conversion Cost]]+tblData[[#This Row],[Inbound Freight]]</f>
        <v>-423</v>
      </c>
      <c r="AH874" s="74">
        <f>tblData[[#This Row],[Net Revenue]]+tblData[[#This Row],[COGS]]</f>
        <v>565</v>
      </c>
      <c r="AI874" s="74">
        <f>tblData[[#This Row],[Advertising]]+tblData[[#This Row],[Promotions]]</f>
        <v>-141</v>
      </c>
      <c r="AJ874" s="74">
        <f>tblData[[#This Row],[Outbound Logistics]]+tblData[[#This Row],[Direct Selling]]</f>
        <v>-71</v>
      </c>
      <c r="AK874" s="74">
        <f>tblData[[#This Row],[Gross Profit]]+tblData[[#This Row],[AP Spend]]+tblData[[#This Row],[Cost to Serve]]</f>
        <v>353</v>
      </c>
    </row>
    <row r="875" spans="2:37" x14ac:dyDescent="0.25">
      <c r="B875" s="71" t="s">
        <v>50</v>
      </c>
      <c r="C875" s="71">
        <v>2026</v>
      </c>
      <c r="D875" s="71">
        <v>11</v>
      </c>
      <c r="E875" s="71" t="s">
        <v>45</v>
      </c>
      <c r="F875" s="71" t="s">
        <v>42</v>
      </c>
      <c r="G875" s="72">
        <v>152.9</v>
      </c>
      <c r="H875" s="73">
        <v>917</v>
      </c>
      <c r="I875" s="73">
        <v>-202</v>
      </c>
      <c r="J875" s="73">
        <v>-9</v>
      </c>
      <c r="K875" s="73">
        <v>-291</v>
      </c>
      <c r="L875" s="73">
        <v>-73</v>
      </c>
      <c r="M875" s="73">
        <v>-40</v>
      </c>
      <c r="N875" s="73">
        <v>-18</v>
      </c>
      <c r="O875" s="73">
        <v>-10</v>
      </c>
      <c r="P875" s="73">
        <v>-32</v>
      </c>
      <c r="Q875" s="73">
        <v>-18</v>
      </c>
      <c r="R875" s="73">
        <v>0</v>
      </c>
      <c r="S875" s="73">
        <v>0</v>
      </c>
      <c r="T875" s="73">
        <v>0</v>
      </c>
      <c r="U875" s="73">
        <v>0</v>
      </c>
      <c r="V875" s="73">
        <v>0</v>
      </c>
      <c r="W875" s="73">
        <v>0</v>
      </c>
      <c r="X875" s="73">
        <v>0</v>
      </c>
      <c r="Y875" s="73">
        <v>0</v>
      </c>
      <c r="Z875" s="73">
        <v>978</v>
      </c>
      <c r="AA875" s="73">
        <v>1367</v>
      </c>
      <c r="AB875" s="73">
        <v>0</v>
      </c>
      <c r="AC875" s="73">
        <v>0</v>
      </c>
      <c r="AD875" s="73">
        <v>0</v>
      </c>
      <c r="AE875" s="73">
        <v>0</v>
      </c>
      <c r="AF875" s="74">
        <f>tblData[[#This Row],[Gross Sales]]+tblData[[#This Row],[Trade Discounts]]+tblData[[#This Row],[Returns]]</f>
        <v>706</v>
      </c>
      <c r="AG875" s="74">
        <f>tblData[[#This Row],[Material Cost]]+tblData[[#This Row],[Conversion Cost]]+tblData[[#This Row],[Inbound Freight]]</f>
        <v>-404</v>
      </c>
      <c r="AH875" s="74">
        <f>tblData[[#This Row],[Net Revenue]]+tblData[[#This Row],[COGS]]</f>
        <v>302</v>
      </c>
      <c r="AI875" s="74">
        <f>tblData[[#This Row],[Advertising]]+tblData[[#This Row],[Promotions]]</f>
        <v>-28</v>
      </c>
      <c r="AJ875" s="74">
        <f>tblData[[#This Row],[Outbound Logistics]]+tblData[[#This Row],[Direct Selling]]</f>
        <v>-50</v>
      </c>
      <c r="AK875" s="74">
        <f>tblData[[#This Row],[Gross Profit]]+tblData[[#This Row],[AP Spend]]+tblData[[#This Row],[Cost to Serve]]</f>
        <v>224</v>
      </c>
    </row>
    <row r="876" spans="2:37" x14ac:dyDescent="0.25">
      <c r="B876" s="71" t="s">
        <v>50</v>
      </c>
      <c r="C876" s="71">
        <v>2026</v>
      </c>
      <c r="D876" s="71">
        <v>11</v>
      </c>
      <c r="E876" s="71" t="s">
        <v>45</v>
      </c>
      <c r="F876" s="71" t="s">
        <v>43</v>
      </c>
      <c r="G876" s="72">
        <v>30.6</v>
      </c>
      <c r="H876" s="73">
        <v>550</v>
      </c>
      <c r="I876" s="73">
        <v>-121</v>
      </c>
      <c r="J876" s="73">
        <v>-6</v>
      </c>
      <c r="K876" s="73">
        <v>-151</v>
      </c>
      <c r="L876" s="73">
        <v>-38</v>
      </c>
      <c r="M876" s="73">
        <v>-21</v>
      </c>
      <c r="N876" s="73">
        <v>-50</v>
      </c>
      <c r="O876" s="73">
        <v>-27</v>
      </c>
      <c r="P876" s="73">
        <v>-19</v>
      </c>
      <c r="Q876" s="73">
        <v>-11</v>
      </c>
      <c r="R876" s="73">
        <v>0</v>
      </c>
      <c r="S876" s="73">
        <v>0</v>
      </c>
      <c r="T876" s="73">
        <v>0</v>
      </c>
      <c r="U876" s="73">
        <v>0</v>
      </c>
      <c r="V876" s="73">
        <v>0</v>
      </c>
      <c r="W876" s="73">
        <v>0</v>
      </c>
      <c r="X876" s="73">
        <v>0</v>
      </c>
      <c r="Y876" s="73">
        <v>0</v>
      </c>
      <c r="Z876" s="73">
        <v>587</v>
      </c>
      <c r="AA876" s="73">
        <v>773</v>
      </c>
      <c r="AB876" s="73">
        <v>0</v>
      </c>
      <c r="AC876" s="73">
        <v>0</v>
      </c>
      <c r="AD876" s="73">
        <v>0</v>
      </c>
      <c r="AE876" s="73">
        <v>0</v>
      </c>
      <c r="AF876" s="74">
        <f>tblData[[#This Row],[Gross Sales]]+tblData[[#This Row],[Trade Discounts]]+tblData[[#This Row],[Returns]]</f>
        <v>423</v>
      </c>
      <c r="AG876" s="74">
        <f>tblData[[#This Row],[Material Cost]]+tblData[[#This Row],[Conversion Cost]]+tblData[[#This Row],[Inbound Freight]]</f>
        <v>-210</v>
      </c>
      <c r="AH876" s="74">
        <f>tblData[[#This Row],[Net Revenue]]+tblData[[#This Row],[COGS]]</f>
        <v>213</v>
      </c>
      <c r="AI876" s="74">
        <f>tblData[[#This Row],[Advertising]]+tblData[[#This Row],[Promotions]]</f>
        <v>-77</v>
      </c>
      <c r="AJ876" s="74">
        <f>tblData[[#This Row],[Outbound Logistics]]+tblData[[#This Row],[Direct Selling]]</f>
        <v>-30</v>
      </c>
      <c r="AK876" s="74">
        <f>tblData[[#This Row],[Gross Profit]]+tblData[[#This Row],[AP Spend]]+tblData[[#This Row],[Cost to Serve]]</f>
        <v>106</v>
      </c>
    </row>
    <row r="877" spans="2:37" x14ac:dyDescent="0.25">
      <c r="B877" s="71" t="s">
        <v>50</v>
      </c>
      <c r="C877" s="71">
        <v>2026</v>
      </c>
      <c r="D877" s="71">
        <v>11</v>
      </c>
      <c r="E877" s="71" t="s">
        <v>46</v>
      </c>
      <c r="F877" s="71" t="s">
        <v>38</v>
      </c>
      <c r="G877" s="72">
        <v>209.7</v>
      </c>
      <c r="H877" s="73">
        <v>2935</v>
      </c>
      <c r="I877" s="73">
        <v>-323</v>
      </c>
      <c r="J877" s="73">
        <v>-117</v>
      </c>
      <c r="K877" s="73">
        <v>-634</v>
      </c>
      <c r="L877" s="73">
        <v>-159</v>
      </c>
      <c r="M877" s="73">
        <v>-88</v>
      </c>
      <c r="N877" s="73">
        <v>-172</v>
      </c>
      <c r="O877" s="73">
        <v>-92</v>
      </c>
      <c r="P877" s="73">
        <v>-220</v>
      </c>
      <c r="Q877" s="73">
        <v>-59</v>
      </c>
      <c r="R877" s="73">
        <v>0</v>
      </c>
      <c r="S877" s="73">
        <v>0</v>
      </c>
      <c r="T877" s="73">
        <v>0</v>
      </c>
      <c r="U877" s="73">
        <v>0</v>
      </c>
      <c r="V877" s="73">
        <v>0</v>
      </c>
      <c r="W877" s="73">
        <v>0</v>
      </c>
      <c r="X877" s="73">
        <v>0</v>
      </c>
      <c r="Y877" s="73">
        <v>0</v>
      </c>
      <c r="Z877" s="73">
        <v>1920</v>
      </c>
      <c r="AA877" s="73">
        <v>2575</v>
      </c>
      <c r="AB877" s="73">
        <v>0</v>
      </c>
      <c r="AC877" s="73">
        <v>0</v>
      </c>
      <c r="AD877" s="73">
        <v>0</v>
      </c>
      <c r="AE877" s="73">
        <v>0</v>
      </c>
      <c r="AF877" s="74">
        <f>tblData[[#This Row],[Gross Sales]]+tblData[[#This Row],[Trade Discounts]]+tblData[[#This Row],[Returns]]</f>
        <v>2495</v>
      </c>
      <c r="AG877" s="74">
        <f>tblData[[#This Row],[Material Cost]]+tblData[[#This Row],[Conversion Cost]]+tblData[[#This Row],[Inbound Freight]]</f>
        <v>-881</v>
      </c>
      <c r="AH877" s="74">
        <f>tblData[[#This Row],[Net Revenue]]+tblData[[#This Row],[COGS]]</f>
        <v>1614</v>
      </c>
      <c r="AI877" s="74">
        <f>tblData[[#This Row],[Advertising]]+tblData[[#This Row],[Promotions]]</f>
        <v>-264</v>
      </c>
      <c r="AJ877" s="74">
        <f>tblData[[#This Row],[Outbound Logistics]]+tblData[[#This Row],[Direct Selling]]</f>
        <v>-279</v>
      </c>
      <c r="AK877" s="74">
        <f>tblData[[#This Row],[Gross Profit]]+tblData[[#This Row],[AP Spend]]+tblData[[#This Row],[Cost to Serve]]</f>
        <v>1071</v>
      </c>
    </row>
    <row r="878" spans="2:37" x14ac:dyDescent="0.25">
      <c r="B878" s="71" t="s">
        <v>50</v>
      </c>
      <c r="C878" s="71">
        <v>2026</v>
      </c>
      <c r="D878" s="71">
        <v>11</v>
      </c>
      <c r="E878" s="71" t="s">
        <v>46</v>
      </c>
      <c r="F878" s="71" t="s">
        <v>39</v>
      </c>
      <c r="G878" s="72">
        <v>279.60000000000002</v>
      </c>
      <c r="H878" s="73">
        <v>2516</v>
      </c>
      <c r="I878" s="73">
        <v>-277</v>
      </c>
      <c r="J878" s="73">
        <v>-101</v>
      </c>
      <c r="K878" s="73">
        <v>-652</v>
      </c>
      <c r="L878" s="73">
        <v>-163</v>
      </c>
      <c r="M878" s="73">
        <v>-91</v>
      </c>
      <c r="N878" s="73">
        <v>-98</v>
      </c>
      <c r="O878" s="73">
        <v>-53</v>
      </c>
      <c r="P878" s="73">
        <v>-189</v>
      </c>
      <c r="Q878" s="73">
        <v>-50</v>
      </c>
      <c r="R878" s="73">
        <v>0</v>
      </c>
      <c r="S878" s="73">
        <v>0</v>
      </c>
      <c r="T878" s="73">
        <v>0</v>
      </c>
      <c r="U878" s="73">
        <v>0</v>
      </c>
      <c r="V878" s="73">
        <v>0</v>
      </c>
      <c r="W878" s="73">
        <v>0</v>
      </c>
      <c r="X878" s="73">
        <v>0</v>
      </c>
      <c r="Y878" s="73">
        <v>0</v>
      </c>
      <c r="Z878" s="73">
        <v>1646</v>
      </c>
      <c r="AA878" s="73">
        <v>2231</v>
      </c>
      <c r="AB878" s="73">
        <v>0</v>
      </c>
      <c r="AC878" s="73">
        <v>0</v>
      </c>
      <c r="AD878" s="73">
        <v>0</v>
      </c>
      <c r="AE878" s="73">
        <v>0</v>
      </c>
      <c r="AF878" s="74">
        <f>tblData[[#This Row],[Gross Sales]]+tblData[[#This Row],[Trade Discounts]]+tblData[[#This Row],[Returns]]</f>
        <v>2138</v>
      </c>
      <c r="AG878" s="74">
        <f>tblData[[#This Row],[Material Cost]]+tblData[[#This Row],[Conversion Cost]]+tblData[[#This Row],[Inbound Freight]]</f>
        <v>-906</v>
      </c>
      <c r="AH878" s="74">
        <f>tblData[[#This Row],[Net Revenue]]+tblData[[#This Row],[COGS]]</f>
        <v>1232</v>
      </c>
      <c r="AI878" s="74">
        <f>tblData[[#This Row],[Advertising]]+tblData[[#This Row],[Promotions]]</f>
        <v>-151</v>
      </c>
      <c r="AJ878" s="74">
        <f>tblData[[#This Row],[Outbound Logistics]]+tblData[[#This Row],[Direct Selling]]</f>
        <v>-239</v>
      </c>
      <c r="AK878" s="74">
        <f>tblData[[#This Row],[Gross Profit]]+tblData[[#This Row],[AP Spend]]+tblData[[#This Row],[Cost to Serve]]</f>
        <v>842</v>
      </c>
    </row>
    <row r="879" spans="2:37" x14ac:dyDescent="0.25">
      <c r="B879" s="71" t="s">
        <v>50</v>
      </c>
      <c r="C879" s="71">
        <v>2026</v>
      </c>
      <c r="D879" s="71">
        <v>11</v>
      </c>
      <c r="E879" s="71" t="s">
        <v>46</v>
      </c>
      <c r="F879" s="71" t="s">
        <v>40</v>
      </c>
      <c r="G879" s="72">
        <v>269.60000000000002</v>
      </c>
      <c r="H879" s="73">
        <v>1887</v>
      </c>
      <c r="I879" s="73">
        <v>-208</v>
      </c>
      <c r="J879" s="73">
        <v>-75</v>
      </c>
      <c r="K879" s="73">
        <v>-543</v>
      </c>
      <c r="L879" s="73">
        <v>-136</v>
      </c>
      <c r="M879" s="73">
        <v>-75</v>
      </c>
      <c r="N879" s="73">
        <v>-49</v>
      </c>
      <c r="O879" s="73">
        <v>-26</v>
      </c>
      <c r="P879" s="73">
        <v>-142</v>
      </c>
      <c r="Q879" s="73">
        <v>-38</v>
      </c>
      <c r="R879" s="73">
        <v>0</v>
      </c>
      <c r="S879" s="73">
        <v>0</v>
      </c>
      <c r="T879" s="73">
        <v>0</v>
      </c>
      <c r="U879" s="73">
        <v>0</v>
      </c>
      <c r="V879" s="73">
        <v>0</v>
      </c>
      <c r="W879" s="73">
        <v>0</v>
      </c>
      <c r="X879" s="73">
        <v>0</v>
      </c>
      <c r="Y879" s="73">
        <v>0</v>
      </c>
      <c r="Z879" s="73">
        <v>1234</v>
      </c>
      <c r="AA879" s="73">
        <v>1743</v>
      </c>
      <c r="AB879" s="73">
        <v>0</v>
      </c>
      <c r="AC879" s="73">
        <v>0</v>
      </c>
      <c r="AD879" s="73">
        <v>0</v>
      </c>
      <c r="AE879" s="73">
        <v>0</v>
      </c>
      <c r="AF879" s="74">
        <f>tblData[[#This Row],[Gross Sales]]+tblData[[#This Row],[Trade Discounts]]+tblData[[#This Row],[Returns]]</f>
        <v>1604</v>
      </c>
      <c r="AG879" s="74">
        <f>tblData[[#This Row],[Material Cost]]+tblData[[#This Row],[Conversion Cost]]+tblData[[#This Row],[Inbound Freight]]</f>
        <v>-754</v>
      </c>
      <c r="AH879" s="74">
        <f>tblData[[#This Row],[Net Revenue]]+tblData[[#This Row],[COGS]]</f>
        <v>850</v>
      </c>
      <c r="AI879" s="74">
        <f>tblData[[#This Row],[Advertising]]+tblData[[#This Row],[Promotions]]</f>
        <v>-75</v>
      </c>
      <c r="AJ879" s="74">
        <f>tblData[[#This Row],[Outbound Logistics]]+tblData[[#This Row],[Direct Selling]]</f>
        <v>-180</v>
      </c>
      <c r="AK879" s="74">
        <f>tblData[[#This Row],[Gross Profit]]+tblData[[#This Row],[AP Spend]]+tblData[[#This Row],[Cost to Serve]]</f>
        <v>595</v>
      </c>
    </row>
    <row r="880" spans="2:37" x14ac:dyDescent="0.25">
      <c r="B880" s="71" t="s">
        <v>50</v>
      </c>
      <c r="C880" s="71">
        <v>2026</v>
      </c>
      <c r="D880" s="71">
        <v>11</v>
      </c>
      <c r="E880" s="71" t="s">
        <v>46</v>
      </c>
      <c r="F880" s="71" t="s">
        <v>41</v>
      </c>
      <c r="G880" s="72">
        <v>133.4</v>
      </c>
      <c r="H880" s="73">
        <v>1468</v>
      </c>
      <c r="I880" s="73">
        <v>-161</v>
      </c>
      <c r="J880" s="73">
        <v>-59</v>
      </c>
      <c r="K880" s="73">
        <v>-349</v>
      </c>
      <c r="L880" s="73">
        <v>-87</v>
      </c>
      <c r="M880" s="73">
        <v>-48</v>
      </c>
      <c r="N880" s="73">
        <v>-105</v>
      </c>
      <c r="O880" s="73">
        <v>-57</v>
      </c>
      <c r="P880" s="73">
        <v>-110</v>
      </c>
      <c r="Q880" s="73">
        <v>-29</v>
      </c>
      <c r="R880" s="73">
        <v>0</v>
      </c>
      <c r="S880" s="73">
        <v>0</v>
      </c>
      <c r="T880" s="73">
        <v>0</v>
      </c>
      <c r="U880" s="73">
        <v>0</v>
      </c>
      <c r="V880" s="73">
        <v>0</v>
      </c>
      <c r="W880" s="73">
        <v>0</v>
      </c>
      <c r="X880" s="73">
        <v>0</v>
      </c>
      <c r="Y880" s="73">
        <v>0</v>
      </c>
      <c r="Z880" s="73">
        <v>960</v>
      </c>
      <c r="AA880" s="73">
        <v>1342</v>
      </c>
      <c r="AB880" s="73">
        <v>0</v>
      </c>
      <c r="AC880" s="73">
        <v>0</v>
      </c>
      <c r="AD880" s="73">
        <v>0</v>
      </c>
      <c r="AE880" s="73">
        <v>0</v>
      </c>
      <c r="AF880" s="74">
        <f>tblData[[#This Row],[Gross Sales]]+tblData[[#This Row],[Trade Discounts]]+tblData[[#This Row],[Returns]]</f>
        <v>1248</v>
      </c>
      <c r="AG880" s="74">
        <f>tblData[[#This Row],[Material Cost]]+tblData[[#This Row],[Conversion Cost]]+tblData[[#This Row],[Inbound Freight]]</f>
        <v>-484</v>
      </c>
      <c r="AH880" s="74">
        <f>tblData[[#This Row],[Net Revenue]]+tblData[[#This Row],[COGS]]</f>
        <v>764</v>
      </c>
      <c r="AI880" s="74">
        <f>tblData[[#This Row],[Advertising]]+tblData[[#This Row],[Promotions]]</f>
        <v>-162</v>
      </c>
      <c r="AJ880" s="74">
        <f>tblData[[#This Row],[Outbound Logistics]]+tblData[[#This Row],[Direct Selling]]</f>
        <v>-139</v>
      </c>
      <c r="AK880" s="74">
        <f>tblData[[#This Row],[Gross Profit]]+tblData[[#This Row],[AP Spend]]+tblData[[#This Row],[Cost to Serve]]</f>
        <v>463</v>
      </c>
    </row>
    <row r="881" spans="2:37" x14ac:dyDescent="0.25">
      <c r="B881" s="71" t="s">
        <v>50</v>
      </c>
      <c r="C881" s="71">
        <v>2026</v>
      </c>
      <c r="D881" s="71">
        <v>11</v>
      </c>
      <c r="E881" s="71" t="s">
        <v>46</v>
      </c>
      <c r="F881" s="71" t="s">
        <v>42</v>
      </c>
      <c r="G881" s="72">
        <v>174.7</v>
      </c>
      <c r="H881" s="73">
        <v>1048</v>
      </c>
      <c r="I881" s="73">
        <v>-115</v>
      </c>
      <c r="J881" s="73">
        <v>-42</v>
      </c>
      <c r="K881" s="73">
        <v>-332</v>
      </c>
      <c r="L881" s="73">
        <v>-83</v>
      </c>
      <c r="M881" s="73">
        <v>-46</v>
      </c>
      <c r="N881" s="73">
        <v>-20</v>
      </c>
      <c r="O881" s="73">
        <v>-11</v>
      </c>
      <c r="P881" s="73">
        <v>-79</v>
      </c>
      <c r="Q881" s="73">
        <v>-21</v>
      </c>
      <c r="R881" s="73">
        <v>0</v>
      </c>
      <c r="S881" s="73">
        <v>0</v>
      </c>
      <c r="T881" s="73">
        <v>0</v>
      </c>
      <c r="U881" s="73">
        <v>0</v>
      </c>
      <c r="V881" s="73">
        <v>0</v>
      </c>
      <c r="W881" s="73">
        <v>0</v>
      </c>
      <c r="X881" s="73">
        <v>0</v>
      </c>
      <c r="Y881" s="73">
        <v>0</v>
      </c>
      <c r="Z881" s="73">
        <v>686</v>
      </c>
      <c r="AA881" s="73">
        <v>1562</v>
      </c>
      <c r="AB881" s="73">
        <v>0</v>
      </c>
      <c r="AC881" s="73">
        <v>0</v>
      </c>
      <c r="AD881" s="73">
        <v>0</v>
      </c>
      <c r="AE881" s="73">
        <v>0</v>
      </c>
      <c r="AF881" s="74">
        <f>tblData[[#This Row],[Gross Sales]]+tblData[[#This Row],[Trade Discounts]]+tblData[[#This Row],[Returns]]</f>
        <v>891</v>
      </c>
      <c r="AG881" s="74">
        <f>tblData[[#This Row],[Material Cost]]+tblData[[#This Row],[Conversion Cost]]+tblData[[#This Row],[Inbound Freight]]</f>
        <v>-461</v>
      </c>
      <c r="AH881" s="74">
        <f>tblData[[#This Row],[Net Revenue]]+tblData[[#This Row],[COGS]]</f>
        <v>430</v>
      </c>
      <c r="AI881" s="74">
        <f>tblData[[#This Row],[Advertising]]+tblData[[#This Row],[Promotions]]</f>
        <v>-31</v>
      </c>
      <c r="AJ881" s="74">
        <f>tblData[[#This Row],[Outbound Logistics]]+tblData[[#This Row],[Direct Selling]]</f>
        <v>-100</v>
      </c>
      <c r="AK881" s="74">
        <f>tblData[[#This Row],[Gross Profit]]+tblData[[#This Row],[AP Spend]]+tblData[[#This Row],[Cost to Serve]]</f>
        <v>299</v>
      </c>
    </row>
    <row r="882" spans="2:37" x14ac:dyDescent="0.25">
      <c r="B882" s="71" t="s">
        <v>50</v>
      </c>
      <c r="C882" s="71">
        <v>2026</v>
      </c>
      <c r="D882" s="71">
        <v>11</v>
      </c>
      <c r="E882" s="71" t="s">
        <v>46</v>
      </c>
      <c r="F882" s="71" t="s">
        <v>43</v>
      </c>
      <c r="G882" s="72">
        <v>34.9</v>
      </c>
      <c r="H882" s="73">
        <v>629</v>
      </c>
      <c r="I882" s="73">
        <v>-69</v>
      </c>
      <c r="J882" s="73">
        <v>-25</v>
      </c>
      <c r="K882" s="73">
        <v>-172</v>
      </c>
      <c r="L882" s="73">
        <v>-43</v>
      </c>
      <c r="M882" s="73">
        <v>-24</v>
      </c>
      <c r="N882" s="73">
        <v>-57</v>
      </c>
      <c r="O882" s="73">
        <v>-31</v>
      </c>
      <c r="P882" s="73">
        <v>-47</v>
      </c>
      <c r="Q882" s="73">
        <v>-13</v>
      </c>
      <c r="R882" s="73">
        <v>0</v>
      </c>
      <c r="S882" s="73">
        <v>0</v>
      </c>
      <c r="T882" s="73">
        <v>0</v>
      </c>
      <c r="U882" s="73">
        <v>0</v>
      </c>
      <c r="V882" s="73">
        <v>0</v>
      </c>
      <c r="W882" s="73">
        <v>0</v>
      </c>
      <c r="X882" s="73">
        <v>0</v>
      </c>
      <c r="Y882" s="73">
        <v>0</v>
      </c>
      <c r="Z882" s="73">
        <v>411</v>
      </c>
      <c r="AA882" s="73">
        <v>883</v>
      </c>
      <c r="AB882" s="73">
        <v>0</v>
      </c>
      <c r="AC882" s="73">
        <v>0</v>
      </c>
      <c r="AD882" s="73">
        <v>0</v>
      </c>
      <c r="AE882" s="73">
        <v>0</v>
      </c>
      <c r="AF882" s="74">
        <f>tblData[[#This Row],[Gross Sales]]+tblData[[#This Row],[Trade Discounts]]+tblData[[#This Row],[Returns]]</f>
        <v>535</v>
      </c>
      <c r="AG882" s="74">
        <f>tblData[[#This Row],[Material Cost]]+tblData[[#This Row],[Conversion Cost]]+tblData[[#This Row],[Inbound Freight]]</f>
        <v>-239</v>
      </c>
      <c r="AH882" s="74">
        <f>tblData[[#This Row],[Net Revenue]]+tblData[[#This Row],[COGS]]</f>
        <v>296</v>
      </c>
      <c r="AI882" s="74">
        <f>tblData[[#This Row],[Advertising]]+tblData[[#This Row],[Promotions]]</f>
        <v>-88</v>
      </c>
      <c r="AJ882" s="74">
        <f>tblData[[#This Row],[Outbound Logistics]]+tblData[[#This Row],[Direct Selling]]</f>
        <v>-60</v>
      </c>
      <c r="AK882" s="74">
        <f>tblData[[#This Row],[Gross Profit]]+tblData[[#This Row],[AP Spend]]+tblData[[#This Row],[Cost to Serve]]</f>
        <v>148</v>
      </c>
    </row>
    <row r="883" spans="2:37" x14ac:dyDescent="0.25">
      <c r="B883" s="71" t="s">
        <v>50</v>
      </c>
      <c r="C883" s="71">
        <v>2026</v>
      </c>
      <c r="D883" s="71">
        <v>11</v>
      </c>
      <c r="E883" s="71" t="s">
        <v>47</v>
      </c>
      <c r="F883" s="71" t="s">
        <v>38</v>
      </c>
      <c r="G883" s="72">
        <v>78.599999999999994</v>
      </c>
      <c r="H883" s="73">
        <v>1101</v>
      </c>
      <c r="I883" s="73">
        <v>-33</v>
      </c>
      <c r="J883" s="73">
        <v>-55</v>
      </c>
      <c r="K883" s="73">
        <v>-238</v>
      </c>
      <c r="L883" s="73">
        <v>-59</v>
      </c>
      <c r="M883" s="73">
        <v>-33</v>
      </c>
      <c r="N883" s="73">
        <v>-64</v>
      </c>
      <c r="O883" s="73">
        <v>-35</v>
      </c>
      <c r="P883" s="73">
        <v>-132</v>
      </c>
      <c r="Q883" s="73">
        <v>-44</v>
      </c>
      <c r="R883" s="73">
        <v>0</v>
      </c>
      <c r="S883" s="73">
        <v>0</v>
      </c>
      <c r="T883" s="73">
        <v>0</v>
      </c>
      <c r="U883" s="73">
        <v>0</v>
      </c>
      <c r="V883" s="73">
        <v>0</v>
      </c>
      <c r="W883" s="73">
        <v>0</v>
      </c>
      <c r="X883" s="73">
        <v>0</v>
      </c>
      <c r="Y883" s="73">
        <v>0</v>
      </c>
      <c r="Z883" s="73">
        <v>94</v>
      </c>
      <c r="AA883" s="73">
        <v>966</v>
      </c>
      <c r="AB883" s="73">
        <v>0</v>
      </c>
      <c r="AC883" s="73">
        <v>0</v>
      </c>
      <c r="AD883" s="73">
        <v>0</v>
      </c>
      <c r="AE883" s="73">
        <v>0</v>
      </c>
      <c r="AF883" s="74">
        <f>tblData[[#This Row],[Gross Sales]]+tblData[[#This Row],[Trade Discounts]]+tblData[[#This Row],[Returns]]</f>
        <v>1013</v>
      </c>
      <c r="AG883" s="74">
        <f>tblData[[#This Row],[Material Cost]]+tblData[[#This Row],[Conversion Cost]]+tblData[[#This Row],[Inbound Freight]]</f>
        <v>-330</v>
      </c>
      <c r="AH883" s="74">
        <f>tblData[[#This Row],[Net Revenue]]+tblData[[#This Row],[COGS]]</f>
        <v>683</v>
      </c>
      <c r="AI883" s="74">
        <f>tblData[[#This Row],[Advertising]]+tblData[[#This Row],[Promotions]]</f>
        <v>-99</v>
      </c>
      <c r="AJ883" s="74">
        <f>tblData[[#This Row],[Outbound Logistics]]+tblData[[#This Row],[Direct Selling]]</f>
        <v>-176</v>
      </c>
      <c r="AK883" s="74">
        <f>tblData[[#This Row],[Gross Profit]]+tblData[[#This Row],[AP Spend]]+tblData[[#This Row],[Cost to Serve]]</f>
        <v>408</v>
      </c>
    </row>
    <row r="884" spans="2:37" x14ac:dyDescent="0.25">
      <c r="B884" s="71" t="s">
        <v>50</v>
      </c>
      <c r="C884" s="71">
        <v>2026</v>
      </c>
      <c r="D884" s="71">
        <v>11</v>
      </c>
      <c r="E884" s="71" t="s">
        <v>47</v>
      </c>
      <c r="F884" s="71" t="s">
        <v>39</v>
      </c>
      <c r="G884" s="72">
        <v>104.8</v>
      </c>
      <c r="H884" s="73">
        <v>943</v>
      </c>
      <c r="I884" s="73">
        <v>-28</v>
      </c>
      <c r="J884" s="73">
        <v>-47</v>
      </c>
      <c r="K884" s="73">
        <v>-245</v>
      </c>
      <c r="L884" s="73">
        <v>-61</v>
      </c>
      <c r="M884" s="73">
        <v>-34</v>
      </c>
      <c r="N884" s="73">
        <v>-37</v>
      </c>
      <c r="O884" s="73">
        <v>-20</v>
      </c>
      <c r="P884" s="73">
        <v>-113</v>
      </c>
      <c r="Q884" s="73">
        <v>-38</v>
      </c>
      <c r="R884" s="73">
        <v>0</v>
      </c>
      <c r="S884" s="73">
        <v>0</v>
      </c>
      <c r="T884" s="73">
        <v>0</v>
      </c>
      <c r="U884" s="73">
        <v>0</v>
      </c>
      <c r="V884" s="73">
        <v>0</v>
      </c>
      <c r="W884" s="73">
        <v>0</v>
      </c>
      <c r="X884" s="73">
        <v>0</v>
      </c>
      <c r="Y884" s="73">
        <v>0</v>
      </c>
      <c r="Z884" s="73">
        <v>80</v>
      </c>
      <c r="AA884" s="73">
        <v>837</v>
      </c>
      <c r="AB884" s="73">
        <v>0</v>
      </c>
      <c r="AC884" s="73">
        <v>0</v>
      </c>
      <c r="AD884" s="73">
        <v>0</v>
      </c>
      <c r="AE884" s="73">
        <v>0</v>
      </c>
      <c r="AF884" s="74">
        <f>tblData[[#This Row],[Gross Sales]]+tblData[[#This Row],[Trade Discounts]]+tblData[[#This Row],[Returns]]</f>
        <v>868</v>
      </c>
      <c r="AG884" s="74">
        <f>tblData[[#This Row],[Material Cost]]+tblData[[#This Row],[Conversion Cost]]+tblData[[#This Row],[Inbound Freight]]</f>
        <v>-340</v>
      </c>
      <c r="AH884" s="74">
        <f>tblData[[#This Row],[Net Revenue]]+tblData[[#This Row],[COGS]]</f>
        <v>528</v>
      </c>
      <c r="AI884" s="74">
        <f>tblData[[#This Row],[Advertising]]+tblData[[#This Row],[Promotions]]</f>
        <v>-57</v>
      </c>
      <c r="AJ884" s="74">
        <f>tblData[[#This Row],[Outbound Logistics]]+tblData[[#This Row],[Direct Selling]]</f>
        <v>-151</v>
      </c>
      <c r="AK884" s="74">
        <f>tblData[[#This Row],[Gross Profit]]+tblData[[#This Row],[AP Spend]]+tblData[[#This Row],[Cost to Serve]]</f>
        <v>320</v>
      </c>
    </row>
    <row r="885" spans="2:37" x14ac:dyDescent="0.25">
      <c r="B885" s="71" t="s">
        <v>50</v>
      </c>
      <c r="C885" s="71">
        <v>2026</v>
      </c>
      <c r="D885" s="71">
        <v>11</v>
      </c>
      <c r="E885" s="71" t="s">
        <v>47</v>
      </c>
      <c r="F885" s="71" t="s">
        <v>40</v>
      </c>
      <c r="G885" s="72">
        <v>101.1</v>
      </c>
      <c r="H885" s="73">
        <v>708</v>
      </c>
      <c r="I885" s="73">
        <v>-21</v>
      </c>
      <c r="J885" s="73">
        <v>-35</v>
      </c>
      <c r="K885" s="73">
        <v>-204</v>
      </c>
      <c r="L885" s="73">
        <v>-51</v>
      </c>
      <c r="M885" s="73">
        <v>-28</v>
      </c>
      <c r="N885" s="73">
        <v>-18</v>
      </c>
      <c r="O885" s="73">
        <v>-10</v>
      </c>
      <c r="P885" s="73">
        <v>-85</v>
      </c>
      <c r="Q885" s="73">
        <v>-28</v>
      </c>
      <c r="R885" s="73">
        <v>0</v>
      </c>
      <c r="S885" s="73">
        <v>0</v>
      </c>
      <c r="T885" s="73">
        <v>0</v>
      </c>
      <c r="U885" s="73">
        <v>0</v>
      </c>
      <c r="V885" s="73">
        <v>0</v>
      </c>
      <c r="W885" s="73">
        <v>0</v>
      </c>
      <c r="X885" s="73">
        <v>0</v>
      </c>
      <c r="Y885" s="73">
        <v>0</v>
      </c>
      <c r="Z885" s="73">
        <v>60</v>
      </c>
      <c r="AA885" s="73">
        <v>654</v>
      </c>
      <c r="AB885" s="73">
        <v>0</v>
      </c>
      <c r="AC885" s="73">
        <v>0</v>
      </c>
      <c r="AD885" s="73">
        <v>0</v>
      </c>
      <c r="AE885" s="73">
        <v>0</v>
      </c>
      <c r="AF885" s="74">
        <f>tblData[[#This Row],[Gross Sales]]+tblData[[#This Row],[Trade Discounts]]+tblData[[#This Row],[Returns]]</f>
        <v>652</v>
      </c>
      <c r="AG885" s="74">
        <f>tblData[[#This Row],[Material Cost]]+tblData[[#This Row],[Conversion Cost]]+tblData[[#This Row],[Inbound Freight]]</f>
        <v>-283</v>
      </c>
      <c r="AH885" s="74">
        <f>tblData[[#This Row],[Net Revenue]]+tblData[[#This Row],[COGS]]</f>
        <v>369</v>
      </c>
      <c r="AI885" s="74">
        <f>tblData[[#This Row],[Advertising]]+tblData[[#This Row],[Promotions]]</f>
        <v>-28</v>
      </c>
      <c r="AJ885" s="74">
        <f>tblData[[#This Row],[Outbound Logistics]]+tblData[[#This Row],[Direct Selling]]</f>
        <v>-113</v>
      </c>
      <c r="AK885" s="74">
        <f>tblData[[#This Row],[Gross Profit]]+tblData[[#This Row],[AP Spend]]+tblData[[#This Row],[Cost to Serve]]</f>
        <v>228</v>
      </c>
    </row>
    <row r="886" spans="2:37" x14ac:dyDescent="0.25">
      <c r="B886" s="71" t="s">
        <v>50</v>
      </c>
      <c r="C886" s="71">
        <v>2026</v>
      </c>
      <c r="D886" s="71">
        <v>11</v>
      </c>
      <c r="E886" s="71" t="s">
        <v>47</v>
      </c>
      <c r="F886" s="71" t="s">
        <v>41</v>
      </c>
      <c r="G886" s="72">
        <v>50</v>
      </c>
      <c r="H886" s="73">
        <v>550</v>
      </c>
      <c r="I886" s="73">
        <v>-17</v>
      </c>
      <c r="J886" s="73">
        <v>-28</v>
      </c>
      <c r="K886" s="73">
        <v>-131</v>
      </c>
      <c r="L886" s="73">
        <v>-33</v>
      </c>
      <c r="M886" s="73">
        <v>-18</v>
      </c>
      <c r="N886" s="73">
        <v>-39</v>
      </c>
      <c r="O886" s="73">
        <v>-21</v>
      </c>
      <c r="P886" s="73">
        <v>-66</v>
      </c>
      <c r="Q886" s="73">
        <v>-22</v>
      </c>
      <c r="R886" s="73">
        <v>0</v>
      </c>
      <c r="S886" s="73">
        <v>0</v>
      </c>
      <c r="T886" s="73">
        <v>0</v>
      </c>
      <c r="U886" s="73">
        <v>0</v>
      </c>
      <c r="V886" s="73">
        <v>0</v>
      </c>
      <c r="W886" s="73">
        <v>0</v>
      </c>
      <c r="X886" s="73">
        <v>0</v>
      </c>
      <c r="Y886" s="73">
        <v>0</v>
      </c>
      <c r="Z886" s="73">
        <v>47</v>
      </c>
      <c r="AA886" s="73">
        <v>503</v>
      </c>
      <c r="AB886" s="73">
        <v>0</v>
      </c>
      <c r="AC886" s="73">
        <v>0</v>
      </c>
      <c r="AD886" s="73">
        <v>0</v>
      </c>
      <c r="AE886" s="73">
        <v>0</v>
      </c>
      <c r="AF886" s="74">
        <f>tblData[[#This Row],[Gross Sales]]+tblData[[#This Row],[Trade Discounts]]+tblData[[#This Row],[Returns]]</f>
        <v>505</v>
      </c>
      <c r="AG886" s="74">
        <f>tblData[[#This Row],[Material Cost]]+tblData[[#This Row],[Conversion Cost]]+tblData[[#This Row],[Inbound Freight]]</f>
        <v>-182</v>
      </c>
      <c r="AH886" s="74">
        <f>tblData[[#This Row],[Net Revenue]]+tblData[[#This Row],[COGS]]</f>
        <v>323</v>
      </c>
      <c r="AI886" s="74">
        <f>tblData[[#This Row],[Advertising]]+tblData[[#This Row],[Promotions]]</f>
        <v>-60</v>
      </c>
      <c r="AJ886" s="74">
        <f>tblData[[#This Row],[Outbound Logistics]]+tblData[[#This Row],[Direct Selling]]</f>
        <v>-88</v>
      </c>
      <c r="AK886" s="74">
        <f>tblData[[#This Row],[Gross Profit]]+tblData[[#This Row],[AP Spend]]+tblData[[#This Row],[Cost to Serve]]</f>
        <v>175</v>
      </c>
    </row>
    <row r="887" spans="2:37" x14ac:dyDescent="0.25">
      <c r="B887" s="71" t="s">
        <v>50</v>
      </c>
      <c r="C887" s="71">
        <v>2026</v>
      </c>
      <c r="D887" s="71">
        <v>11</v>
      </c>
      <c r="E887" s="71" t="s">
        <v>47</v>
      </c>
      <c r="F887" s="71" t="s">
        <v>42</v>
      </c>
      <c r="G887" s="72">
        <v>65.5</v>
      </c>
      <c r="H887" s="73">
        <v>393</v>
      </c>
      <c r="I887" s="73">
        <v>-12</v>
      </c>
      <c r="J887" s="73">
        <v>-20</v>
      </c>
      <c r="K887" s="73">
        <v>-125</v>
      </c>
      <c r="L887" s="73">
        <v>-31</v>
      </c>
      <c r="M887" s="73">
        <v>-17</v>
      </c>
      <c r="N887" s="73">
        <v>-8</v>
      </c>
      <c r="O887" s="73">
        <v>-4</v>
      </c>
      <c r="P887" s="73">
        <v>-47</v>
      </c>
      <c r="Q887" s="73">
        <v>-16</v>
      </c>
      <c r="R887" s="73">
        <v>0</v>
      </c>
      <c r="S887" s="73">
        <v>0</v>
      </c>
      <c r="T887" s="73">
        <v>0</v>
      </c>
      <c r="U887" s="73">
        <v>0</v>
      </c>
      <c r="V887" s="73">
        <v>0</v>
      </c>
      <c r="W887" s="73">
        <v>0</v>
      </c>
      <c r="X887" s="73">
        <v>0</v>
      </c>
      <c r="Y887" s="73">
        <v>0</v>
      </c>
      <c r="Z887" s="73">
        <v>33</v>
      </c>
      <c r="AA887" s="73">
        <v>586</v>
      </c>
      <c r="AB887" s="73">
        <v>0</v>
      </c>
      <c r="AC887" s="73">
        <v>0</v>
      </c>
      <c r="AD887" s="73">
        <v>0</v>
      </c>
      <c r="AE887" s="73">
        <v>0</v>
      </c>
      <c r="AF887" s="74">
        <f>tblData[[#This Row],[Gross Sales]]+tblData[[#This Row],[Trade Discounts]]+tblData[[#This Row],[Returns]]</f>
        <v>361</v>
      </c>
      <c r="AG887" s="74">
        <f>tblData[[#This Row],[Material Cost]]+tblData[[#This Row],[Conversion Cost]]+tblData[[#This Row],[Inbound Freight]]</f>
        <v>-173</v>
      </c>
      <c r="AH887" s="74">
        <f>tblData[[#This Row],[Net Revenue]]+tblData[[#This Row],[COGS]]</f>
        <v>188</v>
      </c>
      <c r="AI887" s="74">
        <f>tblData[[#This Row],[Advertising]]+tblData[[#This Row],[Promotions]]</f>
        <v>-12</v>
      </c>
      <c r="AJ887" s="74">
        <f>tblData[[#This Row],[Outbound Logistics]]+tblData[[#This Row],[Direct Selling]]</f>
        <v>-63</v>
      </c>
      <c r="AK887" s="74">
        <f>tblData[[#This Row],[Gross Profit]]+tblData[[#This Row],[AP Spend]]+tblData[[#This Row],[Cost to Serve]]</f>
        <v>113</v>
      </c>
    </row>
    <row r="888" spans="2:37" x14ac:dyDescent="0.25">
      <c r="B888" s="71" t="s">
        <v>50</v>
      </c>
      <c r="C888" s="71">
        <v>2026</v>
      </c>
      <c r="D888" s="71">
        <v>11</v>
      </c>
      <c r="E888" s="71" t="s">
        <v>47</v>
      </c>
      <c r="F888" s="71" t="s">
        <v>43</v>
      </c>
      <c r="G888" s="72">
        <v>13.1</v>
      </c>
      <c r="H888" s="73">
        <v>236</v>
      </c>
      <c r="I888" s="73">
        <v>-7</v>
      </c>
      <c r="J888" s="73">
        <v>-12</v>
      </c>
      <c r="K888" s="73">
        <v>-65</v>
      </c>
      <c r="L888" s="73">
        <v>-16</v>
      </c>
      <c r="M888" s="73">
        <v>-9</v>
      </c>
      <c r="N888" s="73">
        <v>-21</v>
      </c>
      <c r="O888" s="73">
        <v>-12</v>
      </c>
      <c r="P888" s="73">
        <v>-28</v>
      </c>
      <c r="Q888" s="73">
        <v>-9</v>
      </c>
      <c r="R888" s="73">
        <v>0</v>
      </c>
      <c r="S888" s="73">
        <v>0</v>
      </c>
      <c r="T888" s="73">
        <v>0</v>
      </c>
      <c r="U888" s="73">
        <v>0</v>
      </c>
      <c r="V888" s="73">
        <v>0</v>
      </c>
      <c r="W888" s="73">
        <v>0</v>
      </c>
      <c r="X888" s="73">
        <v>0</v>
      </c>
      <c r="Y888" s="73">
        <v>0</v>
      </c>
      <c r="Z888" s="73">
        <v>20</v>
      </c>
      <c r="AA888" s="73">
        <v>331</v>
      </c>
      <c r="AB888" s="73">
        <v>0</v>
      </c>
      <c r="AC888" s="73">
        <v>0</v>
      </c>
      <c r="AD888" s="73">
        <v>0</v>
      </c>
      <c r="AE888" s="73">
        <v>0</v>
      </c>
      <c r="AF888" s="74">
        <f>tblData[[#This Row],[Gross Sales]]+tblData[[#This Row],[Trade Discounts]]+tblData[[#This Row],[Returns]]</f>
        <v>217</v>
      </c>
      <c r="AG888" s="74">
        <f>tblData[[#This Row],[Material Cost]]+tblData[[#This Row],[Conversion Cost]]+tblData[[#This Row],[Inbound Freight]]</f>
        <v>-90</v>
      </c>
      <c r="AH888" s="74">
        <f>tblData[[#This Row],[Net Revenue]]+tblData[[#This Row],[COGS]]</f>
        <v>127</v>
      </c>
      <c r="AI888" s="74">
        <f>tblData[[#This Row],[Advertising]]+tblData[[#This Row],[Promotions]]</f>
        <v>-33</v>
      </c>
      <c r="AJ888" s="74">
        <f>tblData[[#This Row],[Outbound Logistics]]+tblData[[#This Row],[Direct Selling]]</f>
        <v>-37</v>
      </c>
      <c r="AK888" s="74">
        <f>tblData[[#This Row],[Gross Profit]]+tblData[[#This Row],[AP Spend]]+tblData[[#This Row],[Cost to Serve]]</f>
        <v>57</v>
      </c>
    </row>
    <row r="889" spans="2:37" x14ac:dyDescent="0.25">
      <c r="B889" s="71" t="s">
        <v>50</v>
      </c>
      <c r="C889" s="71">
        <v>2026</v>
      </c>
      <c r="D889" s="71">
        <v>11</v>
      </c>
      <c r="E889" s="71" t="s">
        <v>48</v>
      </c>
      <c r="F889" s="71" t="s">
        <v>38</v>
      </c>
      <c r="G889" s="72">
        <v>131</v>
      </c>
      <c r="H889" s="73">
        <v>1835</v>
      </c>
      <c r="I889" s="73">
        <v>-165</v>
      </c>
      <c r="J889" s="73">
        <v>-18</v>
      </c>
      <c r="K889" s="73">
        <v>-396</v>
      </c>
      <c r="L889" s="73">
        <v>-99</v>
      </c>
      <c r="M889" s="73">
        <v>-55</v>
      </c>
      <c r="N889" s="73">
        <v>-107</v>
      </c>
      <c r="O889" s="73">
        <v>-58</v>
      </c>
      <c r="P889" s="73">
        <v>-55</v>
      </c>
      <c r="Q889" s="73">
        <v>-28</v>
      </c>
      <c r="R889" s="73">
        <v>0</v>
      </c>
      <c r="S889" s="73">
        <v>0</v>
      </c>
      <c r="T889" s="73">
        <v>0</v>
      </c>
      <c r="U889" s="73">
        <v>0</v>
      </c>
      <c r="V889" s="73">
        <v>0</v>
      </c>
      <c r="W889" s="73">
        <v>0</v>
      </c>
      <c r="X889" s="73">
        <v>0</v>
      </c>
      <c r="Y889" s="73">
        <v>0</v>
      </c>
      <c r="Z889" s="73">
        <v>3558</v>
      </c>
      <c r="AA889" s="73">
        <v>1610</v>
      </c>
      <c r="AB889" s="73">
        <v>0</v>
      </c>
      <c r="AC889" s="73">
        <v>0</v>
      </c>
      <c r="AD889" s="73">
        <v>0</v>
      </c>
      <c r="AE889" s="73">
        <v>0</v>
      </c>
      <c r="AF889" s="74">
        <f>tblData[[#This Row],[Gross Sales]]+tblData[[#This Row],[Trade Discounts]]+tblData[[#This Row],[Returns]]</f>
        <v>1652</v>
      </c>
      <c r="AG889" s="74">
        <f>tblData[[#This Row],[Material Cost]]+tblData[[#This Row],[Conversion Cost]]+tblData[[#This Row],[Inbound Freight]]</f>
        <v>-550</v>
      </c>
      <c r="AH889" s="74">
        <f>tblData[[#This Row],[Net Revenue]]+tblData[[#This Row],[COGS]]</f>
        <v>1102</v>
      </c>
      <c r="AI889" s="74">
        <f>tblData[[#This Row],[Advertising]]+tblData[[#This Row],[Promotions]]</f>
        <v>-165</v>
      </c>
      <c r="AJ889" s="74">
        <f>tblData[[#This Row],[Outbound Logistics]]+tblData[[#This Row],[Direct Selling]]</f>
        <v>-83</v>
      </c>
      <c r="AK889" s="74">
        <f>tblData[[#This Row],[Gross Profit]]+tblData[[#This Row],[AP Spend]]+tblData[[#This Row],[Cost to Serve]]</f>
        <v>854</v>
      </c>
    </row>
    <row r="890" spans="2:37" x14ac:dyDescent="0.25">
      <c r="B890" s="71" t="s">
        <v>50</v>
      </c>
      <c r="C890" s="71">
        <v>2026</v>
      </c>
      <c r="D890" s="71">
        <v>11</v>
      </c>
      <c r="E890" s="71" t="s">
        <v>48</v>
      </c>
      <c r="F890" s="71" t="s">
        <v>39</v>
      </c>
      <c r="G890" s="72">
        <v>174.7</v>
      </c>
      <c r="H890" s="73">
        <v>1572</v>
      </c>
      <c r="I890" s="73">
        <v>-142</v>
      </c>
      <c r="J890" s="73">
        <v>-16</v>
      </c>
      <c r="K890" s="73">
        <v>-408</v>
      </c>
      <c r="L890" s="73">
        <v>-102</v>
      </c>
      <c r="M890" s="73">
        <v>-57</v>
      </c>
      <c r="N890" s="73">
        <v>-61</v>
      </c>
      <c r="O890" s="73">
        <v>-33</v>
      </c>
      <c r="P890" s="73">
        <v>-47</v>
      </c>
      <c r="Q890" s="73">
        <v>-24</v>
      </c>
      <c r="R890" s="73">
        <v>0</v>
      </c>
      <c r="S890" s="73">
        <v>0</v>
      </c>
      <c r="T890" s="73">
        <v>0</v>
      </c>
      <c r="U890" s="73">
        <v>0</v>
      </c>
      <c r="V890" s="73">
        <v>0</v>
      </c>
      <c r="W890" s="73">
        <v>0</v>
      </c>
      <c r="X890" s="73">
        <v>0</v>
      </c>
      <c r="Y890" s="73">
        <v>0</v>
      </c>
      <c r="Z890" s="73">
        <v>3050</v>
      </c>
      <c r="AA890" s="73">
        <v>1394</v>
      </c>
      <c r="AB890" s="73">
        <v>0</v>
      </c>
      <c r="AC890" s="73">
        <v>0</v>
      </c>
      <c r="AD890" s="73">
        <v>0</v>
      </c>
      <c r="AE890" s="73">
        <v>0</v>
      </c>
      <c r="AF890" s="74">
        <f>tblData[[#This Row],[Gross Sales]]+tblData[[#This Row],[Trade Discounts]]+tblData[[#This Row],[Returns]]</f>
        <v>1414</v>
      </c>
      <c r="AG890" s="74">
        <f>tblData[[#This Row],[Material Cost]]+tblData[[#This Row],[Conversion Cost]]+tblData[[#This Row],[Inbound Freight]]</f>
        <v>-567</v>
      </c>
      <c r="AH890" s="74">
        <f>tblData[[#This Row],[Net Revenue]]+tblData[[#This Row],[COGS]]</f>
        <v>847</v>
      </c>
      <c r="AI890" s="74">
        <f>tblData[[#This Row],[Advertising]]+tblData[[#This Row],[Promotions]]</f>
        <v>-94</v>
      </c>
      <c r="AJ890" s="74">
        <f>tblData[[#This Row],[Outbound Logistics]]+tblData[[#This Row],[Direct Selling]]</f>
        <v>-71</v>
      </c>
      <c r="AK890" s="74">
        <f>tblData[[#This Row],[Gross Profit]]+tblData[[#This Row],[AP Spend]]+tblData[[#This Row],[Cost to Serve]]</f>
        <v>682</v>
      </c>
    </row>
    <row r="891" spans="2:37" x14ac:dyDescent="0.25">
      <c r="B891" s="71" t="s">
        <v>50</v>
      </c>
      <c r="C891" s="71">
        <v>2026</v>
      </c>
      <c r="D891" s="71">
        <v>11</v>
      </c>
      <c r="E891" s="71" t="s">
        <v>48</v>
      </c>
      <c r="F891" s="71" t="s">
        <v>40</v>
      </c>
      <c r="G891" s="72">
        <v>168.5</v>
      </c>
      <c r="H891" s="73">
        <v>1179</v>
      </c>
      <c r="I891" s="73">
        <v>-106</v>
      </c>
      <c r="J891" s="73">
        <v>-12</v>
      </c>
      <c r="K891" s="73">
        <v>-340</v>
      </c>
      <c r="L891" s="73">
        <v>-85</v>
      </c>
      <c r="M891" s="73">
        <v>-47</v>
      </c>
      <c r="N891" s="73">
        <v>-31</v>
      </c>
      <c r="O891" s="73">
        <v>-17</v>
      </c>
      <c r="P891" s="73">
        <v>-35</v>
      </c>
      <c r="Q891" s="73">
        <v>-18</v>
      </c>
      <c r="R891" s="73">
        <v>0</v>
      </c>
      <c r="S891" s="73">
        <v>0</v>
      </c>
      <c r="T891" s="73">
        <v>0</v>
      </c>
      <c r="U891" s="73">
        <v>0</v>
      </c>
      <c r="V891" s="73">
        <v>0</v>
      </c>
      <c r="W891" s="73">
        <v>0</v>
      </c>
      <c r="X891" s="73">
        <v>0</v>
      </c>
      <c r="Y891" s="73">
        <v>0</v>
      </c>
      <c r="Z891" s="73">
        <v>2287</v>
      </c>
      <c r="AA891" s="73">
        <v>1089</v>
      </c>
      <c r="AB891" s="73">
        <v>0</v>
      </c>
      <c r="AC891" s="73">
        <v>0</v>
      </c>
      <c r="AD891" s="73">
        <v>0</v>
      </c>
      <c r="AE891" s="73">
        <v>0</v>
      </c>
      <c r="AF891" s="74">
        <f>tblData[[#This Row],[Gross Sales]]+tblData[[#This Row],[Trade Discounts]]+tblData[[#This Row],[Returns]]</f>
        <v>1061</v>
      </c>
      <c r="AG891" s="74">
        <f>tblData[[#This Row],[Material Cost]]+tblData[[#This Row],[Conversion Cost]]+tblData[[#This Row],[Inbound Freight]]</f>
        <v>-472</v>
      </c>
      <c r="AH891" s="74">
        <f>tblData[[#This Row],[Net Revenue]]+tblData[[#This Row],[COGS]]</f>
        <v>589</v>
      </c>
      <c r="AI891" s="74">
        <f>tblData[[#This Row],[Advertising]]+tblData[[#This Row],[Promotions]]</f>
        <v>-48</v>
      </c>
      <c r="AJ891" s="74">
        <f>tblData[[#This Row],[Outbound Logistics]]+tblData[[#This Row],[Direct Selling]]</f>
        <v>-53</v>
      </c>
      <c r="AK891" s="74">
        <f>tblData[[#This Row],[Gross Profit]]+tblData[[#This Row],[AP Spend]]+tblData[[#This Row],[Cost to Serve]]</f>
        <v>488</v>
      </c>
    </row>
    <row r="892" spans="2:37" x14ac:dyDescent="0.25">
      <c r="B892" s="71" t="s">
        <v>50</v>
      </c>
      <c r="C892" s="71">
        <v>2026</v>
      </c>
      <c r="D892" s="71">
        <v>11</v>
      </c>
      <c r="E892" s="71" t="s">
        <v>48</v>
      </c>
      <c r="F892" s="71" t="s">
        <v>41</v>
      </c>
      <c r="G892" s="72">
        <v>83.4</v>
      </c>
      <c r="H892" s="73">
        <v>917</v>
      </c>
      <c r="I892" s="73">
        <v>-83</v>
      </c>
      <c r="J892" s="73">
        <v>-9</v>
      </c>
      <c r="K892" s="73">
        <v>-218</v>
      </c>
      <c r="L892" s="73">
        <v>-54</v>
      </c>
      <c r="M892" s="73">
        <v>-30</v>
      </c>
      <c r="N892" s="73">
        <v>-66</v>
      </c>
      <c r="O892" s="73">
        <v>-35</v>
      </c>
      <c r="P892" s="73">
        <v>-28</v>
      </c>
      <c r="Q892" s="73">
        <v>-14</v>
      </c>
      <c r="R892" s="73">
        <v>0</v>
      </c>
      <c r="S892" s="73">
        <v>0</v>
      </c>
      <c r="T892" s="73">
        <v>0</v>
      </c>
      <c r="U892" s="73">
        <v>0</v>
      </c>
      <c r="V892" s="73">
        <v>0</v>
      </c>
      <c r="W892" s="73">
        <v>0</v>
      </c>
      <c r="X892" s="73">
        <v>0</v>
      </c>
      <c r="Y892" s="73">
        <v>0</v>
      </c>
      <c r="Z892" s="73">
        <v>1779</v>
      </c>
      <c r="AA892" s="73">
        <v>839</v>
      </c>
      <c r="AB892" s="73">
        <v>0</v>
      </c>
      <c r="AC892" s="73">
        <v>0</v>
      </c>
      <c r="AD892" s="73">
        <v>0</v>
      </c>
      <c r="AE892" s="73">
        <v>0</v>
      </c>
      <c r="AF892" s="74">
        <f>tblData[[#This Row],[Gross Sales]]+tblData[[#This Row],[Trade Discounts]]+tblData[[#This Row],[Returns]]</f>
        <v>825</v>
      </c>
      <c r="AG892" s="74">
        <f>tblData[[#This Row],[Material Cost]]+tblData[[#This Row],[Conversion Cost]]+tblData[[#This Row],[Inbound Freight]]</f>
        <v>-302</v>
      </c>
      <c r="AH892" s="74">
        <f>tblData[[#This Row],[Net Revenue]]+tblData[[#This Row],[COGS]]</f>
        <v>523</v>
      </c>
      <c r="AI892" s="74">
        <f>tblData[[#This Row],[Advertising]]+tblData[[#This Row],[Promotions]]</f>
        <v>-101</v>
      </c>
      <c r="AJ892" s="74">
        <f>tblData[[#This Row],[Outbound Logistics]]+tblData[[#This Row],[Direct Selling]]</f>
        <v>-42</v>
      </c>
      <c r="AK892" s="74">
        <f>tblData[[#This Row],[Gross Profit]]+tblData[[#This Row],[AP Spend]]+tblData[[#This Row],[Cost to Serve]]</f>
        <v>380</v>
      </c>
    </row>
    <row r="893" spans="2:37" x14ac:dyDescent="0.25">
      <c r="B893" s="71" t="s">
        <v>50</v>
      </c>
      <c r="C893" s="71">
        <v>2026</v>
      </c>
      <c r="D893" s="71">
        <v>11</v>
      </c>
      <c r="E893" s="71" t="s">
        <v>48</v>
      </c>
      <c r="F893" s="71" t="s">
        <v>42</v>
      </c>
      <c r="G893" s="72">
        <v>109.2</v>
      </c>
      <c r="H893" s="73">
        <v>655</v>
      </c>
      <c r="I893" s="73">
        <v>-59</v>
      </c>
      <c r="J893" s="73">
        <v>-7</v>
      </c>
      <c r="K893" s="73">
        <v>-208</v>
      </c>
      <c r="L893" s="73">
        <v>-52</v>
      </c>
      <c r="M893" s="73">
        <v>-29</v>
      </c>
      <c r="N893" s="73">
        <v>-13</v>
      </c>
      <c r="O893" s="73">
        <v>-7</v>
      </c>
      <c r="P893" s="73">
        <v>-20</v>
      </c>
      <c r="Q893" s="73">
        <v>-10</v>
      </c>
      <c r="R893" s="73">
        <v>0</v>
      </c>
      <c r="S893" s="73">
        <v>0</v>
      </c>
      <c r="T893" s="73">
        <v>0</v>
      </c>
      <c r="U893" s="73">
        <v>0</v>
      </c>
      <c r="V893" s="73">
        <v>0</v>
      </c>
      <c r="W893" s="73">
        <v>0</v>
      </c>
      <c r="X893" s="73">
        <v>0</v>
      </c>
      <c r="Y893" s="73">
        <v>0</v>
      </c>
      <c r="Z893" s="73">
        <v>1271</v>
      </c>
      <c r="AA893" s="73">
        <v>976</v>
      </c>
      <c r="AB893" s="73">
        <v>0</v>
      </c>
      <c r="AC893" s="73">
        <v>0</v>
      </c>
      <c r="AD893" s="73">
        <v>0</v>
      </c>
      <c r="AE893" s="73">
        <v>0</v>
      </c>
      <c r="AF893" s="74">
        <f>tblData[[#This Row],[Gross Sales]]+tblData[[#This Row],[Trade Discounts]]+tblData[[#This Row],[Returns]]</f>
        <v>589</v>
      </c>
      <c r="AG893" s="74">
        <f>tblData[[#This Row],[Material Cost]]+tblData[[#This Row],[Conversion Cost]]+tblData[[#This Row],[Inbound Freight]]</f>
        <v>-289</v>
      </c>
      <c r="AH893" s="74">
        <f>tblData[[#This Row],[Net Revenue]]+tblData[[#This Row],[COGS]]</f>
        <v>300</v>
      </c>
      <c r="AI893" s="74">
        <f>tblData[[#This Row],[Advertising]]+tblData[[#This Row],[Promotions]]</f>
        <v>-20</v>
      </c>
      <c r="AJ893" s="74">
        <f>tblData[[#This Row],[Outbound Logistics]]+tblData[[#This Row],[Direct Selling]]</f>
        <v>-30</v>
      </c>
      <c r="AK893" s="74">
        <f>tblData[[#This Row],[Gross Profit]]+tblData[[#This Row],[AP Spend]]+tblData[[#This Row],[Cost to Serve]]</f>
        <v>250</v>
      </c>
    </row>
    <row r="894" spans="2:37" x14ac:dyDescent="0.25">
      <c r="B894" s="71" t="s">
        <v>50</v>
      </c>
      <c r="C894" s="71">
        <v>2026</v>
      </c>
      <c r="D894" s="71">
        <v>11</v>
      </c>
      <c r="E894" s="71" t="s">
        <v>48</v>
      </c>
      <c r="F894" s="71" t="s">
        <v>43</v>
      </c>
      <c r="G894" s="72">
        <v>21.8</v>
      </c>
      <c r="H894" s="73">
        <v>393</v>
      </c>
      <c r="I894" s="73">
        <v>-35</v>
      </c>
      <c r="J894" s="73">
        <v>-4</v>
      </c>
      <c r="K894" s="73">
        <v>-108</v>
      </c>
      <c r="L894" s="73">
        <v>-27</v>
      </c>
      <c r="M894" s="73">
        <v>-15</v>
      </c>
      <c r="N894" s="73">
        <v>-36</v>
      </c>
      <c r="O894" s="73">
        <v>-19</v>
      </c>
      <c r="P894" s="73">
        <v>-12</v>
      </c>
      <c r="Q894" s="73">
        <v>-6</v>
      </c>
      <c r="R894" s="73">
        <v>0</v>
      </c>
      <c r="S894" s="73">
        <v>0</v>
      </c>
      <c r="T894" s="73">
        <v>0</v>
      </c>
      <c r="U894" s="73">
        <v>0</v>
      </c>
      <c r="V894" s="73">
        <v>0</v>
      </c>
      <c r="W894" s="73">
        <v>0</v>
      </c>
      <c r="X894" s="73">
        <v>0</v>
      </c>
      <c r="Y894" s="73">
        <v>0</v>
      </c>
      <c r="Z894" s="73">
        <v>762</v>
      </c>
      <c r="AA894" s="73">
        <v>552</v>
      </c>
      <c r="AB894" s="73">
        <v>0</v>
      </c>
      <c r="AC894" s="73">
        <v>0</v>
      </c>
      <c r="AD894" s="73">
        <v>0</v>
      </c>
      <c r="AE894" s="73">
        <v>0</v>
      </c>
      <c r="AF894" s="74">
        <f>tblData[[#This Row],[Gross Sales]]+tblData[[#This Row],[Trade Discounts]]+tblData[[#This Row],[Returns]]</f>
        <v>354</v>
      </c>
      <c r="AG894" s="74">
        <f>tblData[[#This Row],[Material Cost]]+tblData[[#This Row],[Conversion Cost]]+tblData[[#This Row],[Inbound Freight]]</f>
        <v>-150</v>
      </c>
      <c r="AH894" s="74">
        <f>tblData[[#This Row],[Net Revenue]]+tblData[[#This Row],[COGS]]</f>
        <v>204</v>
      </c>
      <c r="AI894" s="74">
        <f>tblData[[#This Row],[Advertising]]+tblData[[#This Row],[Promotions]]</f>
        <v>-55</v>
      </c>
      <c r="AJ894" s="74">
        <f>tblData[[#This Row],[Outbound Logistics]]+tblData[[#This Row],[Direct Selling]]</f>
        <v>-18</v>
      </c>
      <c r="AK894" s="74">
        <f>tblData[[#This Row],[Gross Profit]]+tblData[[#This Row],[AP Spend]]+tblData[[#This Row],[Cost to Serve]]</f>
        <v>131</v>
      </c>
    </row>
    <row r="895" spans="2:37" x14ac:dyDescent="0.25">
      <c r="B895" s="71" t="s">
        <v>50</v>
      </c>
      <c r="C895" s="71">
        <v>2026</v>
      </c>
      <c r="D895" s="71">
        <v>11</v>
      </c>
      <c r="E895" s="71" t="s">
        <v>49</v>
      </c>
      <c r="F895" s="71" t="s">
        <v>49</v>
      </c>
      <c r="G895" s="72">
        <v>0</v>
      </c>
      <c r="H895" s="73">
        <v>0</v>
      </c>
      <c r="I895" s="73">
        <v>0</v>
      </c>
      <c r="J895" s="73">
        <v>0</v>
      </c>
      <c r="K895" s="73">
        <v>0</v>
      </c>
      <c r="L895" s="73">
        <v>0</v>
      </c>
      <c r="M895" s="73">
        <v>0</v>
      </c>
      <c r="N895" s="73">
        <v>0</v>
      </c>
      <c r="O895" s="73">
        <v>0</v>
      </c>
      <c r="P895" s="73">
        <v>0</v>
      </c>
      <c r="Q895" s="73">
        <v>0</v>
      </c>
      <c r="R895" s="73">
        <v>-4316</v>
      </c>
      <c r="S895" s="73">
        <v>-1020</v>
      </c>
      <c r="T895" s="73">
        <v>-1320</v>
      </c>
      <c r="U895" s="73">
        <v>-1130</v>
      </c>
      <c r="V895" s="73">
        <v>-1480</v>
      </c>
      <c r="W895" s="73">
        <v>-684</v>
      </c>
      <c r="X895" s="73">
        <v>-2794</v>
      </c>
      <c r="Y895" s="73">
        <v>-1678</v>
      </c>
      <c r="Z895" s="73">
        <v>0</v>
      </c>
      <c r="AA895" s="73">
        <v>0</v>
      </c>
      <c r="AB895" s="73">
        <v>44427</v>
      </c>
      <c r="AC895" s="73">
        <v>69954</v>
      </c>
      <c r="AD895" s="73">
        <v>182500</v>
      </c>
      <c r="AE895" s="73">
        <v>1198</v>
      </c>
      <c r="AF895" s="74">
        <f>tblData[[#This Row],[Gross Sales]]+tblData[[#This Row],[Trade Discounts]]+tblData[[#This Row],[Returns]]</f>
        <v>0</v>
      </c>
      <c r="AG895" s="74">
        <f>tblData[[#This Row],[Material Cost]]+tblData[[#This Row],[Conversion Cost]]+tblData[[#This Row],[Inbound Freight]]</f>
        <v>0</v>
      </c>
      <c r="AH895" s="74">
        <f>tblData[[#This Row],[Net Revenue]]+tblData[[#This Row],[COGS]]</f>
        <v>0</v>
      </c>
      <c r="AI895" s="74">
        <f>tblData[[#This Row],[Advertising]]+tblData[[#This Row],[Promotions]]</f>
        <v>0</v>
      </c>
      <c r="AJ895" s="74">
        <f>tblData[[#This Row],[Outbound Logistics]]+tblData[[#This Row],[Direct Selling]]</f>
        <v>0</v>
      </c>
      <c r="AK895" s="74">
        <f>tblData[[#This Row],[Gross Profit]]+tblData[[#This Row],[AP Spend]]+tblData[[#This Row],[Cost to Serve]]</f>
        <v>0</v>
      </c>
    </row>
    <row r="896" spans="2:37" x14ac:dyDescent="0.25">
      <c r="B896" s="71" t="s">
        <v>50</v>
      </c>
      <c r="C896" s="71">
        <v>2026</v>
      </c>
      <c r="D896" s="71">
        <v>12</v>
      </c>
      <c r="E896" s="71" t="s">
        <v>37</v>
      </c>
      <c r="F896" s="71" t="s">
        <v>38</v>
      </c>
      <c r="G896" s="72">
        <v>362.9</v>
      </c>
      <c r="H896" s="73">
        <v>5080</v>
      </c>
      <c r="I896" s="73">
        <v>-965</v>
      </c>
      <c r="J896" s="73">
        <v>-76</v>
      </c>
      <c r="K896" s="73">
        <v>-1097</v>
      </c>
      <c r="L896" s="73">
        <v>-274</v>
      </c>
      <c r="M896" s="73">
        <v>-152</v>
      </c>
      <c r="N896" s="73">
        <v>-297</v>
      </c>
      <c r="O896" s="73">
        <v>-160</v>
      </c>
      <c r="P896" s="73">
        <v>-203</v>
      </c>
      <c r="Q896" s="73">
        <v>-152</v>
      </c>
      <c r="R896" s="73">
        <v>0</v>
      </c>
      <c r="S896" s="73">
        <v>0</v>
      </c>
      <c r="T896" s="73">
        <v>0</v>
      </c>
      <c r="U896" s="73">
        <v>0</v>
      </c>
      <c r="V896" s="73">
        <v>0</v>
      </c>
      <c r="W896" s="73">
        <v>0</v>
      </c>
      <c r="X896" s="73">
        <v>0</v>
      </c>
      <c r="Y896" s="73">
        <v>0</v>
      </c>
      <c r="Z896" s="73">
        <v>7561</v>
      </c>
      <c r="AA896" s="73">
        <v>4928</v>
      </c>
      <c r="AB896" s="73">
        <v>0</v>
      </c>
      <c r="AC896" s="73">
        <v>0</v>
      </c>
      <c r="AD896" s="73">
        <v>0</v>
      </c>
      <c r="AE896" s="73">
        <v>0</v>
      </c>
      <c r="AF896" s="74">
        <f>tblData[[#This Row],[Gross Sales]]+tblData[[#This Row],[Trade Discounts]]+tblData[[#This Row],[Returns]]</f>
        <v>4039</v>
      </c>
      <c r="AG896" s="74">
        <f>tblData[[#This Row],[Material Cost]]+tblData[[#This Row],[Conversion Cost]]+tblData[[#This Row],[Inbound Freight]]</f>
        <v>-1523</v>
      </c>
      <c r="AH896" s="74">
        <f>tblData[[#This Row],[Net Revenue]]+tblData[[#This Row],[COGS]]</f>
        <v>2516</v>
      </c>
      <c r="AI896" s="74">
        <f>tblData[[#This Row],[Advertising]]+tblData[[#This Row],[Promotions]]</f>
        <v>-457</v>
      </c>
      <c r="AJ896" s="74">
        <f>tblData[[#This Row],[Outbound Logistics]]+tblData[[#This Row],[Direct Selling]]</f>
        <v>-355</v>
      </c>
      <c r="AK896" s="74">
        <f>tblData[[#This Row],[Gross Profit]]+tblData[[#This Row],[AP Spend]]+tblData[[#This Row],[Cost to Serve]]</f>
        <v>1704</v>
      </c>
    </row>
    <row r="897" spans="2:37" x14ac:dyDescent="0.25">
      <c r="B897" s="71" t="s">
        <v>50</v>
      </c>
      <c r="C897" s="71">
        <v>2026</v>
      </c>
      <c r="D897" s="71">
        <v>12</v>
      </c>
      <c r="E897" s="71" t="s">
        <v>37</v>
      </c>
      <c r="F897" s="71" t="s">
        <v>39</v>
      </c>
      <c r="G897" s="72">
        <v>483.8</v>
      </c>
      <c r="H897" s="73">
        <v>4355</v>
      </c>
      <c r="I897" s="73">
        <v>-827</v>
      </c>
      <c r="J897" s="73">
        <v>-65</v>
      </c>
      <c r="K897" s="73">
        <v>-1129</v>
      </c>
      <c r="L897" s="73">
        <v>-282</v>
      </c>
      <c r="M897" s="73">
        <v>-157</v>
      </c>
      <c r="N897" s="73">
        <v>-170</v>
      </c>
      <c r="O897" s="73">
        <v>-91</v>
      </c>
      <c r="P897" s="73">
        <v>-174</v>
      </c>
      <c r="Q897" s="73">
        <v>-131</v>
      </c>
      <c r="R897" s="73">
        <v>0</v>
      </c>
      <c r="S897" s="73">
        <v>0</v>
      </c>
      <c r="T897" s="73">
        <v>0</v>
      </c>
      <c r="U897" s="73">
        <v>0</v>
      </c>
      <c r="V897" s="73">
        <v>0</v>
      </c>
      <c r="W897" s="73">
        <v>0</v>
      </c>
      <c r="X897" s="73">
        <v>0</v>
      </c>
      <c r="Y897" s="73">
        <v>0</v>
      </c>
      <c r="Z897" s="73">
        <v>6481</v>
      </c>
      <c r="AA897" s="73">
        <v>4269</v>
      </c>
      <c r="AB897" s="73">
        <v>0</v>
      </c>
      <c r="AC897" s="73">
        <v>0</v>
      </c>
      <c r="AD897" s="73">
        <v>0</v>
      </c>
      <c r="AE897" s="73">
        <v>0</v>
      </c>
      <c r="AF897" s="74">
        <f>tblData[[#This Row],[Gross Sales]]+tblData[[#This Row],[Trade Discounts]]+tblData[[#This Row],[Returns]]</f>
        <v>3463</v>
      </c>
      <c r="AG897" s="74">
        <f>tblData[[#This Row],[Material Cost]]+tblData[[#This Row],[Conversion Cost]]+tblData[[#This Row],[Inbound Freight]]</f>
        <v>-1568</v>
      </c>
      <c r="AH897" s="74">
        <f>tblData[[#This Row],[Net Revenue]]+tblData[[#This Row],[COGS]]</f>
        <v>1895</v>
      </c>
      <c r="AI897" s="74">
        <f>tblData[[#This Row],[Advertising]]+tblData[[#This Row],[Promotions]]</f>
        <v>-261</v>
      </c>
      <c r="AJ897" s="74">
        <f>tblData[[#This Row],[Outbound Logistics]]+tblData[[#This Row],[Direct Selling]]</f>
        <v>-305</v>
      </c>
      <c r="AK897" s="74">
        <f>tblData[[#This Row],[Gross Profit]]+tblData[[#This Row],[AP Spend]]+tblData[[#This Row],[Cost to Serve]]</f>
        <v>1329</v>
      </c>
    </row>
    <row r="898" spans="2:37" x14ac:dyDescent="0.25">
      <c r="B898" s="71" t="s">
        <v>50</v>
      </c>
      <c r="C898" s="71">
        <v>2026</v>
      </c>
      <c r="D898" s="71">
        <v>12</v>
      </c>
      <c r="E898" s="71" t="s">
        <v>37</v>
      </c>
      <c r="F898" s="71" t="s">
        <v>40</v>
      </c>
      <c r="G898" s="72">
        <v>466.6</v>
      </c>
      <c r="H898" s="73">
        <v>3266</v>
      </c>
      <c r="I898" s="73">
        <v>-621</v>
      </c>
      <c r="J898" s="73">
        <v>-49</v>
      </c>
      <c r="K898" s="73">
        <v>-941</v>
      </c>
      <c r="L898" s="73">
        <v>-235</v>
      </c>
      <c r="M898" s="73">
        <v>-131</v>
      </c>
      <c r="N898" s="73">
        <v>-85</v>
      </c>
      <c r="O898" s="73">
        <v>-46</v>
      </c>
      <c r="P898" s="73">
        <v>-131</v>
      </c>
      <c r="Q898" s="73">
        <v>-98</v>
      </c>
      <c r="R898" s="73">
        <v>0</v>
      </c>
      <c r="S898" s="73">
        <v>0</v>
      </c>
      <c r="T898" s="73">
        <v>0</v>
      </c>
      <c r="U898" s="73">
        <v>0</v>
      </c>
      <c r="V898" s="73">
        <v>0</v>
      </c>
      <c r="W898" s="73">
        <v>0</v>
      </c>
      <c r="X898" s="73">
        <v>0</v>
      </c>
      <c r="Y898" s="73">
        <v>0</v>
      </c>
      <c r="Z898" s="73">
        <v>4861</v>
      </c>
      <c r="AA898" s="73">
        <v>3335</v>
      </c>
      <c r="AB898" s="73">
        <v>0</v>
      </c>
      <c r="AC898" s="73">
        <v>0</v>
      </c>
      <c r="AD898" s="73">
        <v>0</v>
      </c>
      <c r="AE898" s="73">
        <v>0</v>
      </c>
      <c r="AF898" s="74">
        <f>tblData[[#This Row],[Gross Sales]]+tblData[[#This Row],[Trade Discounts]]+tblData[[#This Row],[Returns]]</f>
        <v>2596</v>
      </c>
      <c r="AG898" s="74">
        <f>tblData[[#This Row],[Material Cost]]+tblData[[#This Row],[Conversion Cost]]+tblData[[#This Row],[Inbound Freight]]</f>
        <v>-1307</v>
      </c>
      <c r="AH898" s="74">
        <f>tblData[[#This Row],[Net Revenue]]+tblData[[#This Row],[COGS]]</f>
        <v>1289</v>
      </c>
      <c r="AI898" s="74">
        <f>tblData[[#This Row],[Advertising]]+tblData[[#This Row],[Promotions]]</f>
        <v>-131</v>
      </c>
      <c r="AJ898" s="74">
        <f>tblData[[#This Row],[Outbound Logistics]]+tblData[[#This Row],[Direct Selling]]</f>
        <v>-229</v>
      </c>
      <c r="AK898" s="74">
        <f>tblData[[#This Row],[Gross Profit]]+tblData[[#This Row],[AP Spend]]+tblData[[#This Row],[Cost to Serve]]</f>
        <v>929</v>
      </c>
    </row>
    <row r="899" spans="2:37" x14ac:dyDescent="0.25">
      <c r="B899" s="71" t="s">
        <v>50</v>
      </c>
      <c r="C899" s="71">
        <v>2026</v>
      </c>
      <c r="D899" s="71">
        <v>12</v>
      </c>
      <c r="E899" s="71" t="s">
        <v>37</v>
      </c>
      <c r="F899" s="71" t="s">
        <v>41</v>
      </c>
      <c r="G899" s="72">
        <v>230.9</v>
      </c>
      <c r="H899" s="73">
        <v>2540</v>
      </c>
      <c r="I899" s="73">
        <v>-483</v>
      </c>
      <c r="J899" s="73">
        <v>-38</v>
      </c>
      <c r="K899" s="73">
        <v>-604</v>
      </c>
      <c r="L899" s="73">
        <v>-151</v>
      </c>
      <c r="M899" s="73">
        <v>-84</v>
      </c>
      <c r="N899" s="73">
        <v>-182</v>
      </c>
      <c r="O899" s="73">
        <v>-98</v>
      </c>
      <c r="P899" s="73">
        <v>-102</v>
      </c>
      <c r="Q899" s="73">
        <v>-76</v>
      </c>
      <c r="R899" s="73">
        <v>0</v>
      </c>
      <c r="S899" s="73">
        <v>0</v>
      </c>
      <c r="T899" s="73">
        <v>0</v>
      </c>
      <c r="U899" s="73">
        <v>0</v>
      </c>
      <c r="V899" s="73">
        <v>0</v>
      </c>
      <c r="W899" s="73">
        <v>0</v>
      </c>
      <c r="X899" s="73">
        <v>0</v>
      </c>
      <c r="Y899" s="73">
        <v>0</v>
      </c>
      <c r="Z899" s="73">
        <v>3780</v>
      </c>
      <c r="AA899" s="73">
        <v>2568</v>
      </c>
      <c r="AB899" s="73">
        <v>0</v>
      </c>
      <c r="AC899" s="73">
        <v>0</v>
      </c>
      <c r="AD899" s="73">
        <v>0</v>
      </c>
      <c r="AE899" s="73">
        <v>0</v>
      </c>
      <c r="AF899" s="74">
        <f>tblData[[#This Row],[Gross Sales]]+tblData[[#This Row],[Trade Discounts]]+tblData[[#This Row],[Returns]]</f>
        <v>2019</v>
      </c>
      <c r="AG899" s="74">
        <f>tblData[[#This Row],[Material Cost]]+tblData[[#This Row],[Conversion Cost]]+tblData[[#This Row],[Inbound Freight]]</f>
        <v>-839</v>
      </c>
      <c r="AH899" s="74">
        <f>tblData[[#This Row],[Net Revenue]]+tblData[[#This Row],[COGS]]</f>
        <v>1180</v>
      </c>
      <c r="AI899" s="74">
        <f>tblData[[#This Row],[Advertising]]+tblData[[#This Row],[Promotions]]</f>
        <v>-280</v>
      </c>
      <c r="AJ899" s="74">
        <f>tblData[[#This Row],[Outbound Logistics]]+tblData[[#This Row],[Direct Selling]]</f>
        <v>-178</v>
      </c>
      <c r="AK899" s="74">
        <f>tblData[[#This Row],[Gross Profit]]+tblData[[#This Row],[AP Spend]]+tblData[[#This Row],[Cost to Serve]]</f>
        <v>722</v>
      </c>
    </row>
    <row r="900" spans="2:37" x14ac:dyDescent="0.25">
      <c r="B900" s="71" t="s">
        <v>50</v>
      </c>
      <c r="C900" s="71">
        <v>2026</v>
      </c>
      <c r="D900" s="71">
        <v>12</v>
      </c>
      <c r="E900" s="71" t="s">
        <v>37</v>
      </c>
      <c r="F900" s="71" t="s">
        <v>42</v>
      </c>
      <c r="G900" s="72">
        <v>302.39999999999998</v>
      </c>
      <c r="H900" s="73">
        <v>1814</v>
      </c>
      <c r="I900" s="73">
        <v>-345</v>
      </c>
      <c r="J900" s="73">
        <v>-27</v>
      </c>
      <c r="K900" s="73">
        <v>-575</v>
      </c>
      <c r="L900" s="73">
        <v>-144</v>
      </c>
      <c r="M900" s="73">
        <v>-80</v>
      </c>
      <c r="N900" s="73">
        <v>-35</v>
      </c>
      <c r="O900" s="73">
        <v>-19</v>
      </c>
      <c r="P900" s="73">
        <v>-73</v>
      </c>
      <c r="Q900" s="73">
        <v>-54</v>
      </c>
      <c r="R900" s="73">
        <v>0</v>
      </c>
      <c r="S900" s="73">
        <v>0</v>
      </c>
      <c r="T900" s="73">
        <v>0</v>
      </c>
      <c r="U900" s="73">
        <v>0</v>
      </c>
      <c r="V900" s="73">
        <v>0</v>
      </c>
      <c r="W900" s="73">
        <v>0</v>
      </c>
      <c r="X900" s="73">
        <v>0</v>
      </c>
      <c r="Y900" s="73">
        <v>0</v>
      </c>
      <c r="Z900" s="73">
        <v>2700</v>
      </c>
      <c r="AA900" s="73">
        <v>2989</v>
      </c>
      <c r="AB900" s="73">
        <v>0</v>
      </c>
      <c r="AC900" s="73">
        <v>0</v>
      </c>
      <c r="AD900" s="73">
        <v>0</v>
      </c>
      <c r="AE900" s="73">
        <v>0</v>
      </c>
      <c r="AF900" s="74">
        <f>tblData[[#This Row],[Gross Sales]]+tblData[[#This Row],[Trade Discounts]]+tblData[[#This Row],[Returns]]</f>
        <v>1442</v>
      </c>
      <c r="AG900" s="74">
        <f>tblData[[#This Row],[Material Cost]]+tblData[[#This Row],[Conversion Cost]]+tblData[[#This Row],[Inbound Freight]]</f>
        <v>-799</v>
      </c>
      <c r="AH900" s="74">
        <f>tblData[[#This Row],[Net Revenue]]+tblData[[#This Row],[COGS]]</f>
        <v>643</v>
      </c>
      <c r="AI900" s="74">
        <f>tblData[[#This Row],[Advertising]]+tblData[[#This Row],[Promotions]]</f>
        <v>-54</v>
      </c>
      <c r="AJ900" s="74">
        <f>tblData[[#This Row],[Outbound Logistics]]+tblData[[#This Row],[Direct Selling]]</f>
        <v>-127</v>
      </c>
      <c r="AK900" s="74">
        <f>tblData[[#This Row],[Gross Profit]]+tblData[[#This Row],[AP Spend]]+tblData[[#This Row],[Cost to Serve]]</f>
        <v>462</v>
      </c>
    </row>
    <row r="901" spans="2:37" x14ac:dyDescent="0.25">
      <c r="B901" s="71" t="s">
        <v>50</v>
      </c>
      <c r="C901" s="71">
        <v>2026</v>
      </c>
      <c r="D901" s="71">
        <v>12</v>
      </c>
      <c r="E901" s="71" t="s">
        <v>37</v>
      </c>
      <c r="F901" s="71" t="s">
        <v>43</v>
      </c>
      <c r="G901" s="72">
        <v>60.5</v>
      </c>
      <c r="H901" s="73">
        <v>1089</v>
      </c>
      <c r="I901" s="73">
        <v>-207</v>
      </c>
      <c r="J901" s="73">
        <v>-16</v>
      </c>
      <c r="K901" s="73">
        <v>-298</v>
      </c>
      <c r="L901" s="73">
        <v>-74</v>
      </c>
      <c r="M901" s="73">
        <v>-41</v>
      </c>
      <c r="N901" s="73">
        <v>-99</v>
      </c>
      <c r="O901" s="73">
        <v>-53</v>
      </c>
      <c r="P901" s="73">
        <v>-44</v>
      </c>
      <c r="Q901" s="73">
        <v>-33</v>
      </c>
      <c r="R901" s="73">
        <v>0</v>
      </c>
      <c r="S901" s="73">
        <v>0</v>
      </c>
      <c r="T901" s="73">
        <v>0</v>
      </c>
      <c r="U901" s="73">
        <v>0</v>
      </c>
      <c r="V901" s="73">
        <v>0</v>
      </c>
      <c r="W901" s="73">
        <v>0</v>
      </c>
      <c r="X901" s="73">
        <v>0</v>
      </c>
      <c r="Y901" s="73">
        <v>0</v>
      </c>
      <c r="Z901" s="73">
        <v>1620</v>
      </c>
      <c r="AA901" s="73">
        <v>1690</v>
      </c>
      <c r="AB901" s="73">
        <v>0</v>
      </c>
      <c r="AC901" s="73">
        <v>0</v>
      </c>
      <c r="AD901" s="73">
        <v>0</v>
      </c>
      <c r="AE901" s="73">
        <v>0</v>
      </c>
      <c r="AF901" s="74">
        <f>tblData[[#This Row],[Gross Sales]]+tblData[[#This Row],[Trade Discounts]]+tblData[[#This Row],[Returns]]</f>
        <v>866</v>
      </c>
      <c r="AG901" s="74">
        <f>tblData[[#This Row],[Material Cost]]+tblData[[#This Row],[Conversion Cost]]+tblData[[#This Row],[Inbound Freight]]</f>
        <v>-413</v>
      </c>
      <c r="AH901" s="74">
        <f>tblData[[#This Row],[Net Revenue]]+tblData[[#This Row],[COGS]]</f>
        <v>453</v>
      </c>
      <c r="AI901" s="74">
        <f>tblData[[#This Row],[Advertising]]+tblData[[#This Row],[Promotions]]</f>
        <v>-152</v>
      </c>
      <c r="AJ901" s="74">
        <f>tblData[[#This Row],[Outbound Logistics]]+tblData[[#This Row],[Direct Selling]]</f>
        <v>-77</v>
      </c>
      <c r="AK901" s="74">
        <f>tblData[[#This Row],[Gross Profit]]+tblData[[#This Row],[AP Spend]]+tblData[[#This Row],[Cost to Serve]]</f>
        <v>224</v>
      </c>
    </row>
    <row r="902" spans="2:37" x14ac:dyDescent="0.25">
      <c r="B902" s="71" t="s">
        <v>50</v>
      </c>
      <c r="C902" s="71">
        <v>2026</v>
      </c>
      <c r="D902" s="71">
        <v>12</v>
      </c>
      <c r="E902" s="71" t="s">
        <v>44</v>
      </c>
      <c r="F902" s="71" t="s">
        <v>38</v>
      </c>
      <c r="G902" s="72">
        <v>290.3</v>
      </c>
      <c r="H902" s="73">
        <v>4064</v>
      </c>
      <c r="I902" s="73">
        <v>-650</v>
      </c>
      <c r="J902" s="73">
        <v>-49</v>
      </c>
      <c r="K902" s="73">
        <v>-878</v>
      </c>
      <c r="L902" s="73">
        <v>-219</v>
      </c>
      <c r="M902" s="73">
        <v>-122</v>
      </c>
      <c r="N902" s="73">
        <v>-238</v>
      </c>
      <c r="O902" s="73">
        <v>-128</v>
      </c>
      <c r="P902" s="73">
        <v>-163</v>
      </c>
      <c r="Q902" s="73">
        <v>-122</v>
      </c>
      <c r="R902" s="73">
        <v>0</v>
      </c>
      <c r="S902" s="73">
        <v>0</v>
      </c>
      <c r="T902" s="73">
        <v>0</v>
      </c>
      <c r="U902" s="73">
        <v>0</v>
      </c>
      <c r="V902" s="73">
        <v>0</v>
      </c>
      <c r="W902" s="73">
        <v>0</v>
      </c>
      <c r="X902" s="73">
        <v>0</v>
      </c>
      <c r="Y902" s="73">
        <v>0</v>
      </c>
      <c r="Z902" s="73">
        <v>5727</v>
      </c>
      <c r="AA902" s="73">
        <v>3943</v>
      </c>
      <c r="AB902" s="73">
        <v>0</v>
      </c>
      <c r="AC902" s="73">
        <v>0</v>
      </c>
      <c r="AD902" s="73">
        <v>0</v>
      </c>
      <c r="AE902" s="73">
        <v>0</v>
      </c>
      <c r="AF902" s="74">
        <f>tblData[[#This Row],[Gross Sales]]+tblData[[#This Row],[Trade Discounts]]+tblData[[#This Row],[Returns]]</f>
        <v>3365</v>
      </c>
      <c r="AG902" s="74">
        <f>tblData[[#This Row],[Material Cost]]+tblData[[#This Row],[Conversion Cost]]+tblData[[#This Row],[Inbound Freight]]</f>
        <v>-1219</v>
      </c>
      <c r="AH902" s="74">
        <f>tblData[[#This Row],[Net Revenue]]+tblData[[#This Row],[COGS]]</f>
        <v>2146</v>
      </c>
      <c r="AI902" s="74">
        <f>tblData[[#This Row],[Advertising]]+tblData[[#This Row],[Promotions]]</f>
        <v>-366</v>
      </c>
      <c r="AJ902" s="74">
        <f>tblData[[#This Row],[Outbound Logistics]]+tblData[[#This Row],[Direct Selling]]</f>
        <v>-285</v>
      </c>
      <c r="AK902" s="74">
        <f>tblData[[#This Row],[Gross Profit]]+tblData[[#This Row],[AP Spend]]+tblData[[#This Row],[Cost to Serve]]</f>
        <v>1495</v>
      </c>
    </row>
    <row r="903" spans="2:37" x14ac:dyDescent="0.25">
      <c r="B903" s="71" t="s">
        <v>50</v>
      </c>
      <c r="C903" s="71">
        <v>2026</v>
      </c>
      <c r="D903" s="71">
        <v>12</v>
      </c>
      <c r="E903" s="71" t="s">
        <v>44</v>
      </c>
      <c r="F903" s="71" t="s">
        <v>39</v>
      </c>
      <c r="G903" s="72">
        <v>387.1</v>
      </c>
      <c r="H903" s="73">
        <v>3484</v>
      </c>
      <c r="I903" s="73">
        <v>-557</v>
      </c>
      <c r="J903" s="73">
        <v>-42</v>
      </c>
      <c r="K903" s="73">
        <v>-903</v>
      </c>
      <c r="L903" s="73">
        <v>-226</v>
      </c>
      <c r="M903" s="73">
        <v>-125</v>
      </c>
      <c r="N903" s="73">
        <v>-136</v>
      </c>
      <c r="O903" s="73">
        <v>-73</v>
      </c>
      <c r="P903" s="73">
        <v>-139</v>
      </c>
      <c r="Q903" s="73">
        <v>-105</v>
      </c>
      <c r="R903" s="73">
        <v>0</v>
      </c>
      <c r="S903" s="73">
        <v>0</v>
      </c>
      <c r="T903" s="73">
        <v>0</v>
      </c>
      <c r="U903" s="73">
        <v>0</v>
      </c>
      <c r="V903" s="73">
        <v>0</v>
      </c>
      <c r="W903" s="73">
        <v>0</v>
      </c>
      <c r="X903" s="73">
        <v>0</v>
      </c>
      <c r="Y903" s="73">
        <v>0</v>
      </c>
      <c r="Z903" s="73">
        <v>4909</v>
      </c>
      <c r="AA903" s="73">
        <v>3415</v>
      </c>
      <c r="AB903" s="73">
        <v>0</v>
      </c>
      <c r="AC903" s="73">
        <v>0</v>
      </c>
      <c r="AD903" s="73">
        <v>0</v>
      </c>
      <c r="AE903" s="73">
        <v>0</v>
      </c>
      <c r="AF903" s="74">
        <f>tblData[[#This Row],[Gross Sales]]+tblData[[#This Row],[Trade Discounts]]+tblData[[#This Row],[Returns]]</f>
        <v>2885</v>
      </c>
      <c r="AG903" s="74">
        <f>tblData[[#This Row],[Material Cost]]+tblData[[#This Row],[Conversion Cost]]+tblData[[#This Row],[Inbound Freight]]</f>
        <v>-1254</v>
      </c>
      <c r="AH903" s="74">
        <f>tblData[[#This Row],[Net Revenue]]+tblData[[#This Row],[COGS]]</f>
        <v>1631</v>
      </c>
      <c r="AI903" s="74">
        <f>tblData[[#This Row],[Advertising]]+tblData[[#This Row],[Promotions]]</f>
        <v>-209</v>
      </c>
      <c r="AJ903" s="74">
        <f>tblData[[#This Row],[Outbound Logistics]]+tblData[[#This Row],[Direct Selling]]</f>
        <v>-244</v>
      </c>
      <c r="AK903" s="74">
        <f>tblData[[#This Row],[Gross Profit]]+tblData[[#This Row],[AP Spend]]+tblData[[#This Row],[Cost to Serve]]</f>
        <v>1178</v>
      </c>
    </row>
    <row r="904" spans="2:37" x14ac:dyDescent="0.25">
      <c r="B904" s="71" t="s">
        <v>50</v>
      </c>
      <c r="C904" s="71">
        <v>2026</v>
      </c>
      <c r="D904" s="71">
        <v>12</v>
      </c>
      <c r="E904" s="71" t="s">
        <v>44</v>
      </c>
      <c r="F904" s="71" t="s">
        <v>40</v>
      </c>
      <c r="G904" s="72">
        <v>373.2</v>
      </c>
      <c r="H904" s="73">
        <v>2613</v>
      </c>
      <c r="I904" s="73">
        <v>-418</v>
      </c>
      <c r="J904" s="73">
        <v>-31</v>
      </c>
      <c r="K904" s="73">
        <v>-752</v>
      </c>
      <c r="L904" s="73">
        <v>-188</v>
      </c>
      <c r="M904" s="73">
        <v>-105</v>
      </c>
      <c r="N904" s="73">
        <v>-68</v>
      </c>
      <c r="O904" s="73">
        <v>-37</v>
      </c>
      <c r="P904" s="73">
        <v>-105</v>
      </c>
      <c r="Q904" s="73">
        <v>-78</v>
      </c>
      <c r="R904" s="73">
        <v>0</v>
      </c>
      <c r="S904" s="73">
        <v>0</v>
      </c>
      <c r="T904" s="73">
        <v>0</v>
      </c>
      <c r="U904" s="73">
        <v>0</v>
      </c>
      <c r="V904" s="73">
        <v>0</v>
      </c>
      <c r="W904" s="73">
        <v>0</v>
      </c>
      <c r="X904" s="73">
        <v>0</v>
      </c>
      <c r="Y904" s="73">
        <v>0</v>
      </c>
      <c r="Z904" s="73">
        <v>3682</v>
      </c>
      <c r="AA904" s="73">
        <v>2668</v>
      </c>
      <c r="AB904" s="73">
        <v>0</v>
      </c>
      <c r="AC904" s="73">
        <v>0</v>
      </c>
      <c r="AD904" s="73">
        <v>0</v>
      </c>
      <c r="AE904" s="73">
        <v>0</v>
      </c>
      <c r="AF904" s="74">
        <f>tblData[[#This Row],[Gross Sales]]+tblData[[#This Row],[Trade Discounts]]+tblData[[#This Row],[Returns]]</f>
        <v>2164</v>
      </c>
      <c r="AG904" s="74">
        <f>tblData[[#This Row],[Material Cost]]+tblData[[#This Row],[Conversion Cost]]+tblData[[#This Row],[Inbound Freight]]</f>
        <v>-1045</v>
      </c>
      <c r="AH904" s="74">
        <f>tblData[[#This Row],[Net Revenue]]+tblData[[#This Row],[COGS]]</f>
        <v>1119</v>
      </c>
      <c r="AI904" s="74">
        <f>tblData[[#This Row],[Advertising]]+tblData[[#This Row],[Promotions]]</f>
        <v>-105</v>
      </c>
      <c r="AJ904" s="74">
        <f>tblData[[#This Row],[Outbound Logistics]]+tblData[[#This Row],[Direct Selling]]</f>
        <v>-183</v>
      </c>
      <c r="AK904" s="74">
        <f>tblData[[#This Row],[Gross Profit]]+tblData[[#This Row],[AP Spend]]+tblData[[#This Row],[Cost to Serve]]</f>
        <v>831</v>
      </c>
    </row>
    <row r="905" spans="2:37" x14ac:dyDescent="0.25">
      <c r="B905" s="71" t="s">
        <v>50</v>
      </c>
      <c r="C905" s="71">
        <v>2026</v>
      </c>
      <c r="D905" s="71">
        <v>12</v>
      </c>
      <c r="E905" s="71" t="s">
        <v>44</v>
      </c>
      <c r="F905" s="71" t="s">
        <v>41</v>
      </c>
      <c r="G905" s="72">
        <v>184.7</v>
      </c>
      <c r="H905" s="73">
        <v>2032</v>
      </c>
      <c r="I905" s="73">
        <v>-325</v>
      </c>
      <c r="J905" s="73">
        <v>-24</v>
      </c>
      <c r="K905" s="73">
        <v>-483</v>
      </c>
      <c r="L905" s="73">
        <v>-121</v>
      </c>
      <c r="M905" s="73">
        <v>-67</v>
      </c>
      <c r="N905" s="73">
        <v>-145</v>
      </c>
      <c r="O905" s="73">
        <v>-78</v>
      </c>
      <c r="P905" s="73">
        <v>-81</v>
      </c>
      <c r="Q905" s="73">
        <v>-61</v>
      </c>
      <c r="R905" s="73">
        <v>0</v>
      </c>
      <c r="S905" s="73">
        <v>0</v>
      </c>
      <c r="T905" s="73">
        <v>0</v>
      </c>
      <c r="U905" s="73">
        <v>0</v>
      </c>
      <c r="V905" s="73">
        <v>0</v>
      </c>
      <c r="W905" s="73">
        <v>0</v>
      </c>
      <c r="X905" s="73">
        <v>0</v>
      </c>
      <c r="Y905" s="73">
        <v>0</v>
      </c>
      <c r="Z905" s="73">
        <v>2864</v>
      </c>
      <c r="AA905" s="73">
        <v>2054</v>
      </c>
      <c r="AB905" s="73">
        <v>0</v>
      </c>
      <c r="AC905" s="73">
        <v>0</v>
      </c>
      <c r="AD905" s="73">
        <v>0</v>
      </c>
      <c r="AE905" s="73">
        <v>0</v>
      </c>
      <c r="AF905" s="74">
        <f>tblData[[#This Row],[Gross Sales]]+tblData[[#This Row],[Trade Discounts]]+tblData[[#This Row],[Returns]]</f>
        <v>1683</v>
      </c>
      <c r="AG905" s="74">
        <f>tblData[[#This Row],[Material Cost]]+tblData[[#This Row],[Conversion Cost]]+tblData[[#This Row],[Inbound Freight]]</f>
        <v>-671</v>
      </c>
      <c r="AH905" s="74">
        <f>tblData[[#This Row],[Net Revenue]]+tblData[[#This Row],[COGS]]</f>
        <v>1012</v>
      </c>
      <c r="AI905" s="74">
        <f>tblData[[#This Row],[Advertising]]+tblData[[#This Row],[Promotions]]</f>
        <v>-223</v>
      </c>
      <c r="AJ905" s="74">
        <f>tblData[[#This Row],[Outbound Logistics]]+tblData[[#This Row],[Direct Selling]]</f>
        <v>-142</v>
      </c>
      <c r="AK905" s="74">
        <f>tblData[[#This Row],[Gross Profit]]+tblData[[#This Row],[AP Spend]]+tblData[[#This Row],[Cost to Serve]]</f>
        <v>647</v>
      </c>
    </row>
    <row r="906" spans="2:37" x14ac:dyDescent="0.25">
      <c r="B906" s="71" t="s">
        <v>50</v>
      </c>
      <c r="C906" s="71">
        <v>2026</v>
      </c>
      <c r="D906" s="71">
        <v>12</v>
      </c>
      <c r="E906" s="71" t="s">
        <v>44</v>
      </c>
      <c r="F906" s="71" t="s">
        <v>42</v>
      </c>
      <c r="G906" s="72">
        <v>241.9</v>
      </c>
      <c r="H906" s="73">
        <v>1452</v>
      </c>
      <c r="I906" s="73">
        <v>-232</v>
      </c>
      <c r="J906" s="73">
        <v>-17</v>
      </c>
      <c r="K906" s="73">
        <v>-460</v>
      </c>
      <c r="L906" s="73">
        <v>-115</v>
      </c>
      <c r="M906" s="73">
        <v>-64</v>
      </c>
      <c r="N906" s="73">
        <v>-28</v>
      </c>
      <c r="O906" s="73">
        <v>-15</v>
      </c>
      <c r="P906" s="73">
        <v>-58</v>
      </c>
      <c r="Q906" s="73">
        <v>-44</v>
      </c>
      <c r="R906" s="73">
        <v>0</v>
      </c>
      <c r="S906" s="73">
        <v>0</v>
      </c>
      <c r="T906" s="73">
        <v>0</v>
      </c>
      <c r="U906" s="73">
        <v>0</v>
      </c>
      <c r="V906" s="73">
        <v>0</v>
      </c>
      <c r="W906" s="73">
        <v>0</v>
      </c>
      <c r="X906" s="73">
        <v>0</v>
      </c>
      <c r="Y906" s="73">
        <v>0</v>
      </c>
      <c r="Z906" s="73">
        <v>2045</v>
      </c>
      <c r="AA906" s="73">
        <v>2391</v>
      </c>
      <c r="AB906" s="73">
        <v>0</v>
      </c>
      <c r="AC906" s="73">
        <v>0</v>
      </c>
      <c r="AD906" s="73">
        <v>0</v>
      </c>
      <c r="AE906" s="73">
        <v>0</v>
      </c>
      <c r="AF906" s="74">
        <f>tblData[[#This Row],[Gross Sales]]+tblData[[#This Row],[Trade Discounts]]+tblData[[#This Row],[Returns]]</f>
        <v>1203</v>
      </c>
      <c r="AG906" s="74">
        <f>tblData[[#This Row],[Material Cost]]+tblData[[#This Row],[Conversion Cost]]+tblData[[#This Row],[Inbound Freight]]</f>
        <v>-639</v>
      </c>
      <c r="AH906" s="74">
        <f>tblData[[#This Row],[Net Revenue]]+tblData[[#This Row],[COGS]]</f>
        <v>564</v>
      </c>
      <c r="AI906" s="74">
        <f>tblData[[#This Row],[Advertising]]+tblData[[#This Row],[Promotions]]</f>
        <v>-43</v>
      </c>
      <c r="AJ906" s="74">
        <f>tblData[[#This Row],[Outbound Logistics]]+tblData[[#This Row],[Direct Selling]]</f>
        <v>-102</v>
      </c>
      <c r="AK906" s="74">
        <f>tblData[[#This Row],[Gross Profit]]+tblData[[#This Row],[AP Spend]]+tblData[[#This Row],[Cost to Serve]]</f>
        <v>419</v>
      </c>
    </row>
    <row r="907" spans="2:37" x14ac:dyDescent="0.25">
      <c r="B907" s="71" t="s">
        <v>50</v>
      </c>
      <c r="C907" s="71">
        <v>2026</v>
      </c>
      <c r="D907" s="71">
        <v>12</v>
      </c>
      <c r="E907" s="71" t="s">
        <v>44</v>
      </c>
      <c r="F907" s="71" t="s">
        <v>43</v>
      </c>
      <c r="G907" s="72">
        <v>48.4</v>
      </c>
      <c r="H907" s="73">
        <v>871</v>
      </c>
      <c r="I907" s="73">
        <v>-139</v>
      </c>
      <c r="J907" s="73">
        <v>-10</v>
      </c>
      <c r="K907" s="73">
        <v>-238</v>
      </c>
      <c r="L907" s="73">
        <v>-60</v>
      </c>
      <c r="M907" s="73">
        <v>-33</v>
      </c>
      <c r="N907" s="73">
        <v>-79</v>
      </c>
      <c r="O907" s="73">
        <v>-43</v>
      </c>
      <c r="P907" s="73">
        <v>-35</v>
      </c>
      <c r="Q907" s="73">
        <v>-26</v>
      </c>
      <c r="R907" s="73">
        <v>0</v>
      </c>
      <c r="S907" s="73">
        <v>0</v>
      </c>
      <c r="T907" s="73">
        <v>0</v>
      </c>
      <c r="U907" s="73">
        <v>0</v>
      </c>
      <c r="V907" s="73">
        <v>0</v>
      </c>
      <c r="W907" s="73">
        <v>0</v>
      </c>
      <c r="X907" s="73">
        <v>0</v>
      </c>
      <c r="Y907" s="73">
        <v>0</v>
      </c>
      <c r="Z907" s="73">
        <v>1227</v>
      </c>
      <c r="AA907" s="73">
        <v>1352</v>
      </c>
      <c r="AB907" s="73">
        <v>0</v>
      </c>
      <c r="AC907" s="73">
        <v>0</v>
      </c>
      <c r="AD907" s="73">
        <v>0</v>
      </c>
      <c r="AE907" s="73">
        <v>0</v>
      </c>
      <c r="AF907" s="74">
        <f>tblData[[#This Row],[Gross Sales]]+tblData[[#This Row],[Trade Discounts]]+tblData[[#This Row],[Returns]]</f>
        <v>722</v>
      </c>
      <c r="AG907" s="74">
        <f>tblData[[#This Row],[Material Cost]]+tblData[[#This Row],[Conversion Cost]]+tblData[[#This Row],[Inbound Freight]]</f>
        <v>-331</v>
      </c>
      <c r="AH907" s="74">
        <f>tblData[[#This Row],[Net Revenue]]+tblData[[#This Row],[COGS]]</f>
        <v>391</v>
      </c>
      <c r="AI907" s="74">
        <f>tblData[[#This Row],[Advertising]]+tblData[[#This Row],[Promotions]]</f>
        <v>-122</v>
      </c>
      <c r="AJ907" s="74">
        <f>tblData[[#This Row],[Outbound Logistics]]+tblData[[#This Row],[Direct Selling]]</f>
        <v>-61</v>
      </c>
      <c r="AK907" s="74">
        <f>tblData[[#This Row],[Gross Profit]]+tblData[[#This Row],[AP Spend]]+tblData[[#This Row],[Cost to Serve]]</f>
        <v>208</v>
      </c>
    </row>
    <row r="908" spans="2:37" x14ac:dyDescent="0.25">
      <c r="B908" s="71" t="s">
        <v>50</v>
      </c>
      <c r="C908" s="71">
        <v>2026</v>
      </c>
      <c r="D908" s="71">
        <v>12</v>
      </c>
      <c r="E908" s="71" t="s">
        <v>45</v>
      </c>
      <c r="F908" s="71" t="s">
        <v>38</v>
      </c>
      <c r="G908" s="72">
        <v>169.3</v>
      </c>
      <c r="H908" s="73">
        <v>2371</v>
      </c>
      <c r="I908" s="73">
        <v>-522</v>
      </c>
      <c r="J908" s="73">
        <v>-24</v>
      </c>
      <c r="K908" s="73">
        <v>-512</v>
      </c>
      <c r="L908" s="73">
        <v>-128</v>
      </c>
      <c r="M908" s="73">
        <v>-71</v>
      </c>
      <c r="N908" s="73">
        <v>-139</v>
      </c>
      <c r="O908" s="73">
        <v>-75</v>
      </c>
      <c r="P908" s="73">
        <v>-83</v>
      </c>
      <c r="Q908" s="73">
        <v>-47</v>
      </c>
      <c r="R908" s="73">
        <v>0</v>
      </c>
      <c r="S908" s="73">
        <v>0</v>
      </c>
      <c r="T908" s="73">
        <v>0</v>
      </c>
      <c r="U908" s="73">
        <v>0</v>
      </c>
      <c r="V908" s="73">
        <v>0</v>
      </c>
      <c r="W908" s="73">
        <v>0</v>
      </c>
      <c r="X908" s="73">
        <v>0</v>
      </c>
      <c r="Y908" s="73">
        <v>0</v>
      </c>
      <c r="Z908" s="73">
        <v>2796</v>
      </c>
      <c r="AA908" s="73">
        <v>2300</v>
      </c>
      <c r="AB908" s="73">
        <v>0</v>
      </c>
      <c r="AC908" s="73">
        <v>0</v>
      </c>
      <c r="AD908" s="73">
        <v>0</v>
      </c>
      <c r="AE908" s="73">
        <v>0</v>
      </c>
      <c r="AF908" s="74">
        <f>tblData[[#This Row],[Gross Sales]]+tblData[[#This Row],[Trade Discounts]]+tblData[[#This Row],[Returns]]</f>
        <v>1825</v>
      </c>
      <c r="AG908" s="74">
        <f>tblData[[#This Row],[Material Cost]]+tblData[[#This Row],[Conversion Cost]]+tblData[[#This Row],[Inbound Freight]]</f>
        <v>-711</v>
      </c>
      <c r="AH908" s="74">
        <f>tblData[[#This Row],[Net Revenue]]+tblData[[#This Row],[COGS]]</f>
        <v>1114</v>
      </c>
      <c r="AI908" s="74">
        <f>tblData[[#This Row],[Advertising]]+tblData[[#This Row],[Promotions]]</f>
        <v>-214</v>
      </c>
      <c r="AJ908" s="74">
        <f>tblData[[#This Row],[Outbound Logistics]]+tblData[[#This Row],[Direct Selling]]</f>
        <v>-130</v>
      </c>
      <c r="AK908" s="74">
        <f>tblData[[#This Row],[Gross Profit]]+tblData[[#This Row],[AP Spend]]+tblData[[#This Row],[Cost to Serve]]</f>
        <v>770</v>
      </c>
    </row>
    <row r="909" spans="2:37" x14ac:dyDescent="0.25">
      <c r="B909" s="71" t="s">
        <v>50</v>
      </c>
      <c r="C909" s="71">
        <v>2026</v>
      </c>
      <c r="D909" s="71">
        <v>12</v>
      </c>
      <c r="E909" s="71" t="s">
        <v>45</v>
      </c>
      <c r="F909" s="71" t="s">
        <v>39</v>
      </c>
      <c r="G909" s="72">
        <v>225.8</v>
      </c>
      <c r="H909" s="73">
        <v>2032</v>
      </c>
      <c r="I909" s="73">
        <v>-447</v>
      </c>
      <c r="J909" s="73">
        <v>-20</v>
      </c>
      <c r="K909" s="73">
        <v>-527</v>
      </c>
      <c r="L909" s="73">
        <v>-132</v>
      </c>
      <c r="M909" s="73">
        <v>-73</v>
      </c>
      <c r="N909" s="73">
        <v>-79</v>
      </c>
      <c r="O909" s="73">
        <v>-43</v>
      </c>
      <c r="P909" s="73">
        <v>-71</v>
      </c>
      <c r="Q909" s="73">
        <v>-41</v>
      </c>
      <c r="R909" s="73">
        <v>0</v>
      </c>
      <c r="S909" s="73">
        <v>0</v>
      </c>
      <c r="T909" s="73">
        <v>0</v>
      </c>
      <c r="U909" s="73">
        <v>0</v>
      </c>
      <c r="V909" s="73">
        <v>0</v>
      </c>
      <c r="W909" s="73">
        <v>0</v>
      </c>
      <c r="X909" s="73">
        <v>0</v>
      </c>
      <c r="Y909" s="73">
        <v>0</v>
      </c>
      <c r="Z909" s="73">
        <v>2397</v>
      </c>
      <c r="AA909" s="73">
        <v>1992</v>
      </c>
      <c r="AB909" s="73">
        <v>0</v>
      </c>
      <c r="AC909" s="73">
        <v>0</v>
      </c>
      <c r="AD909" s="73">
        <v>0</v>
      </c>
      <c r="AE909" s="73">
        <v>0</v>
      </c>
      <c r="AF909" s="74">
        <f>tblData[[#This Row],[Gross Sales]]+tblData[[#This Row],[Trade Discounts]]+tblData[[#This Row],[Returns]]</f>
        <v>1565</v>
      </c>
      <c r="AG909" s="74">
        <f>tblData[[#This Row],[Material Cost]]+tblData[[#This Row],[Conversion Cost]]+tblData[[#This Row],[Inbound Freight]]</f>
        <v>-732</v>
      </c>
      <c r="AH909" s="74">
        <f>tblData[[#This Row],[Net Revenue]]+tblData[[#This Row],[COGS]]</f>
        <v>833</v>
      </c>
      <c r="AI909" s="74">
        <f>tblData[[#This Row],[Advertising]]+tblData[[#This Row],[Promotions]]</f>
        <v>-122</v>
      </c>
      <c r="AJ909" s="74">
        <f>tblData[[#This Row],[Outbound Logistics]]+tblData[[#This Row],[Direct Selling]]</f>
        <v>-112</v>
      </c>
      <c r="AK909" s="74">
        <f>tblData[[#This Row],[Gross Profit]]+tblData[[#This Row],[AP Spend]]+tblData[[#This Row],[Cost to Serve]]</f>
        <v>599</v>
      </c>
    </row>
    <row r="910" spans="2:37" x14ac:dyDescent="0.25">
      <c r="B910" s="71" t="s">
        <v>50</v>
      </c>
      <c r="C910" s="71">
        <v>2026</v>
      </c>
      <c r="D910" s="71">
        <v>12</v>
      </c>
      <c r="E910" s="71" t="s">
        <v>45</v>
      </c>
      <c r="F910" s="71" t="s">
        <v>40</v>
      </c>
      <c r="G910" s="72">
        <v>217.7</v>
      </c>
      <c r="H910" s="73">
        <v>1524</v>
      </c>
      <c r="I910" s="73">
        <v>-335</v>
      </c>
      <c r="J910" s="73">
        <v>-15</v>
      </c>
      <c r="K910" s="73">
        <v>-439</v>
      </c>
      <c r="L910" s="73">
        <v>-110</v>
      </c>
      <c r="M910" s="73">
        <v>-61</v>
      </c>
      <c r="N910" s="73">
        <v>-40</v>
      </c>
      <c r="O910" s="73">
        <v>-21</v>
      </c>
      <c r="P910" s="73">
        <v>-53</v>
      </c>
      <c r="Q910" s="73">
        <v>-30</v>
      </c>
      <c r="R910" s="73">
        <v>0</v>
      </c>
      <c r="S910" s="73">
        <v>0</v>
      </c>
      <c r="T910" s="73">
        <v>0</v>
      </c>
      <c r="U910" s="73">
        <v>0</v>
      </c>
      <c r="V910" s="73">
        <v>0</v>
      </c>
      <c r="W910" s="73">
        <v>0</v>
      </c>
      <c r="X910" s="73">
        <v>0</v>
      </c>
      <c r="Y910" s="73">
        <v>0</v>
      </c>
      <c r="Z910" s="73">
        <v>1797</v>
      </c>
      <c r="AA910" s="73">
        <v>1556</v>
      </c>
      <c r="AB910" s="73">
        <v>0</v>
      </c>
      <c r="AC910" s="73">
        <v>0</v>
      </c>
      <c r="AD910" s="73">
        <v>0</v>
      </c>
      <c r="AE910" s="73">
        <v>0</v>
      </c>
      <c r="AF910" s="74">
        <f>tblData[[#This Row],[Gross Sales]]+tblData[[#This Row],[Trade Discounts]]+tblData[[#This Row],[Returns]]</f>
        <v>1174</v>
      </c>
      <c r="AG910" s="74">
        <f>tblData[[#This Row],[Material Cost]]+tblData[[#This Row],[Conversion Cost]]+tblData[[#This Row],[Inbound Freight]]</f>
        <v>-610</v>
      </c>
      <c r="AH910" s="74">
        <f>tblData[[#This Row],[Net Revenue]]+tblData[[#This Row],[COGS]]</f>
        <v>564</v>
      </c>
      <c r="AI910" s="74">
        <f>tblData[[#This Row],[Advertising]]+tblData[[#This Row],[Promotions]]</f>
        <v>-61</v>
      </c>
      <c r="AJ910" s="74">
        <f>tblData[[#This Row],[Outbound Logistics]]+tblData[[#This Row],[Direct Selling]]</f>
        <v>-83</v>
      </c>
      <c r="AK910" s="74">
        <f>tblData[[#This Row],[Gross Profit]]+tblData[[#This Row],[AP Spend]]+tblData[[#This Row],[Cost to Serve]]</f>
        <v>420</v>
      </c>
    </row>
    <row r="911" spans="2:37" x14ac:dyDescent="0.25">
      <c r="B911" s="71" t="s">
        <v>50</v>
      </c>
      <c r="C911" s="71">
        <v>2026</v>
      </c>
      <c r="D911" s="71">
        <v>12</v>
      </c>
      <c r="E911" s="71" t="s">
        <v>45</v>
      </c>
      <c r="F911" s="71" t="s">
        <v>41</v>
      </c>
      <c r="G911" s="72">
        <v>107.8</v>
      </c>
      <c r="H911" s="73">
        <v>1185</v>
      </c>
      <c r="I911" s="73">
        <v>-261</v>
      </c>
      <c r="J911" s="73">
        <v>-12</v>
      </c>
      <c r="K911" s="73">
        <v>-282</v>
      </c>
      <c r="L911" s="73">
        <v>-70</v>
      </c>
      <c r="M911" s="73">
        <v>-39</v>
      </c>
      <c r="N911" s="73">
        <v>-85</v>
      </c>
      <c r="O911" s="73">
        <v>-46</v>
      </c>
      <c r="P911" s="73">
        <v>-41</v>
      </c>
      <c r="Q911" s="73">
        <v>-24</v>
      </c>
      <c r="R911" s="73">
        <v>0</v>
      </c>
      <c r="S911" s="73">
        <v>0</v>
      </c>
      <c r="T911" s="73">
        <v>0</v>
      </c>
      <c r="U911" s="73">
        <v>0</v>
      </c>
      <c r="V911" s="73">
        <v>0</v>
      </c>
      <c r="W911" s="73">
        <v>0</v>
      </c>
      <c r="X911" s="73">
        <v>0</v>
      </c>
      <c r="Y911" s="73">
        <v>0</v>
      </c>
      <c r="Z911" s="73">
        <v>1398</v>
      </c>
      <c r="AA911" s="73">
        <v>1198</v>
      </c>
      <c r="AB911" s="73">
        <v>0</v>
      </c>
      <c r="AC911" s="73">
        <v>0</v>
      </c>
      <c r="AD911" s="73">
        <v>0</v>
      </c>
      <c r="AE911" s="73">
        <v>0</v>
      </c>
      <c r="AF911" s="74">
        <f>tblData[[#This Row],[Gross Sales]]+tblData[[#This Row],[Trade Discounts]]+tblData[[#This Row],[Returns]]</f>
        <v>912</v>
      </c>
      <c r="AG911" s="74">
        <f>tblData[[#This Row],[Material Cost]]+tblData[[#This Row],[Conversion Cost]]+tblData[[#This Row],[Inbound Freight]]</f>
        <v>-391</v>
      </c>
      <c r="AH911" s="74">
        <f>tblData[[#This Row],[Net Revenue]]+tblData[[#This Row],[COGS]]</f>
        <v>521</v>
      </c>
      <c r="AI911" s="74">
        <f>tblData[[#This Row],[Advertising]]+tblData[[#This Row],[Promotions]]</f>
        <v>-131</v>
      </c>
      <c r="AJ911" s="74">
        <f>tblData[[#This Row],[Outbound Logistics]]+tblData[[#This Row],[Direct Selling]]</f>
        <v>-65</v>
      </c>
      <c r="AK911" s="74">
        <f>tblData[[#This Row],[Gross Profit]]+tblData[[#This Row],[AP Spend]]+tblData[[#This Row],[Cost to Serve]]</f>
        <v>325</v>
      </c>
    </row>
    <row r="912" spans="2:37" x14ac:dyDescent="0.25">
      <c r="B912" s="71" t="s">
        <v>50</v>
      </c>
      <c r="C912" s="71">
        <v>2026</v>
      </c>
      <c r="D912" s="71">
        <v>12</v>
      </c>
      <c r="E912" s="71" t="s">
        <v>45</v>
      </c>
      <c r="F912" s="71" t="s">
        <v>42</v>
      </c>
      <c r="G912" s="72">
        <v>141.1</v>
      </c>
      <c r="H912" s="73">
        <v>847</v>
      </c>
      <c r="I912" s="73">
        <v>-186</v>
      </c>
      <c r="J912" s="73">
        <v>-8</v>
      </c>
      <c r="K912" s="73">
        <v>-268</v>
      </c>
      <c r="L912" s="73">
        <v>-67</v>
      </c>
      <c r="M912" s="73">
        <v>-37</v>
      </c>
      <c r="N912" s="73">
        <v>-17</v>
      </c>
      <c r="O912" s="73">
        <v>-9</v>
      </c>
      <c r="P912" s="73">
        <v>-30</v>
      </c>
      <c r="Q912" s="73">
        <v>-17</v>
      </c>
      <c r="R912" s="73">
        <v>0</v>
      </c>
      <c r="S912" s="73">
        <v>0</v>
      </c>
      <c r="T912" s="73">
        <v>0</v>
      </c>
      <c r="U912" s="73">
        <v>0</v>
      </c>
      <c r="V912" s="73">
        <v>0</v>
      </c>
      <c r="W912" s="73">
        <v>0</v>
      </c>
      <c r="X912" s="73">
        <v>0</v>
      </c>
      <c r="Y912" s="73">
        <v>0</v>
      </c>
      <c r="Z912" s="73">
        <v>999</v>
      </c>
      <c r="AA912" s="73">
        <v>1395</v>
      </c>
      <c r="AB912" s="73">
        <v>0</v>
      </c>
      <c r="AC912" s="73">
        <v>0</v>
      </c>
      <c r="AD912" s="73">
        <v>0</v>
      </c>
      <c r="AE912" s="73">
        <v>0</v>
      </c>
      <c r="AF912" s="74">
        <f>tblData[[#This Row],[Gross Sales]]+tblData[[#This Row],[Trade Discounts]]+tblData[[#This Row],[Returns]]</f>
        <v>653</v>
      </c>
      <c r="AG912" s="74">
        <f>tblData[[#This Row],[Material Cost]]+tblData[[#This Row],[Conversion Cost]]+tblData[[#This Row],[Inbound Freight]]</f>
        <v>-372</v>
      </c>
      <c r="AH912" s="74">
        <f>tblData[[#This Row],[Net Revenue]]+tblData[[#This Row],[COGS]]</f>
        <v>281</v>
      </c>
      <c r="AI912" s="74">
        <f>tblData[[#This Row],[Advertising]]+tblData[[#This Row],[Promotions]]</f>
        <v>-26</v>
      </c>
      <c r="AJ912" s="74">
        <f>tblData[[#This Row],[Outbound Logistics]]+tblData[[#This Row],[Direct Selling]]</f>
        <v>-47</v>
      </c>
      <c r="AK912" s="74">
        <f>tblData[[#This Row],[Gross Profit]]+tblData[[#This Row],[AP Spend]]+tblData[[#This Row],[Cost to Serve]]</f>
        <v>208</v>
      </c>
    </row>
    <row r="913" spans="2:37" x14ac:dyDescent="0.25">
      <c r="B913" s="71" t="s">
        <v>50</v>
      </c>
      <c r="C913" s="71">
        <v>2026</v>
      </c>
      <c r="D913" s="71">
        <v>12</v>
      </c>
      <c r="E913" s="71" t="s">
        <v>45</v>
      </c>
      <c r="F913" s="71" t="s">
        <v>43</v>
      </c>
      <c r="G913" s="72">
        <v>28.2</v>
      </c>
      <c r="H913" s="73">
        <v>508</v>
      </c>
      <c r="I913" s="73">
        <v>-112</v>
      </c>
      <c r="J913" s="73">
        <v>-5</v>
      </c>
      <c r="K913" s="73">
        <v>-139</v>
      </c>
      <c r="L913" s="73">
        <v>-35</v>
      </c>
      <c r="M913" s="73">
        <v>-19</v>
      </c>
      <c r="N913" s="73">
        <v>-46</v>
      </c>
      <c r="O913" s="73">
        <v>-25</v>
      </c>
      <c r="P913" s="73">
        <v>-18</v>
      </c>
      <c r="Q913" s="73">
        <v>-10</v>
      </c>
      <c r="R913" s="73">
        <v>0</v>
      </c>
      <c r="S913" s="73">
        <v>0</v>
      </c>
      <c r="T913" s="73">
        <v>0</v>
      </c>
      <c r="U913" s="73">
        <v>0</v>
      </c>
      <c r="V913" s="73">
        <v>0</v>
      </c>
      <c r="W913" s="73">
        <v>0</v>
      </c>
      <c r="X913" s="73">
        <v>0</v>
      </c>
      <c r="Y913" s="73">
        <v>0</v>
      </c>
      <c r="Z913" s="73">
        <v>599</v>
      </c>
      <c r="AA913" s="73">
        <v>789</v>
      </c>
      <c r="AB913" s="73">
        <v>0</v>
      </c>
      <c r="AC913" s="73">
        <v>0</v>
      </c>
      <c r="AD913" s="73">
        <v>0</v>
      </c>
      <c r="AE913" s="73">
        <v>0</v>
      </c>
      <c r="AF913" s="74">
        <f>tblData[[#This Row],[Gross Sales]]+tblData[[#This Row],[Trade Discounts]]+tblData[[#This Row],[Returns]]</f>
        <v>391</v>
      </c>
      <c r="AG913" s="74">
        <f>tblData[[#This Row],[Material Cost]]+tblData[[#This Row],[Conversion Cost]]+tblData[[#This Row],[Inbound Freight]]</f>
        <v>-193</v>
      </c>
      <c r="AH913" s="74">
        <f>tblData[[#This Row],[Net Revenue]]+tblData[[#This Row],[COGS]]</f>
        <v>198</v>
      </c>
      <c r="AI913" s="74">
        <f>tblData[[#This Row],[Advertising]]+tblData[[#This Row],[Promotions]]</f>
        <v>-71</v>
      </c>
      <c r="AJ913" s="74">
        <f>tblData[[#This Row],[Outbound Logistics]]+tblData[[#This Row],[Direct Selling]]</f>
        <v>-28</v>
      </c>
      <c r="AK913" s="74">
        <f>tblData[[#This Row],[Gross Profit]]+tblData[[#This Row],[AP Spend]]+tblData[[#This Row],[Cost to Serve]]</f>
        <v>99</v>
      </c>
    </row>
    <row r="914" spans="2:37" x14ac:dyDescent="0.25">
      <c r="B914" s="71" t="s">
        <v>50</v>
      </c>
      <c r="C914" s="71">
        <v>2026</v>
      </c>
      <c r="D914" s="71">
        <v>12</v>
      </c>
      <c r="E914" s="71" t="s">
        <v>46</v>
      </c>
      <c r="F914" s="71" t="s">
        <v>38</v>
      </c>
      <c r="G914" s="72">
        <v>193.5</v>
      </c>
      <c r="H914" s="73">
        <v>2710</v>
      </c>
      <c r="I914" s="73">
        <v>-298</v>
      </c>
      <c r="J914" s="73">
        <v>-108</v>
      </c>
      <c r="K914" s="73">
        <v>-585</v>
      </c>
      <c r="L914" s="73">
        <v>-146</v>
      </c>
      <c r="M914" s="73">
        <v>-81</v>
      </c>
      <c r="N914" s="73">
        <v>-159</v>
      </c>
      <c r="O914" s="73">
        <v>-85</v>
      </c>
      <c r="P914" s="73">
        <v>-203</v>
      </c>
      <c r="Q914" s="73">
        <v>-54</v>
      </c>
      <c r="R914" s="73">
        <v>0</v>
      </c>
      <c r="S914" s="73">
        <v>0</v>
      </c>
      <c r="T914" s="73">
        <v>0</v>
      </c>
      <c r="U914" s="73">
        <v>0</v>
      </c>
      <c r="V914" s="73">
        <v>0</v>
      </c>
      <c r="W914" s="73">
        <v>0</v>
      </c>
      <c r="X914" s="73">
        <v>0</v>
      </c>
      <c r="Y914" s="73">
        <v>0</v>
      </c>
      <c r="Z914" s="73">
        <v>1960</v>
      </c>
      <c r="AA914" s="73">
        <v>2628</v>
      </c>
      <c r="AB914" s="73">
        <v>0</v>
      </c>
      <c r="AC914" s="73">
        <v>0</v>
      </c>
      <c r="AD914" s="73">
        <v>0</v>
      </c>
      <c r="AE914" s="73">
        <v>0</v>
      </c>
      <c r="AF914" s="74">
        <f>tblData[[#This Row],[Gross Sales]]+tblData[[#This Row],[Trade Discounts]]+tblData[[#This Row],[Returns]]</f>
        <v>2304</v>
      </c>
      <c r="AG914" s="74">
        <f>tblData[[#This Row],[Material Cost]]+tblData[[#This Row],[Conversion Cost]]+tblData[[#This Row],[Inbound Freight]]</f>
        <v>-812</v>
      </c>
      <c r="AH914" s="74">
        <f>tblData[[#This Row],[Net Revenue]]+tblData[[#This Row],[COGS]]</f>
        <v>1492</v>
      </c>
      <c r="AI914" s="74">
        <f>tblData[[#This Row],[Advertising]]+tblData[[#This Row],[Promotions]]</f>
        <v>-244</v>
      </c>
      <c r="AJ914" s="74">
        <f>tblData[[#This Row],[Outbound Logistics]]+tblData[[#This Row],[Direct Selling]]</f>
        <v>-257</v>
      </c>
      <c r="AK914" s="74">
        <f>tblData[[#This Row],[Gross Profit]]+tblData[[#This Row],[AP Spend]]+tblData[[#This Row],[Cost to Serve]]</f>
        <v>991</v>
      </c>
    </row>
    <row r="915" spans="2:37" x14ac:dyDescent="0.25">
      <c r="B915" s="71" t="s">
        <v>50</v>
      </c>
      <c r="C915" s="71">
        <v>2026</v>
      </c>
      <c r="D915" s="71">
        <v>12</v>
      </c>
      <c r="E915" s="71" t="s">
        <v>46</v>
      </c>
      <c r="F915" s="71" t="s">
        <v>39</v>
      </c>
      <c r="G915" s="72">
        <v>258</v>
      </c>
      <c r="H915" s="73">
        <v>2322</v>
      </c>
      <c r="I915" s="73">
        <v>-255</v>
      </c>
      <c r="J915" s="73">
        <v>-93</v>
      </c>
      <c r="K915" s="73">
        <v>-602</v>
      </c>
      <c r="L915" s="73">
        <v>-150</v>
      </c>
      <c r="M915" s="73">
        <v>-84</v>
      </c>
      <c r="N915" s="73">
        <v>-91</v>
      </c>
      <c r="O915" s="73">
        <v>-49</v>
      </c>
      <c r="P915" s="73">
        <v>-174</v>
      </c>
      <c r="Q915" s="73">
        <v>-46</v>
      </c>
      <c r="R915" s="73">
        <v>0</v>
      </c>
      <c r="S915" s="73">
        <v>0</v>
      </c>
      <c r="T915" s="73">
        <v>0</v>
      </c>
      <c r="U915" s="73">
        <v>0</v>
      </c>
      <c r="V915" s="73">
        <v>0</v>
      </c>
      <c r="W915" s="73">
        <v>0</v>
      </c>
      <c r="X915" s="73">
        <v>0</v>
      </c>
      <c r="Y915" s="73">
        <v>0</v>
      </c>
      <c r="Z915" s="73">
        <v>1680</v>
      </c>
      <c r="AA915" s="73">
        <v>2277</v>
      </c>
      <c r="AB915" s="73">
        <v>0</v>
      </c>
      <c r="AC915" s="73">
        <v>0</v>
      </c>
      <c r="AD915" s="73">
        <v>0</v>
      </c>
      <c r="AE915" s="73">
        <v>0</v>
      </c>
      <c r="AF915" s="74">
        <f>tblData[[#This Row],[Gross Sales]]+tblData[[#This Row],[Trade Discounts]]+tblData[[#This Row],[Returns]]</f>
        <v>1974</v>
      </c>
      <c r="AG915" s="74">
        <f>tblData[[#This Row],[Material Cost]]+tblData[[#This Row],[Conversion Cost]]+tblData[[#This Row],[Inbound Freight]]</f>
        <v>-836</v>
      </c>
      <c r="AH915" s="74">
        <f>tblData[[#This Row],[Net Revenue]]+tblData[[#This Row],[COGS]]</f>
        <v>1138</v>
      </c>
      <c r="AI915" s="74">
        <f>tblData[[#This Row],[Advertising]]+tblData[[#This Row],[Promotions]]</f>
        <v>-140</v>
      </c>
      <c r="AJ915" s="74">
        <f>tblData[[#This Row],[Outbound Logistics]]+tblData[[#This Row],[Direct Selling]]</f>
        <v>-220</v>
      </c>
      <c r="AK915" s="74">
        <f>tblData[[#This Row],[Gross Profit]]+tblData[[#This Row],[AP Spend]]+tblData[[#This Row],[Cost to Serve]]</f>
        <v>778</v>
      </c>
    </row>
    <row r="916" spans="2:37" x14ac:dyDescent="0.25">
      <c r="B916" s="71" t="s">
        <v>50</v>
      </c>
      <c r="C916" s="71">
        <v>2026</v>
      </c>
      <c r="D916" s="71">
        <v>12</v>
      </c>
      <c r="E916" s="71" t="s">
        <v>46</v>
      </c>
      <c r="F916" s="71" t="s">
        <v>40</v>
      </c>
      <c r="G916" s="72">
        <v>248.8</v>
      </c>
      <c r="H916" s="73">
        <v>1742</v>
      </c>
      <c r="I916" s="73">
        <v>-192</v>
      </c>
      <c r="J916" s="73">
        <v>-70</v>
      </c>
      <c r="K916" s="73">
        <v>-502</v>
      </c>
      <c r="L916" s="73">
        <v>-125</v>
      </c>
      <c r="M916" s="73">
        <v>-70</v>
      </c>
      <c r="N916" s="73">
        <v>-45</v>
      </c>
      <c r="O916" s="73">
        <v>-24</v>
      </c>
      <c r="P916" s="73">
        <v>-131</v>
      </c>
      <c r="Q916" s="73">
        <v>-35</v>
      </c>
      <c r="R916" s="73">
        <v>0</v>
      </c>
      <c r="S916" s="73">
        <v>0</v>
      </c>
      <c r="T916" s="73">
        <v>0</v>
      </c>
      <c r="U916" s="73">
        <v>0</v>
      </c>
      <c r="V916" s="73">
        <v>0</v>
      </c>
      <c r="W916" s="73">
        <v>0</v>
      </c>
      <c r="X916" s="73">
        <v>0</v>
      </c>
      <c r="Y916" s="73">
        <v>0</v>
      </c>
      <c r="Z916" s="73">
        <v>1260</v>
      </c>
      <c r="AA916" s="73">
        <v>1779</v>
      </c>
      <c r="AB916" s="73">
        <v>0</v>
      </c>
      <c r="AC916" s="73">
        <v>0</v>
      </c>
      <c r="AD916" s="73">
        <v>0</v>
      </c>
      <c r="AE916" s="73">
        <v>0</v>
      </c>
      <c r="AF916" s="74">
        <f>tblData[[#This Row],[Gross Sales]]+tblData[[#This Row],[Trade Discounts]]+tblData[[#This Row],[Returns]]</f>
        <v>1480</v>
      </c>
      <c r="AG916" s="74">
        <f>tblData[[#This Row],[Material Cost]]+tblData[[#This Row],[Conversion Cost]]+tblData[[#This Row],[Inbound Freight]]</f>
        <v>-697</v>
      </c>
      <c r="AH916" s="74">
        <f>tblData[[#This Row],[Net Revenue]]+tblData[[#This Row],[COGS]]</f>
        <v>783</v>
      </c>
      <c r="AI916" s="74">
        <f>tblData[[#This Row],[Advertising]]+tblData[[#This Row],[Promotions]]</f>
        <v>-69</v>
      </c>
      <c r="AJ916" s="74">
        <f>tblData[[#This Row],[Outbound Logistics]]+tblData[[#This Row],[Direct Selling]]</f>
        <v>-166</v>
      </c>
      <c r="AK916" s="74">
        <f>tblData[[#This Row],[Gross Profit]]+tblData[[#This Row],[AP Spend]]+tblData[[#This Row],[Cost to Serve]]</f>
        <v>548</v>
      </c>
    </row>
    <row r="917" spans="2:37" x14ac:dyDescent="0.25">
      <c r="B917" s="71" t="s">
        <v>50</v>
      </c>
      <c r="C917" s="71">
        <v>2026</v>
      </c>
      <c r="D917" s="71">
        <v>12</v>
      </c>
      <c r="E917" s="71" t="s">
        <v>46</v>
      </c>
      <c r="F917" s="71" t="s">
        <v>41</v>
      </c>
      <c r="G917" s="72">
        <v>123.2</v>
      </c>
      <c r="H917" s="73">
        <v>1355</v>
      </c>
      <c r="I917" s="73">
        <v>-149</v>
      </c>
      <c r="J917" s="73">
        <v>-54</v>
      </c>
      <c r="K917" s="73">
        <v>-322</v>
      </c>
      <c r="L917" s="73">
        <v>-80</v>
      </c>
      <c r="M917" s="73">
        <v>-45</v>
      </c>
      <c r="N917" s="73">
        <v>-97</v>
      </c>
      <c r="O917" s="73">
        <v>-52</v>
      </c>
      <c r="P917" s="73">
        <v>-102</v>
      </c>
      <c r="Q917" s="73">
        <v>-27</v>
      </c>
      <c r="R917" s="73">
        <v>0</v>
      </c>
      <c r="S917" s="73">
        <v>0</v>
      </c>
      <c r="T917" s="73">
        <v>0</v>
      </c>
      <c r="U917" s="73">
        <v>0</v>
      </c>
      <c r="V917" s="73">
        <v>0</v>
      </c>
      <c r="W917" s="73">
        <v>0</v>
      </c>
      <c r="X917" s="73">
        <v>0</v>
      </c>
      <c r="Y917" s="73">
        <v>0</v>
      </c>
      <c r="Z917" s="73">
        <v>980</v>
      </c>
      <c r="AA917" s="73">
        <v>1370</v>
      </c>
      <c r="AB917" s="73">
        <v>0</v>
      </c>
      <c r="AC917" s="73">
        <v>0</v>
      </c>
      <c r="AD917" s="73">
        <v>0</v>
      </c>
      <c r="AE917" s="73">
        <v>0</v>
      </c>
      <c r="AF917" s="74">
        <f>tblData[[#This Row],[Gross Sales]]+tblData[[#This Row],[Trade Discounts]]+tblData[[#This Row],[Returns]]</f>
        <v>1152</v>
      </c>
      <c r="AG917" s="74">
        <f>tblData[[#This Row],[Material Cost]]+tblData[[#This Row],[Conversion Cost]]+tblData[[#This Row],[Inbound Freight]]</f>
        <v>-447</v>
      </c>
      <c r="AH917" s="74">
        <f>tblData[[#This Row],[Net Revenue]]+tblData[[#This Row],[COGS]]</f>
        <v>705</v>
      </c>
      <c r="AI917" s="74">
        <f>tblData[[#This Row],[Advertising]]+tblData[[#This Row],[Promotions]]</f>
        <v>-149</v>
      </c>
      <c r="AJ917" s="74">
        <f>tblData[[#This Row],[Outbound Logistics]]+tblData[[#This Row],[Direct Selling]]</f>
        <v>-129</v>
      </c>
      <c r="AK917" s="74">
        <f>tblData[[#This Row],[Gross Profit]]+tblData[[#This Row],[AP Spend]]+tblData[[#This Row],[Cost to Serve]]</f>
        <v>427</v>
      </c>
    </row>
    <row r="918" spans="2:37" x14ac:dyDescent="0.25">
      <c r="B918" s="71" t="s">
        <v>50</v>
      </c>
      <c r="C918" s="71">
        <v>2026</v>
      </c>
      <c r="D918" s="71">
        <v>12</v>
      </c>
      <c r="E918" s="71" t="s">
        <v>46</v>
      </c>
      <c r="F918" s="71" t="s">
        <v>42</v>
      </c>
      <c r="G918" s="72">
        <v>161.30000000000001</v>
      </c>
      <c r="H918" s="73">
        <v>968</v>
      </c>
      <c r="I918" s="73">
        <v>-106</v>
      </c>
      <c r="J918" s="73">
        <v>-39</v>
      </c>
      <c r="K918" s="73">
        <v>-307</v>
      </c>
      <c r="L918" s="73">
        <v>-77</v>
      </c>
      <c r="M918" s="73">
        <v>-43</v>
      </c>
      <c r="N918" s="73">
        <v>-19</v>
      </c>
      <c r="O918" s="73">
        <v>-10</v>
      </c>
      <c r="P918" s="73">
        <v>-73</v>
      </c>
      <c r="Q918" s="73">
        <v>-19</v>
      </c>
      <c r="R918" s="73">
        <v>0</v>
      </c>
      <c r="S918" s="73">
        <v>0</v>
      </c>
      <c r="T918" s="73">
        <v>0</v>
      </c>
      <c r="U918" s="73">
        <v>0</v>
      </c>
      <c r="V918" s="73">
        <v>0</v>
      </c>
      <c r="W918" s="73">
        <v>0</v>
      </c>
      <c r="X918" s="73">
        <v>0</v>
      </c>
      <c r="Y918" s="73">
        <v>0</v>
      </c>
      <c r="Z918" s="73">
        <v>700</v>
      </c>
      <c r="AA918" s="73">
        <v>1594</v>
      </c>
      <c r="AB918" s="73">
        <v>0</v>
      </c>
      <c r="AC918" s="73">
        <v>0</v>
      </c>
      <c r="AD918" s="73">
        <v>0</v>
      </c>
      <c r="AE918" s="73">
        <v>0</v>
      </c>
      <c r="AF918" s="74">
        <f>tblData[[#This Row],[Gross Sales]]+tblData[[#This Row],[Trade Discounts]]+tblData[[#This Row],[Returns]]</f>
        <v>823</v>
      </c>
      <c r="AG918" s="74">
        <f>tblData[[#This Row],[Material Cost]]+tblData[[#This Row],[Conversion Cost]]+tblData[[#This Row],[Inbound Freight]]</f>
        <v>-427</v>
      </c>
      <c r="AH918" s="74">
        <f>tblData[[#This Row],[Net Revenue]]+tblData[[#This Row],[COGS]]</f>
        <v>396</v>
      </c>
      <c r="AI918" s="74">
        <f>tblData[[#This Row],[Advertising]]+tblData[[#This Row],[Promotions]]</f>
        <v>-29</v>
      </c>
      <c r="AJ918" s="74">
        <f>tblData[[#This Row],[Outbound Logistics]]+tblData[[#This Row],[Direct Selling]]</f>
        <v>-92</v>
      </c>
      <c r="AK918" s="74">
        <f>tblData[[#This Row],[Gross Profit]]+tblData[[#This Row],[AP Spend]]+tblData[[#This Row],[Cost to Serve]]</f>
        <v>275</v>
      </c>
    </row>
    <row r="919" spans="2:37" x14ac:dyDescent="0.25">
      <c r="B919" s="71" t="s">
        <v>50</v>
      </c>
      <c r="C919" s="71">
        <v>2026</v>
      </c>
      <c r="D919" s="71">
        <v>12</v>
      </c>
      <c r="E919" s="71" t="s">
        <v>46</v>
      </c>
      <c r="F919" s="71" t="s">
        <v>43</v>
      </c>
      <c r="G919" s="72">
        <v>32.299999999999997</v>
      </c>
      <c r="H919" s="73">
        <v>581</v>
      </c>
      <c r="I919" s="73">
        <v>-64</v>
      </c>
      <c r="J919" s="73">
        <v>-23</v>
      </c>
      <c r="K919" s="73">
        <v>-159</v>
      </c>
      <c r="L919" s="73">
        <v>-40</v>
      </c>
      <c r="M919" s="73">
        <v>-22</v>
      </c>
      <c r="N919" s="73">
        <v>-53</v>
      </c>
      <c r="O919" s="73">
        <v>-28</v>
      </c>
      <c r="P919" s="73">
        <v>-44</v>
      </c>
      <c r="Q919" s="73">
        <v>-12</v>
      </c>
      <c r="R919" s="73">
        <v>0</v>
      </c>
      <c r="S919" s="73">
        <v>0</v>
      </c>
      <c r="T919" s="73">
        <v>0</v>
      </c>
      <c r="U919" s="73">
        <v>0</v>
      </c>
      <c r="V919" s="73">
        <v>0</v>
      </c>
      <c r="W919" s="73">
        <v>0</v>
      </c>
      <c r="X919" s="73">
        <v>0</v>
      </c>
      <c r="Y919" s="73">
        <v>0</v>
      </c>
      <c r="Z919" s="73">
        <v>420</v>
      </c>
      <c r="AA919" s="73">
        <v>901</v>
      </c>
      <c r="AB919" s="73">
        <v>0</v>
      </c>
      <c r="AC919" s="73">
        <v>0</v>
      </c>
      <c r="AD919" s="73">
        <v>0</v>
      </c>
      <c r="AE919" s="73">
        <v>0</v>
      </c>
      <c r="AF919" s="74">
        <f>tblData[[#This Row],[Gross Sales]]+tblData[[#This Row],[Trade Discounts]]+tblData[[#This Row],[Returns]]</f>
        <v>494</v>
      </c>
      <c r="AG919" s="74">
        <f>tblData[[#This Row],[Material Cost]]+tblData[[#This Row],[Conversion Cost]]+tblData[[#This Row],[Inbound Freight]]</f>
        <v>-221</v>
      </c>
      <c r="AH919" s="74">
        <f>tblData[[#This Row],[Net Revenue]]+tblData[[#This Row],[COGS]]</f>
        <v>273</v>
      </c>
      <c r="AI919" s="74">
        <f>tblData[[#This Row],[Advertising]]+tblData[[#This Row],[Promotions]]</f>
        <v>-81</v>
      </c>
      <c r="AJ919" s="74">
        <f>tblData[[#This Row],[Outbound Logistics]]+tblData[[#This Row],[Direct Selling]]</f>
        <v>-56</v>
      </c>
      <c r="AK919" s="74">
        <f>tblData[[#This Row],[Gross Profit]]+tblData[[#This Row],[AP Spend]]+tblData[[#This Row],[Cost to Serve]]</f>
        <v>136</v>
      </c>
    </row>
    <row r="920" spans="2:37" x14ac:dyDescent="0.25">
      <c r="B920" s="71" t="s">
        <v>50</v>
      </c>
      <c r="C920" s="71">
        <v>2026</v>
      </c>
      <c r="D920" s="71">
        <v>12</v>
      </c>
      <c r="E920" s="71" t="s">
        <v>47</v>
      </c>
      <c r="F920" s="71" t="s">
        <v>38</v>
      </c>
      <c r="G920" s="72">
        <v>72.599999999999994</v>
      </c>
      <c r="H920" s="73">
        <v>1016</v>
      </c>
      <c r="I920" s="73">
        <v>-30</v>
      </c>
      <c r="J920" s="73">
        <v>-51</v>
      </c>
      <c r="K920" s="73">
        <v>-219</v>
      </c>
      <c r="L920" s="73">
        <v>-55</v>
      </c>
      <c r="M920" s="73">
        <v>-30</v>
      </c>
      <c r="N920" s="73">
        <v>-59</v>
      </c>
      <c r="O920" s="73">
        <v>-32</v>
      </c>
      <c r="P920" s="73">
        <v>-122</v>
      </c>
      <c r="Q920" s="73">
        <v>-41</v>
      </c>
      <c r="R920" s="73">
        <v>0</v>
      </c>
      <c r="S920" s="73">
        <v>0</v>
      </c>
      <c r="T920" s="73">
        <v>0</v>
      </c>
      <c r="U920" s="73">
        <v>0</v>
      </c>
      <c r="V920" s="73">
        <v>0</v>
      </c>
      <c r="W920" s="73">
        <v>0</v>
      </c>
      <c r="X920" s="73">
        <v>0</v>
      </c>
      <c r="Y920" s="73">
        <v>0</v>
      </c>
      <c r="Z920" s="73">
        <v>95</v>
      </c>
      <c r="AA920" s="73">
        <v>986</v>
      </c>
      <c r="AB920" s="73">
        <v>0</v>
      </c>
      <c r="AC920" s="73">
        <v>0</v>
      </c>
      <c r="AD920" s="73">
        <v>0</v>
      </c>
      <c r="AE920" s="73">
        <v>0</v>
      </c>
      <c r="AF920" s="74">
        <f>tblData[[#This Row],[Gross Sales]]+tblData[[#This Row],[Trade Discounts]]+tblData[[#This Row],[Returns]]</f>
        <v>935</v>
      </c>
      <c r="AG920" s="74">
        <f>tblData[[#This Row],[Material Cost]]+tblData[[#This Row],[Conversion Cost]]+tblData[[#This Row],[Inbound Freight]]</f>
        <v>-304</v>
      </c>
      <c r="AH920" s="74">
        <f>tblData[[#This Row],[Net Revenue]]+tblData[[#This Row],[COGS]]</f>
        <v>631</v>
      </c>
      <c r="AI920" s="74">
        <f>tblData[[#This Row],[Advertising]]+tblData[[#This Row],[Promotions]]</f>
        <v>-91</v>
      </c>
      <c r="AJ920" s="74">
        <f>tblData[[#This Row],[Outbound Logistics]]+tblData[[#This Row],[Direct Selling]]</f>
        <v>-163</v>
      </c>
      <c r="AK920" s="74">
        <f>tblData[[#This Row],[Gross Profit]]+tblData[[#This Row],[AP Spend]]+tblData[[#This Row],[Cost to Serve]]</f>
        <v>377</v>
      </c>
    </row>
    <row r="921" spans="2:37" x14ac:dyDescent="0.25">
      <c r="B921" s="71" t="s">
        <v>50</v>
      </c>
      <c r="C921" s="71">
        <v>2026</v>
      </c>
      <c r="D921" s="71">
        <v>12</v>
      </c>
      <c r="E921" s="71" t="s">
        <v>47</v>
      </c>
      <c r="F921" s="71" t="s">
        <v>39</v>
      </c>
      <c r="G921" s="72">
        <v>96.8</v>
      </c>
      <c r="H921" s="73">
        <v>871</v>
      </c>
      <c r="I921" s="73">
        <v>-26</v>
      </c>
      <c r="J921" s="73">
        <v>-44</v>
      </c>
      <c r="K921" s="73">
        <v>-226</v>
      </c>
      <c r="L921" s="73">
        <v>-56</v>
      </c>
      <c r="M921" s="73">
        <v>-31</v>
      </c>
      <c r="N921" s="73">
        <v>-34</v>
      </c>
      <c r="O921" s="73">
        <v>-18</v>
      </c>
      <c r="P921" s="73">
        <v>-105</v>
      </c>
      <c r="Q921" s="73">
        <v>-35</v>
      </c>
      <c r="R921" s="73">
        <v>0</v>
      </c>
      <c r="S921" s="73">
        <v>0</v>
      </c>
      <c r="T921" s="73">
        <v>0</v>
      </c>
      <c r="U921" s="73">
        <v>0</v>
      </c>
      <c r="V921" s="73">
        <v>0</v>
      </c>
      <c r="W921" s="73">
        <v>0</v>
      </c>
      <c r="X921" s="73">
        <v>0</v>
      </c>
      <c r="Y921" s="73">
        <v>0</v>
      </c>
      <c r="Z921" s="73">
        <v>82</v>
      </c>
      <c r="AA921" s="73">
        <v>854</v>
      </c>
      <c r="AB921" s="73">
        <v>0</v>
      </c>
      <c r="AC921" s="73">
        <v>0</v>
      </c>
      <c r="AD921" s="73">
        <v>0</v>
      </c>
      <c r="AE921" s="73">
        <v>0</v>
      </c>
      <c r="AF921" s="74">
        <f>tblData[[#This Row],[Gross Sales]]+tblData[[#This Row],[Trade Discounts]]+tblData[[#This Row],[Returns]]</f>
        <v>801</v>
      </c>
      <c r="AG921" s="74">
        <f>tblData[[#This Row],[Material Cost]]+tblData[[#This Row],[Conversion Cost]]+tblData[[#This Row],[Inbound Freight]]</f>
        <v>-313</v>
      </c>
      <c r="AH921" s="74">
        <f>tblData[[#This Row],[Net Revenue]]+tblData[[#This Row],[COGS]]</f>
        <v>488</v>
      </c>
      <c r="AI921" s="74">
        <f>tblData[[#This Row],[Advertising]]+tblData[[#This Row],[Promotions]]</f>
        <v>-52</v>
      </c>
      <c r="AJ921" s="74">
        <f>tblData[[#This Row],[Outbound Logistics]]+tblData[[#This Row],[Direct Selling]]</f>
        <v>-140</v>
      </c>
      <c r="AK921" s="74">
        <f>tblData[[#This Row],[Gross Profit]]+tblData[[#This Row],[AP Spend]]+tblData[[#This Row],[Cost to Serve]]</f>
        <v>296</v>
      </c>
    </row>
    <row r="922" spans="2:37" x14ac:dyDescent="0.25">
      <c r="B922" s="71" t="s">
        <v>50</v>
      </c>
      <c r="C922" s="71">
        <v>2026</v>
      </c>
      <c r="D922" s="71">
        <v>12</v>
      </c>
      <c r="E922" s="71" t="s">
        <v>47</v>
      </c>
      <c r="F922" s="71" t="s">
        <v>40</v>
      </c>
      <c r="G922" s="72">
        <v>93.3</v>
      </c>
      <c r="H922" s="73">
        <v>653</v>
      </c>
      <c r="I922" s="73">
        <v>-20</v>
      </c>
      <c r="J922" s="73">
        <v>-33</v>
      </c>
      <c r="K922" s="73">
        <v>-188</v>
      </c>
      <c r="L922" s="73">
        <v>-47</v>
      </c>
      <c r="M922" s="73">
        <v>-26</v>
      </c>
      <c r="N922" s="73">
        <v>-17</v>
      </c>
      <c r="O922" s="73">
        <v>-9</v>
      </c>
      <c r="P922" s="73">
        <v>-78</v>
      </c>
      <c r="Q922" s="73">
        <v>-26</v>
      </c>
      <c r="R922" s="73">
        <v>0</v>
      </c>
      <c r="S922" s="73">
        <v>0</v>
      </c>
      <c r="T922" s="73">
        <v>0</v>
      </c>
      <c r="U922" s="73">
        <v>0</v>
      </c>
      <c r="V922" s="73">
        <v>0</v>
      </c>
      <c r="W922" s="73">
        <v>0</v>
      </c>
      <c r="X922" s="73">
        <v>0</v>
      </c>
      <c r="Y922" s="73">
        <v>0</v>
      </c>
      <c r="Z922" s="73">
        <v>61</v>
      </c>
      <c r="AA922" s="73">
        <v>667</v>
      </c>
      <c r="AB922" s="73">
        <v>0</v>
      </c>
      <c r="AC922" s="73">
        <v>0</v>
      </c>
      <c r="AD922" s="73">
        <v>0</v>
      </c>
      <c r="AE922" s="73">
        <v>0</v>
      </c>
      <c r="AF922" s="74">
        <f>tblData[[#This Row],[Gross Sales]]+tblData[[#This Row],[Trade Discounts]]+tblData[[#This Row],[Returns]]</f>
        <v>600</v>
      </c>
      <c r="AG922" s="74">
        <f>tblData[[#This Row],[Material Cost]]+tblData[[#This Row],[Conversion Cost]]+tblData[[#This Row],[Inbound Freight]]</f>
        <v>-261</v>
      </c>
      <c r="AH922" s="74">
        <f>tblData[[#This Row],[Net Revenue]]+tblData[[#This Row],[COGS]]</f>
        <v>339</v>
      </c>
      <c r="AI922" s="74">
        <f>tblData[[#This Row],[Advertising]]+tblData[[#This Row],[Promotions]]</f>
        <v>-26</v>
      </c>
      <c r="AJ922" s="74">
        <f>tblData[[#This Row],[Outbound Logistics]]+tblData[[#This Row],[Direct Selling]]</f>
        <v>-104</v>
      </c>
      <c r="AK922" s="74">
        <f>tblData[[#This Row],[Gross Profit]]+tblData[[#This Row],[AP Spend]]+tblData[[#This Row],[Cost to Serve]]</f>
        <v>209</v>
      </c>
    </row>
    <row r="923" spans="2:37" x14ac:dyDescent="0.25">
      <c r="B923" s="71" t="s">
        <v>50</v>
      </c>
      <c r="C923" s="71">
        <v>2026</v>
      </c>
      <c r="D923" s="71">
        <v>12</v>
      </c>
      <c r="E923" s="71" t="s">
        <v>47</v>
      </c>
      <c r="F923" s="71" t="s">
        <v>41</v>
      </c>
      <c r="G923" s="72">
        <v>46.2</v>
      </c>
      <c r="H923" s="73">
        <v>508</v>
      </c>
      <c r="I923" s="73">
        <v>-15</v>
      </c>
      <c r="J923" s="73">
        <v>-25</v>
      </c>
      <c r="K923" s="73">
        <v>-121</v>
      </c>
      <c r="L923" s="73">
        <v>-30</v>
      </c>
      <c r="M923" s="73">
        <v>-17</v>
      </c>
      <c r="N923" s="73">
        <v>-36</v>
      </c>
      <c r="O923" s="73">
        <v>-20</v>
      </c>
      <c r="P923" s="73">
        <v>-61</v>
      </c>
      <c r="Q923" s="73">
        <v>-20</v>
      </c>
      <c r="R923" s="73">
        <v>0</v>
      </c>
      <c r="S923" s="73">
        <v>0</v>
      </c>
      <c r="T923" s="73">
        <v>0</v>
      </c>
      <c r="U923" s="73">
        <v>0</v>
      </c>
      <c r="V923" s="73">
        <v>0</v>
      </c>
      <c r="W923" s="73">
        <v>0</v>
      </c>
      <c r="X923" s="73">
        <v>0</v>
      </c>
      <c r="Y923" s="73">
        <v>0</v>
      </c>
      <c r="Z923" s="73">
        <v>48</v>
      </c>
      <c r="AA923" s="73">
        <v>514</v>
      </c>
      <c r="AB923" s="73">
        <v>0</v>
      </c>
      <c r="AC923" s="73">
        <v>0</v>
      </c>
      <c r="AD923" s="73">
        <v>0</v>
      </c>
      <c r="AE923" s="73">
        <v>0</v>
      </c>
      <c r="AF923" s="74">
        <f>tblData[[#This Row],[Gross Sales]]+tblData[[#This Row],[Trade Discounts]]+tblData[[#This Row],[Returns]]</f>
        <v>468</v>
      </c>
      <c r="AG923" s="74">
        <f>tblData[[#This Row],[Material Cost]]+tblData[[#This Row],[Conversion Cost]]+tblData[[#This Row],[Inbound Freight]]</f>
        <v>-168</v>
      </c>
      <c r="AH923" s="74">
        <f>tblData[[#This Row],[Net Revenue]]+tblData[[#This Row],[COGS]]</f>
        <v>300</v>
      </c>
      <c r="AI923" s="74">
        <f>tblData[[#This Row],[Advertising]]+tblData[[#This Row],[Promotions]]</f>
        <v>-56</v>
      </c>
      <c r="AJ923" s="74">
        <f>tblData[[#This Row],[Outbound Logistics]]+tblData[[#This Row],[Direct Selling]]</f>
        <v>-81</v>
      </c>
      <c r="AK923" s="74">
        <f>tblData[[#This Row],[Gross Profit]]+tblData[[#This Row],[AP Spend]]+tblData[[#This Row],[Cost to Serve]]</f>
        <v>163</v>
      </c>
    </row>
    <row r="924" spans="2:37" x14ac:dyDescent="0.25">
      <c r="B924" s="71" t="s">
        <v>50</v>
      </c>
      <c r="C924" s="71">
        <v>2026</v>
      </c>
      <c r="D924" s="71">
        <v>12</v>
      </c>
      <c r="E924" s="71" t="s">
        <v>47</v>
      </c>
      <c r="F924" s="71" t="s">
        <v>42</v>
      </c>
      <c r="G924" s="72">
        <v>60.5</v>
      </c>
      <c r="H924" s="73">
        <v>363</v>
      </c>
      <c r="I924" s="73">
        <v>-11</v>
      </c>
      <c r="J924" s="73">
        <v>-18</v>
      </c>
      <c r="K924" s="73">
        <v>-115</v>
      </c>
      <c r="L924" s="73">
        <v>-29</v>
      </c>
      <c r="M924" s="73">
        <v>-16</v>
      </c>
      <c r="N924" s="73">
        <v>-7</v>
      </c>
      <c r="O924" s="73">
        <v>-4</v>
      </c>
      <c r="P924" s="73">
        <v>-44</v>
      </c>
      <c r="Q924" s="73">
        <v>-15</v>
      </c>
      <c r="R924" s="73">
        <v>0</v>
      </c>
      <c r="S924" s="73">
        <v>0</v>
      </c>
      <c r="T924" s="73">
        <v>0</v>
      </c>
      <c r="U924" s="73">
        <v>0</v>
      </c>
      <c r="V924" s="73">
        <v>0</v>
      </c>
      <c r="W924" s="73">
        <v>0</v>
      </c>
      <c r="X924" s="73">
        <v>0</v>
      </c>
      <c r="Y924" s="73">
        <v>0</v>
      </c>
      <c r="Z924" s="73">
        <v>34</v>
      </c>
      <c r="AA924" s="73">
        <v>598</v>
      </c>
      <c r="AB924" s="73">
        <v>0</v>
      </c>
      <c r="AC924" s="73">
        <v>0</v>
      </c>
      <c r="AD924" s="73">
        <v>0</v>
      </c>
      <c r="AE924" s="73">
        <v>0</v>
      </c>
      <c r="AF924" s="74">
        <f>tblData[[#This Row],[Gross Sales]]+tblData[[#This Row],[Trade Discounts]]+tblData[[#This Row],[Returns]]</f>
        <v>334</v>
      </c>
      <c r="AG924" s="74">
        <f>tblData[[#This Row],[Material Cost]]+tblData[[#This Row],[Conversion Cost]]+tblData[[#This Row],[Inbound Freight]]</f>
        <v>-160</v>
      </c>
      <c r="AH924" s="74">
        <f>tblData[[#This Row],[Net Revenue]]+tblData[[#This Row],[COGS]]</f>
        <v>174</v>
      </c>
      <c r="AI924" s="74">
        <f>tblData[[#This Row],[Advertising]]+tblData[[#This Row],[Promotions]]</f>
        <v>-11</v>
      </c>
      <c r="AJ924" s="74">
        <f>tblData[[#This Row],[Outbound Logistics]]+tblData[[#This Row],[Direct Selling]]</f>
        <v>-59</v>
      </c>
      <c r="AK924" s="74">
        <f>tblData[[#This Row],[Gross Profit]]+tblData[[#This Row],[AP Spend]]+tblData[[#This Row],[Cost to Serve]]</f>
        <v>104</v>
      </c>
    </row>
    <row r="925" spans="2:37" x14ac:dyDescent="0.25">
      <c r="B925" s="71" t="s">
        <v>50</v>
      </c>
      <c r="C925" s="71">
        <v>2026</v>
      </c>
      <c r="D925" s="71">
        <v>12</v>
      </c>
      <c r="E925" s="71" t="s">
        <v>47</v>
      </c>
      <c r="F925" s="71" t="s">
        <v>43</v>
      </c>
      <c r="G925" s="72">
        <v>12.1</v>
      </c>
      <c r="H925" s="73">
        <v>218</v>
      </c>
      <c r="I925" s="73">
        <v>-7</v>
      </c>
      <c r="J925" s="73">
        <v>-11</v>
      </c>
      <c r="K925" s="73">
        <v>-60</v>
      </c>
      <c r="L925" s="73">
        <v>-15</v>
      </c>
      <c r="M925" s="73">
        <v>-8</v>
      </c>
      <c r="N925" s="73">
        <v>-20</v>
      </c>
      <c r="O925" s="73">
        <v>-11</v>
      </c>
      <c r="P925" s="73">
        <v>-26</v>
      </c>
      <c r="Q925" s="73">
        <v>-9</v>
      </c>
      <c r="R925" s="73">
        <v>0</v>
      </c>
      <c r="S925" s="73">
        <v>0</v>
      </c>
      <c r="T925" s="73">
        <v>0</v>
      </c>
      <c r="U925" s="73">
        <v>0</v>
      </c>
      <c r="V925" s="73">
        <v>0</v>
      </c>
      <c r="W925" s="73">
        <v>0</v>
      </c>
      <c r="X925" s="73">
        <v>0</v>
      </c>
      <c r="Y925" s="73">
        <v>0</v>
      </c>
      <c r="Z925" s="73">
        <v>20</v>
      </c>
      <c r="AA925" s="73">
        <v>338</v>
      </c>
      <c r="AB925" s="73">
        <v>0</v>
      </c>
      <c r="AC925" s="73">
        <v>0</v>
      </c>
      <c r="AD925" s="73">
        <v>0</v>
      </c>
      <c r="AE925" s="73">
        <v>0</v>
      </c>
      <c r="AF925" s="74">
        <f>tblData[[#This Row],[Gross Sales]]+tblData[[#This Row],[Trade Discounts]]+tblData[[#This Row],[Returns]]</f>
        <v>200</v>
      </c>
      <c r="AG925" s="74">
        <f>tblData[[#This Row],[Material Cost]]+tblData[[#This Row],[Conversion Cost]]+tblData[[#This Row],[Inbound Freight]]</f>
        <v>-83</v>
      </c>
      <c r="AH925" s="74">
        <f>tblData[[#This Row],[Net Revenue]]+tblData[[#This Row],[COGS]]</f>
        <v>117</v>
      </c>
      <c r="AI925" s="74">
        <f>tblData[[#This Row],[Advertising]]+tblData[[#This Row],[Promotions]]</f>
        <v>-31</v>
      </c>
      <c r="AJ925" s="74">
        <f>tblData[[#This Row],[Outbound Logistics]]+tblData[[#This Row],[Direct Selling]]</f>
        <v>-35</v>
      </c>
      <c r="AK925" s="74">
        <f>tblData[[#This Row],[Gross Profit]]+tblData[[#This Row],[AP Spend]]+tblData[[#This Row],[Cost to Serve]]</f>
        <v>51</v>
      </c>
    </row>
    <row r="926" spans="2:37" x14ac:dyDescent="0.25">
      <c r="B926" s="71" t="s">
        <v>50</v>
      </c>
      <c r="C926" s="71">
        <v>2026</v>
      </c>
      <c r="D926" s="71">
        <v>12</v>
      </c>
      <c r="E926" s="71" t="s">
        <v>48</v>
      </c>
      <c r="F926" s="71" t="s">
        <v>38</v>
      </c>
      <c r="G926" s="72">
        <v>121</v>
      </c>
      <c r="H926" s="73">
        <v>1693</v>
      </c>
      <c r="I926" s="73">
        <v>-152</v>
      </c>
      <c r="J926" s="73">
        <v>-17</v>
      </c>
      <c r="K926" s="73">
        <v>-366</v>
      </c>
      <c r="L926" s="73">
        <v>-91</v>
      </c>
      <c r="M926" s="73">
        <v>-51</v>
      </c>
      <c r="N926" s="73">
        <v>-99</v>
      </c>
      <c r="O926" s="73">
        <v>-53</v>
      </c>
      <c r="P926" s="73">
        <v>-51</v>
      </c>
      <c r="Q926" s="73">
        <v>-25</v>
      </c>
      <c r="R926" s="73">
        <v>0</v>
      </c>
      <c r="S926" s="73">
        <v>0</v>
      </c>
      <c r="T926" s="73">
        <v>0</v>
      </c>
      <c r="U926" s="73">
        <v>0</v>
      </c>
      <c r="V926" s="73">
        <v>0</v>
      </c>
      <c r="W926" s="73">
        <v>0</v>
      </c>
      <c r="X926" s="73">
        <v>0</v>
      </c>
      <c r="Y926" s="73">
        <v>0</v>
      </c>
      <c r="Z926" s="73">
        <v>3631</v>
      </c>
      <c r="AA926" s="73">
        <v>1643</v>
      </c>
      <c r="AB926" s="73">
        <v>0</v>
      </c>
      <c r="AC926" s="73">
        <v>0</v>
      </c>
      <c r="AD926" s="73">
        <v>0</v>
      </c>
      <c r="AE926" s="73">
        <v>0</v>
      </c>
      <c r="AF926" s="74">
        <f>tblData[[#This Row],[Gross Sales]]+tblData[[#This Row],[Trade Discounts]]+tblData[[#This Row],[Returns]]</f>
        <v>1524</v>
      </c>
      <c r="AG926" s="74">
        <f>tblData[[#This Row],[Material Cost]]+tblData[[#This Row],[Conversion Cost]]+tblData[[#This Row],[Inbound Freight]]</f>
        <v>-508</v>
      </c>
      <c r="AH926" s="74">
        <f>tblData[[#This Row],[Net Revenue]]+tblData[[#This Row],[COGS]]</f>
        <v>1016</v>
      </c>
      <c r="AI926" s="74">
        <f>tblData[[#This Row],[Advertising]]+tblData[[#This Row],[Promotions]]</f>
        <v>-152</v>
      </c>
      <c r="AJ926" s="74">
        <f>tblData[[#This Row],[Outbound Logistics]]+tblData[[#This Row],[Direct Selling]]</f>
        <v>-76</v>
      </c>
      <c r="AK926" s="74">
        <f>tblData[[#This Row],[Gross Profit]]+tblData[[#This Row],[AP Spend]]+tblData[[#This Row],[Cost to Serve]]</f>
        <v>788</v>
      </c>
    </row>
    <row r="927" spans="2:37" x14ac:dyDescent="0.25">
      <c r="B927" s="71" t="s">
        <v>50</v>
      </c>
      <c r="C927" s="71">
        <v>2026</v>
      </c>
      <c r="D927" s="71">
        <v>12</v>
      </c>
      <c r="E927" s="71" t="s">
        <v>48</v>
      </c>
      <c r="F927" s="71" t="s">
        <v>39</v>
      </c>
      <c r="G927" s="72">
        <v>161.30000000000001</v>
      </c>
      <c r="H927" s="73">
        <v>1452</v>
      </c>
      <c r="I927" s="73">
        <v>-131</v>
      </c>
      <c r="J927" s="73">
        <v>-15</v>
      </c>
      <c r="K927" s="73">
        <v>-376</v>
      </c>
      <c r="L927" s="73">
        <v>-94</v>
      </c>
      <c r="M927" s="73">
        <v>-52</v>
      </c>
      <c r="N927" s="73">
        <v>-57</v>
      </c>
      <c r="O927" s="73">
        <v>-30</v>
      </c>
      <c r="P927" s="73">
        <v>-44</v>
      </c>
      <c r="Q927" s="73">
        <v>-22</v>
      </c>
      <c r="R927" s="73">
        <v>0</v>
      </c>
      <c r="S927" s="73">
        <v>0</v>
      </c>
      <c r="T927" s="73">
        <v>0</v>
      </c>
      <c r="U927" s="73">
        <v>0</v>
      </c>
      <c r="V927" s="73">
        <v>0</v>
      </c>
      <c r="W927" s="73">
        <v>0</v>
      </c>
      <c r="X927" s="73">
        <v>0</v>
      </c>
      <c r="Y927" s="73">
        <v>0</v>
      </c>
      <c r="Z927" s="73">
        <v>3113</v>
      </c>
      <c r="AA927" s="73">
        <v>1423</v>
      </c>
      <c r="AB927" s="73">
        <v>0</v>
      </c>
      <c r="AC927" s="73">
        <v>0</v>
      </c>
      <c r="AD927" s="73">
        <v>0</v>
      </c>
      <c r="AE927" s="73">
        <v>0</v>
      </c>
      <c r="AF927" s="74">
        <f>tblData[[#This Row],[Gross Sales]]+tblData[[#This Row],[Trade Discounts]]+tblData[[#This Row],[Returns]]</f>
        <v>1306</v>
      </c>
      <c r="AG927" s="74">
        <f>tblData[[#This Row],[Material Cost]]+tblData[[#This Row],[Conversion Cost]]+tblData[[#This Row],[Inbound Freight]]</f>
        <v>-522</v>
      </c>
      <c r="AH927" s="74">
        <f>tblData[[#This Row],[Net Revenue]]+tblData[[#This Row],[COGS]]</f>
        <v>784</v>
      </c>
      <c r="AI927" s="74">
        <f>tblData[[#This Row],[Advertising]]+tblData[[#This Row],[Promotions]]</f>
        <v>-87</v>
      </c>
      <c r="AJ927" s="74">
        <f>tblData[[#This Row],[Outbound Logistics]]+tblData[[#This Row],[Direct Selling]]</f>
        <v>-66</v>
      </c>
      <c r="AK927" s="74">
        <f>tblData[[#This Row],[Gross Profit]]+tblData[[#This Row],[AP Spend]]+tblData[[#This Row],[Cost to Serve]]</f>
        <v>631</v>
      </c>
    </row>
    <row r="928" spans="2:37" x14ac:dyDescent="0.25">
      <c r="B928" s="71" t="s">
        <v>50</v>
      </c>
      <c r="C928" s="71">
        <v>2026</v>
      </c>
      <c r="D928" s="71">
        <v>12</v>
      </c>
      <c r="E928" s="71" t="s">
        <v>48</v>
      </c>
      <c r="F928" s="71" t="s">
        <v>40</v>
      </c>
      <c r="G928" s="72">
        <v>155.5</v>
      </c>
      <c r="H928" s="73">
        <v>1089</v>
      </c>
      <c r="I928" s="73">
        <v>-98</v>
      </c>
      <c r="J928" s="73">
        <v>-11</v>
      </c>
      <c r="K928" s="73">
        <v>-314</v>
      </c>
      <c r="L928" s="73">
        <v>-78</v>
      </c>
      <c r="M928" s="73">
        <v>-44</v>
      </c>
      <c r="N928" s="73">
        <v>-28</v>
      </c>
      <c r="O928" s="73">
        <v>-15</v>
      </c>
      <c r="P928" s="73">
        <v>-33</v>
      </c>
      <c r="Q928" s="73">
        <v>-16</v>
      </c>
      <c r="R928" s="73">
        <v>0</v>
      </c>
      <c r="S928" s="73">
        <v>0</v>
      </c>
      <c r="T928" s="73">
        <v>0</v>
      </c>
      <c r="U928" s="73">
        <v>0</v>
      </c>
      <c r="V928" s="73">
        <v>0</v>
      </c>
      <c r="W928" s="73">
        <v>0</v>
      </c>
      <c r="X928" s="73">
        <v>0</v>
      </c>
      <c r="Y928" s="73">
        <v>0</v>
      </c>
      <c r="Z928" s="73">
        <v>2334</v>
      </c>
      <c r="AA928" s="73">
        <v>1112</v>
      </c>
      <c r="AB928" s="73">
        <v>0</v>
      </c>
      <c r="AC928" s="73">
        <v>0</v>
      </c>
      <c r="AD928" s="73">
        <v>0</v>
      </c>
      <c r="AE928" s="73">
        <v>0</v>
      </c>
      <c r="AF928" s="74">
        <f>tblData[[#This Row],[Gross Sales]]+tblData[[#This Row],[Trade Discounts]]+tblData[[#This Row],[Returns]]</f>
        <v>980</v>
      </c>
      <c r="AG928" s="74">
        <f>tblData[[#This Row],[Material Cost]]+tblData[[#This Row],[Conversion Cost]]+tblData[[#This Row],[Inbound Freight]]</f>
        <v>-436</v>
      </c>
      <c r="AH928" s="74">
        <f>tblData[[#This Row],[Net Revenue]]+tblData[[#This Row],[COGS]]</f>
        <v>544</v>
      </c>
      <c r="AI928" s="74">
        <f>tblData[[#This Row],[Advertising]]+tblData[[#This Row],[Promotions]]</f>
        <v>-43</v>
      </c>
      <c r="AJ928" s="74">
        <f>tblData[[#This Row],[Outbound Logistics]]+tblData[[#This Row],[Direct Selling]]</f>
        <v>-49</v>
      </c>
      <c r="AK928" s="74">
        <f>tblData[[#This Row],[Gross Profit]]+tblData[[#This Row],[AP Spend]]+tblData[[#This Row],[Cost to Serve]]</f>
        <v>452</v>
      </c>
    </row>
    <row r="929" spans="2:37" x14ac:dyDescent="0.25">
      <c r="B929" s="71" t="s">
        <v>50</v>
      </c>
      <c r="C929" s="71">
        <v>2026</v>
      </c>
      <c r="D929" s="71">
        <v>12</v>
      </c>
      <c r="E929" s="71" t="s">
        <v>48</v>
      </c>
      <c r="F929" s="71" t="s">
        <v>41</v>
      </c>
      <c r="G929" s="72">
        <v>77</v>
      </c>
      <c r="H929" s="73">
        <v>847</v>
      </c>
      <c r="I929" s="73">
        <v>-76</v>
      </c>
      <c r="J929" s="73">
        <v>-8</v>
      </c>
      <c r="K929" s="73">
        <v>-201</v>
      </c>
      <c r="L929" s="73">
        <v>-50</v>
      </c>
      <c r="M929" s="73">
        <v>-28</v>
      </c>
      <c r="N929" s="73">
        <v>-61</v>
      </c>
      <c r="O929" s="73">
        <v>-33</v>
      </c>
      <c r="P929" s="73">
        <v>-25</v>
      </c>
      <c r="Q929" s="73">
        <v>-13</v>
      </c>
      <c r="R929" s="73">
        <v>0</v>
      </c>
      <c r="S929" s="73">
        <v>0</v>
      </c>
      <c r="T929" s="73">
        <v>0</v>
      </c>
      <c r="U929" s="73">
        <v>0</v>
      </c>
      <c r="V929" s="73">
        <v>0</v>
      </c>
      <c r="W929" s="73">
        <v>0</v>
      </c>
      <c r="X929" s="73">
        <v>0</v>
      </c>
      <c r="Y929" s="73">
        <v>0</v>
      </c>
      <c r="Z929" s="73">
        <v>1816</v>
      </c>
      <c r="AA929" s="73">
        <v>856</v>
      </c>
      <c r="AB929" s="73">
        <v>0</v>
      </c>
      <c r="AC929" s="73">
        <v>0</v>
      </c>
      <c r="AD929" s="73">
        <v>0</v>
      </c>
      <c r="AE929" s="73">
        <v>0</v>
      </c>
      <c r="AF929" s="74">
        <f>tblData[[#This Row],[Gross Sales]]+tblData[[#This Row],[Trade Discounts]]+tblData[[#This Row],[Returns]]</f>
        <v>763</v>
      </c>
      <c r="AG929" s="74">
        <f>tblData[[#This Row],[Material Cost]]+tblData[[#This Row],[Conversion Cost]]+tblData[[#This Row],[Inbound Freight]]</f>
        <v>-279</v>
      </c>
      <c r="AH929" s="74">
        <f>tblData[[#This Row],[Net Revenue]]+tblData[[#This Row],[COGS]]</f>
        <v>484</v>
      </c>
      <c r="AI929" s="74">
        <f>tblData[[#This Row],[Advertising]]+tblData[[#This Row],[Promotions]]</f>
        <v>-94</v>
      </c>
      <c r="AJ929" s="74">
        <f>tblData[[#This Row],[Outbound Logistics]]+tblData[[#This Row],[Direct Selling]]</f>
        <v>-38</v>
      </c>
      <c r="AK929" s="74">
        <f>tblData[[#This Row],[Gross Profit]]+tblData[[#This Row],[AP Spend]]+tblData[[#This Row],[Cost to Serve]]</f>
        <v>352</v>
      </c>
    </row>
    <row r="930" spans="2:37" x14ac:dyDescent="0.25">
      <c r="B930" s="71" t="s">
        <v>50</v>
      </c>
      <c r="C930" s="71">
        <v>2026</v>
      </c>
      <c r="D930" s="71">
        <v>12</v>
      </c>
      <c r="E930" s="71" t="s">
        <v>48</v>
      </c>
      <c r="F930" s="71" t="s">
        <v>42</v>
      </c>
      <c r="G930" s="72">
        <v>100.8</v>
      </c>
      <c r="H930" s="73">
        <v>605</v>
      </c>
      <c r="I930" s="73">
        <v>-54</v>
      </c>
      <c r="J930" s="73">
        <v>-6</v>
      </c>
      <c r="K930" s="73">
        <v>-192</v>
      </c>
      <c r="L930" s="73">
        <v>-48</v>
      </c>
      <c r="M930" s="73">
        <v>-27</v>
      </c>
      <c r="N930" s="73">
        <v>-12</v>
      </c>
      <c r="O930" s="73">
        <v>-6</v>
      </c>
      <c r="P930" s="73">
        <v>-18</v>
      </c>
      <c r="Q930" s="73">
        <v>-9</v>
      </c>
      <c r="R930" s="73">
        <v>0</v>
      </c>
      <c r="S930" s="73">
        <v>0</v>
      </c>
      <c r="T930" s="73">
        <v>0</v>
      </c>
      <c r="U930" s="73">
        <v>0</v>
      </c>
      <c r="V930" s="73">
        <v>0</v>
      </c>
      <c r="W930" s="73">
        <v>0</v>
      </c>
      <c r="X930" s="73">
        <v>0</v>
      </c>
      <c r="Y930" s="73">
        <v>0</v>
      </c>
      <c r="Z930" s="73">
        <v>1297</v>
      </c>
      <c r="AA930" s="73">
        <v>996</v>
      </c>
      <c r="AB930" s="73">
        <v>0</v>
      </c>
      <c r="AC930" s="73">
        <v>0</v>
      </c>
      <c r="AD930" s="73">
        <v>0</v>
      </c>
      <c r="AE930" s="73">
        <v>0</v>
      </c>
      <c r="AF930" s="74">
        <f>tblData[[#This Row],[Gross Sales]]+tblData[[#This Row],[Trade Discounts]]+tblData[[#This Row],[Returns]]</f>
        <v>545</v>
      </c>
      <c r="AG930" s="74">
        <f>tblData[[#This Row],[Material Cost]]+tblData[[#This Row],[Conversion Cost]]+tblData[[#This Row],[Inbound Freight]]</f>
        <v>-267</v>
      </c>
      <c r="AH930" s="74">
        <f>tblData[[#This Row],[Net Revenue]]+tblData[[#This Row],[COGS]]</f>
        <v>278</v>
      </c>
      <c r="AI930" s="74">
        <f>tblData[[#This Row],[Advertising]]+tblData[[#This Row],[Promotions]]</f>
        <v>-18</v>
      </c>
      <c r="AJ930" s="74">
        <f>tblData[[#This Row],[Outbound Logistics]]+tblData[[#This Row],[Direct Selling]]</f>
        <v>-27</v>
      </c>
      <c r="AK930" s="74">
        <f>tblData[[#This Row],[Gross Profit]]+tblData[[#This Row],[AP Spend]]+tblData[[#This Row],[Cost to Serve]]</f>
        <v>233</v>
      </c>
    </row>
    <row r="931" spans="2:37" x14ac:dyDescent="0.25">
      <c r="B931" s="71" t="s">
        <v>50</v>
      </c>
      <c r="C931" s="71">
        <v>2026</v>
      </c>
      <c r="D931" s="71">
        <v>12</v>
      </c>
      <c r="E931" s="71" t="s">
        <v>48</v>
      </c>
      <c r="F931" s="71" t="s">
        <v>43</v>
      </c>
      <c r="G931" s="72">
        <v>20.2</v>
      </c>
      <c r="H931" s="73">
        <v>363</v>
      </c>
      <c r="I931" s="73">
        <v>-33</v>
      </c>
      <c r="J931" s="73">
        <v>-4</v>
      </c>
      <c r="K931" s="73">
        <v>-99</v>
      </c>
      <c r="L931" s="73">
        <v>-25</v>
      </c>
      <c r="M931" s="73">
        <v>-14</v>
      </c>
      <c r="N931" s="73">
        <v>-33</v>
      </c>
      <c r="O931" s="73">
        <v>-18</v>
      </c>
      <c r="P931" s="73">
        <v>-11</v>
      </c>
      <c r="Q931" s="73">
        <v>-5</v>
      </c>
      <c r="R931" s="73">
        <v>0</v>
      </c>
      <c r="S931" s="73">
        <v>0</v>
      </c>
      <c r="T931" s="73">
        <v>0</v>
      </c>
      <c r="U931" s="73">
        <v>0</v>
      </c>
      <c r="V931" s="73">
        <v>0</v>
      </c>
      <c r="W931" s="73">
        <v>0</v>
      </c>
      <c r="X931" s="73">
        <v>0</v>
      </c>
      <c r="Y931" s="73">
        <v>0</v>
      </c>
      <c r="Z931" s="73">
        <v>778</v>
      </c>
      <c r="AA931" s="73">
        <v>563</v>
      </c>
      <c r="AB931" s="73">
        <v>0</v>
      </c>
      <c r="AC931" s="73">
        <v>0</v>
      </c>
      <c r="AD931" s="73">
        <v>0</v>
      </c>
      <c r="AE931" s="73">
        <v>0</v>
      </c>
      <c r="AF931" s="74">
        <f>tblData[[#This Row],[Gross Sales]]+tblData[[#This Row],[Trade Discounts]]+tblData[[#This Row],[Returns]]</f>
        <v>326</v>
      </c>
      <c r="AG931" s="74">
        <f>tblData[[#This Row],[Material Cost]]+tblData[[#This Row],[Conversion Cost]]+tblData[[#This Row],[Inbound Freight]]</f>
        <v>-138</v>
      </c>
      <c r="AH931" s="74">
        <f>tblData[[#This Row],[Net Revenue]]+tblData[[#This Row],[COGS]]</f>
        <v>188</v>
      </c>
      <c r="AI931" s="74">
        <f>tblData[[#This Row],[Advertising]]+tblData[[#This Row],[Promotions]]</f>
        <v>-51</v>
      </c>
      <c r="AJ931" s="74">
        <f>tblData[[#This Row],[Outbound Logistics]]+tblData[[#This Row],[Direct Selling]]</f>
        <v>-16</v>
      </c>
      <c r="AK931" s="74">
        <f>tblData[[#This Row],[Gross Profit]]+tblData[[#This Row],[AP Spend]]+tblData[[#This Row],[Cost to Serve]]</f>
        <v>121</v>
      </c>
    </row>
    <row r="932" spans="2:37" x14ac:dyDescent="0.25">
      <c r="B932" s="71" t="s">
        <v>50</v>
      </c>
      <c r="C932" s="71">
        <v>2026</v>
      </c>
      <c r="D932" s="71">
        <v>12</v>
      </c>
      <c r="E932" s="71" t="s">
        <v>49</v>
      </c>
      <c r="F932" s="71" t="s">
        <v>49</v>
      </c>
      <c r="G932" s="72">
        <v>0</v>
      </c>
      <c r="H932" s="73">
        <v>0</v>
      </c>
      <c r="I932" s="73">
        <v>0</v>
      </c>
      <c r="J932" s="73">
        <v>0</v>
      </c>
      <c r="K932" s="73">
        <v>0</v>
      </c>
      <c r="L932" s="73">
        <v>0</v>
      </c>
      <c r="M932" s="73">
        <v>0</v>
      </c>
      <c r="N932" s="73">
        <v>0</v>
      </c>
      <c r="O932" s="73">
        <v>0</v>
      </c>
      <c r="P932" s="73">
        <v>0</v>
      </c>
      <c r="Q932" s="73">
        <v>0</v>
      </c>
      <c r="R932" s="73">
        <v>-4333</v>
      </c>
      <c r="S932" s="73">
        <v>-1020</v>
      </c>
      <c r="T932" s="73">
        <v>-1320</v>
      </c>
      <c r="U932" s="73">
        <v>-1130</v>
      </c>
      <c r="V932" s="73">
        <v>-1480</v>
      </c>
      <c r="W932" s="73">
        <v>-684</v>
      </c>
      <c r="X932" s="73">
        <v>-2383</v>
      </c>
      <c r="Y932" s="73">
        <v>-1549</v>
      </c>
      <c r="Z932" s="73">
        <v>0</v>
      </c>
      <c r="AA932" s="73">
        <v>0</v>
      </c>
      <c r="AB932" s="73">
        <v>41009</v>
      </c>
      <c r="AC932" s="73">
        <v>68224</v>
      </c>
      <c r="AD932" s="73">
        <v>180000</v>
      </c>
      <c r="AE932" s="73">
        <v>1200</v>
      </c>
      <c r="AF932" s="74">
        <f>tblData[[#This Row],[Gross Sales]]+tblData[[#This Row],[Trade Discounts]]+tblData[[#This Row],[Returns]]</f>
        <v>0</v>
      </c>
      <c r="AG932" s="74">
        <f>tblData[[#This Row],[Material Cost]]+tblData[[#This Row],[Conversion Cost]]+tblData[[#This Row],[Inbound Freight]]</f>
        <v>0</v>
      </c>
      <c r="AH932" s="74">
        <f>tblData[[#This Row],[Net Revenue]]+tblData[[#This Row],[COGS]]</f>
        <v>0</v>
      </c>
      <c r="AI932" s="74">
        <f>tblData[[#This Row],[Advertising]]+tblData[[#This Row],[Promotions]]</f>
        <v>0</v>
      </c>
      <c r="AJ932" s="74">
        <f>tblData[[#This Row],[Outbound Logistics]]+tblData[[#This Row],[Direct Selling]]</f>
        <v>0</v>
      </c>
      <c r="AK932" s="74">
        <f>tblData[[#This Row],[Gross Profit]]+tblData[[#This Row],[AP Spend]]+tblData[[#This Row],[Cost to Serve]]</f>
        <v>0</v>
      </c>
    </row>
    <row r="933" spans="2:37" x14ac:dyDescent="0.25">
      <c r="B933" s="71" t="s">
        <v>51</v>
      </c>
      <c r="C933" s="71">
        <v>2026</v>
      </c>
      <c r="D933" s="71">
        <v>1</v>
      </c>
      <c r="E933" s="71" t="s">
        <v>37</v>
      </c>
      <c r="F933" s="71" t="s">
        <v>38</v>
      </c>
      <c r="G933" s="72">
        <v>247.3</v>
      </c>
      <c r="H933" s="73">
        <v>3477</v>
      </c>
      <c r="I933" s="73">
        <v>-676</v>
      </c>
      <c r="J933" s="73">
        <v>-52</v>
      </c>
      <c r="K933" s="73">
        <v>-759</v>
      </c>
      <c r="L933" s="73">
        <v>-188</v>
      </c>
      <c r="M933" s="73">
        <v>-113</v>
      </c>
      <c r="N933" s="73">
        <v>-194</v>
      </c>
      <c r="O933" s="73">
        <v>-112</v>
      </c>
      <c r="P933" s="73">
        <v>-142</v>
      </c>
      <c r="Q933" s="73">
        <v>-104</v>
      </c>
      <c r="R933" s="73">
        <v>0</v>
      </c>
      <c r="S933" s="73">
        <v>0</v>
      </c>
      <c r="T933" s="73">
        <v>0</v>
      </c>
      <c r="U933" s="73">
        <v>0</v>
      </c>
      <c r="V933" s="73">
        <v>0</v>
      </c>
      <c r="W933" s="73">
        <v>0</v>
      </c>
      <c r="X933" s="73">
        <v>0</v>
      </c>
      <c r="Y933" s="73">
        <v>0</v>
      </c>
      <c r="Z933" s="73">
        <v>5154</v>
      </c>
      <c r="AA933" s="73">
        <v>3452</v>
      </c>
      <c r="AB933" s="73">
        <v>0</v>
      </c>
      <c r="AC933" s="73">
        <v>0</v>
      </c>
      <c r="AD933" s="73">
        <v>0</v>
      </c>
      <c r="AE933" s="73">
        <v>0</v>
      </c>
      <c r="AF933" s="74">
        <f>tblData[[#This Row],[Gross Sales]]+tblData[[#This Row],[Trade Discounts]]+tblData[[#This Row],[Returns]]</f>
        <v>2749</v>
      </c>
      <c r="AG933" s="74">
        <f>tblData[[#This Row],[Material Cost]]+tblData[[#This Row],[Conversion Cost]]+tblData[[#This Row],[Inbound Freight]]</f>
        <v>-1060</v>
      </c>
      <c r="AH933" s="74">
        <f>tblData[[#This Row],[Net Revenue]]+tblData[[#This Row],[COGS]]</f>
        <v>1689</v>
      </c>
      <c r="AI933" s="74">
        <f>tblData[[#This Row],[Advertising]]+tblData[[#This Row],[Promotions]]</f>
        <v>-306</v>
      </c>
      <c r="AJ933" s="74">
        <f>tblData[[#This Row],[Outbound Logistics]]+tblData[[#This Row],[Direct Selling]]</f>
        <v>-246</v>
      </c>
      <c r="AK933" s="74">
        <f>tblData[[#This Row],[Gross Profit]]+tblData[[#This Row],[AP Spend]]+tblData[[#This Row],[Cost to Serve]]</f>
        <v>1137</v>
      </c>
    </row>
    <row r="934" spans="2:37" x14ac:dyDescent="0.25">
      <c r="B934" s="71" t="s">
        <v>51</v>
      </c>
      <c r="C934" s="71">
        <v>2026</v>
      </c>
      <c r="D934" s="71">
        <v>1</v>
      </c>
      <c r="E934" s="71" t="s">
        <v>37</v>
      </c>
      <c r="F934" s="71" t="s">
        <v>39</v>
      </c>
      <c r="G934" s="72">
        <v>323.8</v>
      </c>
      <c r="H934" s="73">
        <v>2918</v>
      </c>
      <c r="I934" s="73">
        <v>-567</v>
      </c>
      <c r="J934" s="73">
        <v>-44</v>
      </c>
      <c r="K934" s="73">
        <v>-765</v>
      </c>
      <c r="L934" s="73">
        <v>-189</v>
      </c>
      <c r="M934" s="73">
        <v>-114</v>
      </c>
      <c r="N934" s="73">
        <v>-111</v>
      </c>
      <c r="O934" s="73">
        <v>-64</v>
      </c>
      <c r="P934" s="73">
        <v>-119</v>
      </c>
      <c r="Q934" s="73">
        <v>-88</v>
      </c>
      <c r="R934" s="73">
        <v>0</v>
      </c>
      <c r="S934" s="73">
        <v>0</v>
      </c>
      <c r="T934" s="73">
        <v>0</v>
      </c>
      <c r="U934" s="73">
        <v>0</v>
      </c>
      <c r="V934" s="73">
        <v>0</v>
      </c>
      <c r="W934" s="73">
        <v>0</v>
      </c>
      <c r="X934" s="73">
        <v>0</v>
      </c>
      <c r="Y934" s="73">
        <v>0</v>
      </c>
      <c r="Z934" s="73">
        <v>4326</v>
      </c>
      <c r="AA934" s="73">
        <v>2951</v>
      </c>
      <c r="AB934" s="73">
        <v>0</v>
      </c>
      <c r="AC934" s="73">
        <v>0</v>
      </c>
      <c r="AD934" s="73">
        <v>0</v>
      </c>
      <c r="AE934" s="73">
        <v>0</v>
      </c>
      <c r="AF934" s="74">
        <f>tblData[[#This Row],[Gross Sales]]+tblData[[#This Row],[Trade Discounts]]+tblData[[#This Row],[Returns]]</f>
        <v>2307</v>
      </c>
      <c r="AG934" s="74">
        <f>tblData[[#This Row],[Material Cost]]+tblData[[#This Row],[Conversion Cost]]+tblData[[#This Row],[Inbound Freight]]</f>
        <v>-1068</v>
      </c>
      <c r="AH934" s="74">
        <f>tblData[[#This Row],[Net Revenue]]+tblData[[#This Row],[COGS]]</f>
        <v>1239</v>
      </c>
      <c r="AI934" s="74">
        <f>tblData[[#This Row],[Advertising]]+tblData[[#This Row],[Promotions]]</f>
        <v>-175</v>
      </c>
      <c r="AJ934" s="74">
        <f>tblData[[#This Row],[Outbound Logistics]]+tblData[[#This Row],[Direct Selling]]</f>
        <v>-207</v>
      </c>
      <c r="AK934" s="74">
        <f>tblData[[#This Row],[Gross Profit]]+tblData[[#This Row],[AP Spend]]+tblData[[#This Row],[Cost to Serve]]</f>
        <v>857</v>
      </c>
    </row>
    <row r="935" spans="2:37" x14ac:dyDescent="0.25">
      <c r="B935" s="71" t="s">
        <v>51</v>
      </c>
      <c r="C935" s="71">
        <v>2026</v>
      </c>
      <c r="D935" s="71">
        <v>1</v>
      </c>
      <c r="E935" s="71" t="s">
        <v>37</v>
      </c>
      <c r="F935" s="71" t="s">
        <v>40</v>
      </c>
      <c r="G935" s="72">
        <v>307.8</v>
      </c>
      <c r="H935" s="73">
        <v>2154</v>
      </c>
      <c r="I935" s="73">
        <v>-419</v>
      </c>
      <c r="J935" s="73">
        <v>-32</v>
      </c>
      <c r="K935" s="73">
        <v>-627</v>
      </c>
      <c r="L935" s="73">
        <v>-155</v>
      </c>
      <c r="M935" s="73">
        <v>-94</v>
      </c>
      <c r="N935" s="73">
        <v>-55</v>
      </c>
      <c r="O935" s="73">
        <v>-32</v>
      </c>
      <c r="P935" s="73">
        <v>-88</v>
      </c>
      <c r="Q935" s="73">
        <v>-65</v>
      </c>
      <c r="R935" s="73">
        <v>0</v>
      </c>
      <c r="S935" s="73">
        <v>0</v>
      </c>
      <c r="T935" s="73">
        <v>0</v>
      </c>
      <c r="U935" s="73">
        <v>0</v>
      </c>
      <c r="V935" s="73">
        <v>0</v>
      </c>
      <c r="W935" s="73">
        <v>0</v>
      </c>
      <c r="X935" s="73">
        <v>0</v>
      </c>
      <c r="Y935" s="73">
        <v>0</v>
      </c>
      <c r="Z935" s="73">
        <v>3194</v>
      </c>
      <c r="AA935" s="73">
        <v>2276</v>
      </c>
      <c r="AB935" s="73">
        <v>0</v>
      </c>
      <c r="AC935" s="73">
        <v>0</v>
      </c>
      <c r="AD935" s="73">
        <v>0</v>
      </c>
      <c r="AE935" s="73">
        <v>0</v>
      </c>
      <c r="AF935" s="74">
        <f>tblData[[#This Row],[Gross Sales]]+tblData[[#This Row],[Trade Discounts]]+tblData[[#This Row],[Returns]]</f>
        <v>1703</v>
      </c>
      <c r="AG935" s="74">
        <f>tblData[[#This Row],[Material Cost]]+tblData[[#This Row],[Conversion Cost]]+tblData[[#This Row],[Inbound Freight]]</f>
        <v>-876</v>
      </c>
      <c r="AH935" s="74">
        <f>tblData[[#This Row],[Net Revenue]]+tblData[[#This Row],[COGS]]</f>
        <v>827</v>
      </c>
      <c r="AI935" s="74">
        <f>tblData[[#This Row],[Advertising]]+tblData[[#This Row],[Promotions]]</f>
        <v>-87</v>
      </c>
      <c r="AJ935" s="74">
        <f>tblData[[#This Row],[Outbound Logistics]]+tblData[[#This Row],[Direct Selling]]</f>
        <v>-153</v>
      </c>
      <c r="AK935" s="74">
        <f>tblData[[#This Row],[Gross Profit]]+tblData[[#This Row],[AP Spend]]+tblData[[#This Row],[Cost to Serve]]</f>
        <v>587</v>
      </c>
    </row>
    <row r="936" spans="2:37" x14ac:dyDescent="0.25">
      <c r="B936" s="71" t="s">
        <v>51</v>
      </c>
      <c r="C936" s="71">
        <v>2026</v>
      </c>
      <c r="D936" s="71">
        <v>1</v>
      </c>
      <c r="E936" s="71" t="s">
        <v>37</v>
      </c>
      <c r="F936" s="71" t="s">
        <v>41</v>
      </c>
      <c r="G936" s="72">
        <v>155.6</v>
      </c>
      <c r="H936" s="73">
        <v>1715</v>
      </c>
      <c r="I936" s="73">
        <v>-333</v>
      </c>
      <c r="J936" s="73">
        <v>-26</v>
      </c>
      <c r="K936" s="73">
        <v>-412</v>
      </c>
      <c r="L936" s="73">
        <v>-102</v>
      </c>
      <c r="M936" s="73">
        <v>-61</v>
      </c>
      <c r="N936" s="73">
        <v>-119</v>
      </c>
      <c r="O936" s="73">
        <v>-68</v>
      </c>
      <c r="P936" s="73">
        <v>-70</v>
      </c>
      <c r="Q936" s="73">
        <v>-51</v>
      </c>
      <c r="R936" s="73">
        <v>0</v>
      </c>
      <c r="S936" s="73">
        <v>0</v>
      </c>
      <c r="T936" s="73">
        <v>0</v>
      </c>
      <c r="U936" s="73">
        <v>0</v>
      </c>
      <c r="V936" s="73">
        <v>0</v>
      </c>
      <c r="W936" s="73">
        <v>0</v>
      </c>
      <c r="X936" s="73">
        <v>0</v>
      </c>
      <c r="Y936" s="73">
        <v>0</v>
      </c>
      <c r="Z936" s="73">
        <v>2543</v>
      </c>
      <c r="AA936" s="73">
        <v>1779</v>
      </c>
      <c r="AB936" s="73">
        <v>0</v>
      </c>
      <c r="AC936" s="73">
        <v>0</v>
      </c>
      <c r="AD936" s="73">
        <v>0</v>
      </c>
      <c r="AE936" s="73">
        <v>0</v>
      </c>
      <c r="AF936" s="74">
        <f>tblData[[#This Row],[Gross Sales]]+tblData[[#This Row],[Trade Discounts]]+tblData[[#This Row],[Returns]]</f>
        <v>1356</v>
      </c>
      <c r="AG936" s="74">
        <f>tblData[[#This Row],[Material Cost]]+tblData[[#This Row],[Conversion Cost]]+tblData[[#This Row],[Inbound Freight]]</f>
        <v>-575</v>
      </c>
      <c r="AH936" s="74">
        <f>tblData[[#This Row],[Net Revenue]]+tblData[[#This Row],[COGS]]</f>
        <v>781</v>
      </c>
      <c r="AI936" s="74">
        <f>tblData[[#This Row],[Advertising]]+tblData[[#This Row],[Promotions]]</f>
        <v>-187</v>
      </c>
      <c r="AJ936" s="74">
        <f>tblData[[#This Row],[Outbound Logistics]]+tblData[[#This Row],[Direct Selling]]</f>
        <v>-121</v>
      </c>
      <c r="AK936" s="74">
        <f>tblData[[#This Row],[Gross Profit]]+tblData[[#This Row],[AP Spend]]+tblData[[#This Row],[Cost to Serve]]</f>
        <v>473</v>
      </c>
    </row>
    <row r="937" spans="2:37" x14ac:dyDescent="0.25">
      <c r="B937" s="71" t="s">
        <v>51</v>
      </c>
      <c r="C937" s="71">
        <v>2026</v>
      </c>
      <c r="D937" s="71">
        <v>1</v>
      </c>
      <c r="E937" s="71" t="s">
        <v>37</v>
      </c>
      <c r="F937" s="71" t="s">
        <v>42</v>
      </c>
      <c r="G937" s="72">
        <v>192.2</v>
      </c>
      <c r="H937" s="73">
        <v>1150</v>
      </c>
      <c r="I937" s="73">
        <v>-223</v>
      </c>
      <c r="J937" s="73">
        <v>-17</v>
      </c>
      <c r="K937" s="73">
        <v>-368</v>
      </c>
      <c r="L937" s="73">
        <v>-91</v>
      </c>
      <c r="M937" s="73">
        <v>-55</v>
      </c>
      <c r="N937" s="73">
        <v>-23</v>
      </c>
      <c r="O937" s="73">
        <v>-13</v>
      </c>
      <c r="P937" s="73">
        <v>-47</v>
      </c>
      <c r="Q937" s="73">
        <v>-34</v>
      </c>
      <c r="R937" s="73">
        <v>0</v>
      </c>
      <c r="S937" s="73">
        <v>0</v>
      </c>
      <c r="T937" s="73">
        <v>0</v>
      </c>
      <c r="U937" s="73">
        <v>0</v>
      </c>
      <c r="V937" s="73">
        <v>0</v>
      </c>
      <c r="W937" s="73">
        <v>0</v>
      </c>
      <c r="X937" s="73">
        <v>0</v>
      </c>
      <c r="Y937" s="73">
        <v>0</v>
      </c>
      <c r="Z937" s="73">
        <v>1705</v>
      </c>
      <c r="AA937" s="73">
        <v>2081</v>
      </c>
      <c r="AB937" s="73">
        <v>0</v>
      </c>
      <c r="AC937" s="73">
        <v>0</v>
      </c>
      <c r="AD937" s="73">
        <v>0</v>
      </c>
      <c r="AE937" s="73">
        <v>0</v>
      </c>
      <c r="AF937" s="74">
        <f>tblData[[#This Row],[Gross Sales]]+tblData[[#This Row],[Trade Discounts]]+tblData[[#This Row],[Returns]]</f>
        <v>910</v>
      </c>
      <c r="AG937" s="74">
        <f>tblData[[#This Row],[Material Cost]]+tblData[[#This Row],[Conversion Cost]]+tblData[[#This Row],[Inbound Freight]]</f>
        <v>-514</v>
      </c>
      <c r="AH937" s="74">
        <f>tblData[[#This Row],[Net Revenue]]+tblData[[#This Row],[COGS]]</f>
        <v>396</v>
      </c>
      <c r="AI937" s="74">
        <f>tblData[[#This Row],[Advertising]]+tblData[[#This Row],[Promotions]]</f>
        <v>-36</v>
      </c>
      <c r="AJ937" s="74">
        <f>tblData[[#This Row],[Outbound Logistics]]+tblData[[#This Row],[Direct Selling]]</f>
        <v>-81</v>
      </c>
      <c r="AK937" s="74">
        <f>tblData[[#This Row],[Gross Profit]]+tblData[[#This Row],[AP Spend]]+tblData[[#This Row],[Cost to Serve]]</f>
        <v>279</v>
      </c>
    </row>
    <row r="938" spans="2:37" x14ac:dyDescent="0.25">
      <c r="B938" s="71" t="s">
        <v>51</v>
      </c>
      <c r="C938" s="71">
        <v>2026</v>
      </c>
      <c r="D938" s="71">
        <v>1</v>
      </c>
      <c r="E938" s="71" t="s">
        <v>37</v>
      </c>
      <c r="F938" s="71" t="s">
        <v>43</v>
      </c>
      <c r="G938" s="72">
        <v>37</v>
      </c>
      <c r="H938" s="73">
        <v>665</v>
      </c>
      <c r="I938" s="73">
        <v>-129</v>
      </c>
      <c r="J938" s="73">
        <v>-10</v>
      </c>
      <c r="K938" s="73">
        <v>-184</v>
      </c>
      <c r="L938" s="73">
        <v>-46</v>
      </c>
      <c r="M938" s="73">
        <v>-27</v>
      </c>
      <c r="N938" s="73">
        <v>-65</v>
      </c>
      <c r="O938" s="73">
        <v>-37</v>
      </c>
      <c r="P938" s="73">
        <v>-27</v>
      </c>
      <c r="Q938" s="73">
        <v>-20</v>
      </c>
      <c r="R938" s="73">
        <v>0</v>
      </c>
      <c r="S938" s="73">
        <v>0</v>
      </c>
      <c r="T938" s="73">
        <v>0</v>
      </c>
      <c r="U938" s="73">
        <v>0</v>
      </c>
      <c r="V938" s="73">
        <v>0</v>
      </c>
      <c r="W938" s="73">
        <v>0</v>
      </c>
      <c r="X938" s="73">
        <v>0</v>
      </c>
      <c r="Y938" s="73">
        <v>0</v>
      </c>
      <c r="Z938" s="73">
        <v>987</v>
      </c>
      <c r="AA938" s="73">
        <v>1048</v>
      </c>
      <c r="AB938" s="73">
        <v>0</v>
      </c>
      <c r="AC938" s="73">
        <v>0</v>
      </c>
      <c r="AD938" s="73">
        <v>0</v>
      </c>
      <c r="AE938" s="73">
        <v>0</v>
      </c>
      <c r="AF938" s="74">
        <f>tblData[[#This Row],[Gross Sales]]+tblData[[#This Row],[Trade Discounts]]+tblData[[#This Row],[Returns]]</f>
        <v>526</v>
      </c>
      <c r="AG938" s="74">
        <f>tblData[[#This Row],[Material Cost]]+tblData[[#This Row],[Conversion Cost]]+tblData[[#This Row],[Inbound Freight]]</f>
        <v>-257</v>
      </c>
      <c r="AH938" s="74">
        <f>tblData[[#This Row],[Net Revenue]]+tblData[[#This Row],[COGS]]</f>
        <v>269</v>
      </c>
      <c r="AI938" s="74">
        <f>tblData[[#This Row],[Advertising]]+tblData[[#This Row],[Promotions]]</f>
        <v>-102</v>
      </c>
      <c r="AJ938" s="74">
        <f>tblData[[#This Row],[Outbound Logistics]]+tblData[[#This Row],[Direct Selling]]</f>
        <v>-47</v>
      </c>
      <c r="AK938" s="74">
        <f>tblData[[#This Row],[Gross Profit]]+tblData[[#This Row],[AP Spend]]+tblData[[#This Row],[Cost to Serve]]</f>
        <v>120</v>
      </c>
    </row>
    <row r="939" spans="2:37" x14ac:dyDescent="0.25">
      <c r="B939" s="71" t="s">
        <v>51</v>
      </c>
      <c r="C939" s="71">
        <v>2026</v>
      </c>
      <c r="D939" s="71">
        <v>1</v>
      </c>
      <c r="E939" s="71" t="s">
        <v>44</v>
      </c>
      <c r="F939" s="71" t="s">
        <v>38</v>
      </c>
      <c r="G939" s="72">
        <v>203.8</v>
      </c>
      <c r="H939" s="73">
        <v>2874</v>
      </c>
      <c r="I939" s="73">
        <v>-464</v>
      </c>
      <c r="J939" s="73">
        <v>-34</v>
      </c>
      <c r="K939" s="73">
        <v>-627</v>
      </c>
      <c r="L939" s="73">
        <v>-155</v>
      </c>
      <c r="M939" s="73">
        <v>-94</v>
      </c>
      <c r="N939" s="73">
        <v>-155</v>
      </c>
      <c r="O939" s="73">
        <v>-89</v>
      </c>
      <c r="P939" s="73">
        <v>-117</v>
      </c>
      <c r="Q939" s="73">
        <v>-86</v>
      </c>
      <c r="R939" s="73">
        <v>0</v>
      </c>
      <c r="S939" s="73">
        <v>0</v>
      </c>
      <c r="T939" s="73">
        <v>0</v>
      </c>
      <c r="U939" s="73">
        <v>0</v>
      </c>
      <c r="V939" s="73">
        <v>0</v>
      </c>
      <c r="W939" s="73">
        <v>0</v>
      </c>
      <c r="X939" s="73">
        <v>0</v>
      </c>
      <c r="Y939" s="73">
        <v>0</v>
      </c>
      <c r="Z939" s="73">
        <v>4063</v>
      </c>
      <c r="AA939" s="73">
        <v>2853</v>
      </c>
      <c r="AB939" s="73">
        <v>0</v>
      </c>
      <c r="AC939" s="73">
        <v>0</v>
      </c>
      <c r="AD939" s="73">
        <v>0</v>
      </c>
      <c r="AE939" s="73">
        <v>0</v>
      </c>
      <c r="AF939" s="74">
        <f>tblData[[#This Row],[Gross Sales]]+tblData[[#This Row],[Trade Discounts]]+tblData[[#This Row],[Returns]]</f>
        <v>2376</v>
      </c>
      <c r="AG939" s="74">
        <f>tblData[[#This Row],[Material Cost]]+tblData[[#This Row],[Conversion Cost]]+tblData[[#This Row],[Inbound Freight]]</f>
        <v>-876</v>
      </c>
      <c r="AH939" s="74">
        <f>tblData[[#This Row],[Net Revenue]]+tblData[[#This Row],[COGS]]</f>
        <v>1500</v>
      </c>
      <c r="AI939" s="74">
        <f>tblData[[#This Row],[Advertising]]+tblData[[#This Row],[Promotions]]</f>
        <v>-244</v>
      </c>
      <c r="AJ939" s="74">
        <f>tblData[[#This Row],[Outbound Logistics]]+tblData[[#This Row],[Direct Selling]]</f>
        <v>-203</v>
      </c>
      <c r="AK939" s="74">
        <f>tblData[[#This Row],[Gross Profit]]+tblData[[#This Row],[AP Spend]]+tblData[[#This Row],[Cost to Serve]]</f>
        <v>1053</v>
      </c>
    </row>
    <row r="940" spans="2:37" x14ac:dyDescent="0.25">
      <c r="B940" s="71" t="s">
        <v>51</v>
      </c>
      <c r="C940" s="71">
        <v>2026</v>
      </c>
      <c r="D940" s="71">
        <v>1</v>
      </c>
      <c r="E940" s="71" t="s">
        <v>44</v>
      </c>
      <c r="F940" s="71" t="s">
        <v>39</v>
      </c>
      <c r="G940" s="72">
        <v>268.2</v>
      </c>
      <c r="H940" s="73">
        <v>2424</v>
      </c>
      <c r="I940" s="73">
        <v>-391</v>
      </c>
      <c r="J940" s="73">
        <v>-29</v>
      </c>
      <c r="K940" s="73">
        <v>-635</v>
      </c>
      <c r="L940" s="73">
        <v>-157</v>
      </c>
      <c r="M940" s="73">
        <v>-95</v>
      </c>
      <c r="N940" s="73">
        <v>-89</v>
      </c>
      <c r="O940" s="73">
        <v>-51</v>
      </c>
      <c r="P940" s="73">
        <v>-99</v>
      </c>
      <c r="Q940" s="73">
        <v>-73</v>
      </c>
      <c r="R940" s="73">
        <v>0</v>
      </c>
      <c r="S940" s="73">
        <v>0</v>
      </c>
      <c r="T940" s="73">
        <v>0</v>
      </c>
      <c r="U940" s="73">
        <v>0</v>
      </c>
      <c r="V940" s="73">
        <v>0</v>
      </c>
      <c r="W940" s="73">
        <v>0</v>
      </c>
      <c r="X940" s="73">
        <v>0</v>
      </c>
      <c r="Y940" s="73">
        <v>0</v>
      </c>
      <c r="Z940" s="73">
        <v>3427</v>
      </c>
      <c r="AA940" s="73">
        <v>2451</v>
      </c>
      <c r="AB940" s="73">
        <v>0</v>
      </c>
      <c r="AC940" s="73">
        <v>0</v>
      </c>
      <c r="AD940" s="73">
        <v>0</v>
      </c>
      <c r="AE940" s="73">
        <v>0</v>
      </c>
      <c r="AF940" s="74">
        <f>tblData[[#This Row],[Gross Sales]]+tblData[[#This Row],[Trade Discounts]]+tblData[[#This Row],[Returns]]</f>
        <v>2004</v>
      </c>
      <c r="AG940" s="74">
        <f>tblData[[#This Row],[Material Cost]]+tblData[[#This Row],[Conversion Cost]]+tblData[[#This Row],[Inbound Freight]]</f>
        <v>-887</v>
      </c>
      <c r="AH940" s="74">
        <f>tblData[[#This Row],[Net Revenue]]+tblData[[#This Row],[COGS]]</f>
        <v>1117</v>
      </c>
      <c r="AI940" s="74">
        <f>tblData[[#This Row],[Advertising]]+tblData[[#This Row],[Promotions]]</f>
        <v>-140</v>
      </c>
      <c r="AJ940" s="74">
        <f>tblData[[#This Row],[Outbound Logistics]]+tblData[[#This Row],[Direct Selling]]</f>
        <v>-172</v>
      </c>
      <c r="AK940" s="74">
        <f>tblData[[#This Row],[Gross Profit]]+tblData[[#This Row],[AP Spend]]+tblData[[#This Row],[Cost to Serve]]</f>
        <v>805</v>
      </c>
    </row>
    <row r="941" spans="2:37" x14ac:dyDescent="0.25">
      <c r="B941" s="71" t="s">
        <v>51</v>
      </c>
      <c r="C941" s="71">
        <v>2026</v>
      </c>
      <c r="D941" s="71">
        <v>1</v>
      </c>
      <c r="E941" s="71" t="s">
        <v>44</v>
      </c>
      <c r="F941" s="71" t="s">
        <v>40</v>
      </c>
      <c r="G941" s="72">
        <v>257.2</v>
      </c>
      <c r="H941" s="73">
        <v>1805</v>
      </c>
      <c r="I941" s="73">
        <v>-291</v>
      </c>
      <c r="J941" s="73">
        <v>-22</v>
      </c>
      <c r="K941" s="73">
        <v>-526</v>
      </c>
      <c r="L941" s="73">
        <v>-130</v>
      </c>
      <c r="M941" s="73">
        <v>-78</v>
      </c>
      <c r="N941" s="73">
        <v>-44</v>
      </c>
      <c r="O941" s="73">
        <v>-26</v>
      </c>
      <c r="P941" s="73">
        <v>-74</v>
      </c>
      <c r="Q941" s="73">
        <v>-54</v>
      </c>
      <c r="R941" s="73">
        <v>0</v>
      </c>
      <c r="S941" s="73">
        <v>0</v>
      </c>
      <c r="T941" s="73">
        <v>0</v>
      </c>
      <c r="U941" s="73">
        <v>0</v>
      </c>
      <c r="V941" s="73">
        <v>0</v>
      </c>
      <c r="W941" s="73">
        <v>0</v>
      </c>
      <c r="X941" s="73">
        <v>0</v>
      </c>
      <c r="Y941" s="73">
        <v>0</v>
      </c>
      <c r="Z941" s="73">
        <v>2552</v>
      </c>
      <c r="AA941" s="73">
        <v>1907</v>
      </c>
      <c r="AB941" s="73">
        <v>0</v>
      </c>
      <c r="AC941" s="73">
        <v>0</v>
      </c>
      <c r="AD941" s="73">
        <v>0</v>
      </c>
      <c r="AE941" s="73">
        <v>0</v>
      </c>
      <c r="AF941" s="74">
        <f>tblData[[#This Row],[Gross Sales]]+tblData[[#This Row],[Trade Discounts]]+tblData[[#This Row],[Returns]]</f>
        <v>1492</v>
      </c>
      <c r="AG941" s="74">
        <f>tblData[[#This Row],[Material Cost]]+tblData[[#This Row],[Conversion Cost]]+tblData[[#This Row],[Inbound Freight]]</f>
        <v>-734</v>
      </c>
      <c r="AH941" s="74">
        <f>tblData[[#This Row],[Net Revenue]]+tblData[[#This Row],[COGS]]</f>
        <v>758</v>
      </c>
      <c r="AI941" s="74">
        <f>tblData[[#This Row],[Advertising]]+tblData[[#This Row],[Promotions]]</f>
        <v>-70</v>
      </c>
      <c r="AJ941" s="74">
        <f>tblData[[#This Row],[Outbound Logistics]]+tblData[[#This Row],[Direct Selling]]</f>
        <v>-128</v>
      </c>
      <c r="AK941" s="74">
        <f>tblData[[#This Row],[Gross Profit]]+tblData[[#This Row],[AP Spend]]+tblData[[#This Row],[Cost to Serve]]</f>
        <v>560</v>
      </c>
    </row>
    <row r="942" spans="2:37" x14ac:dyDescent="0.25">
      <c r="B942" s="71" t="s">
        <v>51</v>
      </c>
      <c r="C942" s="71">
        <v>2026</v>
      </c>
      <c r="D942" s="71">
        <v>1</v>
      </c>
      <c r="E942" s="71" t="s">
        <v>44</v>
      </c>
      <c r="F942" s="71" t="s">
        <v>41</v>
      </c>
      <c r="G942" s="72">
        <v>129.1</v>
      </c>
      <c r="H942" s="73">
        <v>1427</v>
      </c>
      <c r="I942" s="73">
        <v>-230</v>
      </c>
      <c r="J942" s="73">
        <v>-17</v>
      </c>
      <c r="K942" s="73">
        <v>-343</v>
      </c>
      <c r="L942" s="73">
        <v>-85</v>
      </c>
      <c r="M942" s="73">
        <v>-51</v>
      </c>
      <c r="N942" s="73">
        <v>-95</v>
      </c>
      <c r="O942" s="73">
        <v>-55</v>
      </c>
      <c r="P942" s="73">
        <v>-58</v>
      </c>
      <c r="Q942" s="73">
        <v>-43</v>
      </c>
      <c r="R942" s="73">
        <v>0</v>
      </c>
      <c r="S942" s="73">
        <v>0</v>
      </c>
      <c r="T942" s="73">
        <v>0</v>
      </c>
      <c r="U942" s="73">
        <v>0</v>
      </c>
      <c r="V942" s="73">
        <v>0</v>
      </c>
      <c r="W942" s="73">
        <v>0</v>
      </c>
      <c r="X942" s="73">
        <v>0</v>
      </c>
      <c r="Y942" s="73">
        <v>0</v>
      </c>
      <c r="Z942" s="73">
        <v>2018</v>
      </c>
      <c r="AA942" s="73">
        <v>1480</v>
      </c>
      <c r="AB942" s="73">
        <v>0</v>
      </c>
      <c r="AC942" s="73">
        <v>0</v>
      </c>
      <c r="AD942" s="73">
        <v>0</v>
      </c>
      <c r="AE942" s="73">
        <v>0</v>
      </c>
      <c r="AF942" s="74">
        <f>tblData[[#This Row],[Gross Sales]]+tblData[[#This Row],[Trade Discounts]]+tblData[[#This Row],[Returns]]</f>
        <v>1180</v>
      </c>
      <c r="AG942" s="74">
        <f>tblData[[#This Row],[Material Cost]]+tblData[[#This Row],[Conversion Cost]]+tblData[[#This Row],[Inbound Freight]]</f>
        <v>-479</v>
      </c>
      <c r="AH942" s="74">
        <f>tblData[[#This Row],[Net Revenue]]+tblData[[#This Row],[COGS]]</f>
        <v>701</v>
      </c>
      <c r="AI942" s="74">
        <f>tblData[[#This Row],[Advertising]]+tblData[[#This Row],[Promotions]]</f>
        <v>-150</v>
      </c>
      <c r="AJ942" s="74">
        <f>tblData[[#This Row],[Outbound Logistics]]+tblData[[#This Row],[Direct Selling]]</f>
        <v>-101</v>
      </c>
      <c r="AK942" s="74">
        <f>tblData[[#This Row],[Gross Profit]]+tblData[[#This Row],[AP Spend]]+tblData[[#This Row],[Cost to Serve]]</f>
        <v>450</v>
      </c>
    </row>
    <row r="943" spans="2:37" x14ac:dyDescent="0.25">
      <c r="B943" s="71" t="s">
        <v>51</v>
      </c>
      <c r="C943" s="71">
        <v>2026</v>
      </c>
      <c r="D943" s="71">
        <v>1</v>
      </c>
      <c r="E943" s="71" t="s">
        <v>44</v>
      </c>
      <c r="F943" s="71" t="s">
        <v>42</v>
      </c>
      <c r="G943" s="72">
        <v>158.69999999999999</v>
      </c>
      <c r="H943" s="73">
        <v>952</v>
      </c>
      <c r="I943" s="73">
        <v>-154</v>
      </c>
      <c r="J943" s="73">
        <v>-11</v>
      </c>
      <c r="K943" s="73">
        <v>-305</v>
      </c>
      <c r="L943" s="73">
        <v>-75</v>
      </c>
      <c r="M943" s="73">
        <v>-46</v>
      </c>
      <c r="N943" s="73">
        <v>-18</v>
      </c>
      <c r="O943" s="73">
        <v>-11</v>
      </c>
      <c r="P943" s="73">
        <v>-39</v>
      </c>
      <c r="Q943" s="73">
        <v>-29</v>
      </c>
      <c r="R943" s="73">
        <v>0</v>
      </c>
      <c r="S943" s="73">
        <v>0</v>
      </c>
      <c r="T943" s="73">
        <v>0</v>
      </c>
      <c r="U943" s="73">
        <v>0</v>
      </c>
      <c r="V943" s="73">
        <v>0</v>
      </c>
      <c r="W943" s="73">
        <v>0</v>
      </c>
      <c r="X943" s="73">
        <v>0</v>
      </c>
      <c r="Y943" s="73">
        <v>0</v>
      </c>
      <c r="Z943" s="73">
        <v>1346</v>
      </c>
      <c r="AA943" s="73">
        <v>1723</v>
      </c>
      <c r="AB943" s="73">
        <v>0</v>
      </c>
      <c r="AC943" s="73">
        <v>0</v>
      </c>
      <c r="AD943" s="73">
        <v>0</v>
      </c>
      <c r="AE943" s="73">
        <v>0</v>
      </c>
      <c r="AF943" s="74">
        <f>tblData[[#This Row],[Gross Sales]]+tblData[[#This Row],[Trade Discounts]]+tblData[[#This Row],[Returns]]</f>
        <v>787</v>
      </c>
      <c r="AG943" s="74">
        <f>tblData[[#This Row],[Material Cost]]+tblData[[#This Row],[Conversion Cost]]+tblData[[#This Row],[Inbound Freight]]</f>
        <v>-426</v>
      </c>
      <c r="AH943" s="74">
        <f>tblData[[#This Row],[Net Revenue]]+tblData[[#This Row],[COGS]]</f>
        <v>361</v>
      </c>
      <c r="AI943" s="74">
        <f>tblData[[#This Row],[Advertising]]+tblData[[#This Row],[Promotions]]</f>
        <v>-29</v>
      </c>
      <c r="AJ943" s="74">
        <f>tblData[[#This Row],[Outbound Logistics]]+tblData[[#This Row],[Direct Selling]]</f>
        <v>-68</v>
      </c>
      <c r="AK943" s="74">
        <f>tblData[[#This Row],[Gross Profit]]+tblData[[#This Row],[AP Spend]]+tblData[[#This Row],[Cost to Serve]]</f>
        <v>264</v>
      </c>
    </row>
    <row r="944" spans="2:37" x14ac:dyDescent="0.25">
      <c r="B944" s="71" t="s">
        <v>51</v>
      </c>
      <c r="C944" s="71">
        <v>2026</v>
      </c>
      <c r="D944" s="71">
        <v>1</v>
      </c>
      <c r="E944" s="71" t="s">
        <v>44</v>
      </c>
      <c r="F944" s="71" t="s">
        <v>43</v>
      </c>
      <c r="G944" s="72">
        <v>30.6</v>
      </c>
      <c r="H944" s="73">
        <v>552</v>
      </c>
      <c r="I944" s="73">
        <v>-89</v>
      </c>
      <c r="J944" s="73">
        <v>-7</v>
      </c>
      <c r="K944" s="73">
        <v>-153</v>
      </c>
      <c r="L944" s="73">
        <v>-38</v>
      </c>
      <c r="M944" s="73">
        <v>-23</v>
      </c>
      <c r="N944" s="73">
        <v>-52</v>
      </c>
      <c r="O944" s="73">
        <v>-30</v>
      </c>
      <c r="P944" s="73">
        <v>-23</v>
      </c>
      <c r="Q944" s="73">
        <v>-17</v>
      </c>
      <c r="R944" s="73">
        <v>0</v>
      </c>
      <c r="S944" s="73">
        <v>0</v>
      </c>
      <c r="T944" s="73">
        <v>0</v>
      </c>
      <c r="U944" s="73">
        <v>0</v>
      </c>
      <c r="V944" s="73">
        <v>0</v>
      </c>
      <c r="W944" s="73">
        <v>0</v>
      </c>
      <c r="X944" s="73">
        <v>0</v>
      </c>
      <c r="Y944" s="73">
        <v>0</v>
      </c>
      <c r="Z944" s="73">
        <v>781</v>
      </c>
      <c r="AA944" s="73">
        <v>870</v>
      </c>
      <c r="AB944" s="73">
        <v>0</v>
      </c>
      <c r="AC944" s="73">
        <v>0</v>
      </c>
      <c r="AD944" s="73">
        <v>0</v>
      </c>
      <c r="AE944" s="73">
        <v>0</v>
      </c>
      <c r="AF944" s="74">
        <f>tblData[[#This Row],[Gross Sales]]+tblData[[#This Row],[Trade Discounts]]+tblData[[#This Row],[Returns]]</f>
        <v>456</v>
      </c>
      <c r="AG944" s="74">
        <f>tblData[[#This Row],[Material Cost]]+tblData[[#This Row],[Conversion Cost]]+tblData[[#This Row],[Inbound Freight]]</f>
        <v>-214</v>
      </c>
      <c r="AH944" s="74">
        <f>tblData[[#This Row],[Net Revenue]]+tblData[[#This Row],[COGS]]</f>
        <v>242</v>
      </c>
      <c r="AI944" s="74">
        <f>tblData[[#This Row],[Advertising]]+tblData[[#This Row],[Promotions]]</f>
        <v>-82</v>
      </c>
      <c r="AJ944" s="74">
        <f>tblData[[#This Row],[Outbound Logistics]]+tblData[[#This Row],[Direct Selling]]</f>
        <v>-40</v>
      </c>
      <c r="AK944" s="74">
        <f>tblData[[#This Row],[Gross Profit]]+tblData[[#This Row],[AP Spend]]+tblData[[#This Row],[Cost to Serve]]</f>
        <v>120</v>
      </c>
    </row>
    <row r="945" spans="2:37" x14ac:dyDescent="0.25">
      <c r="B945" s="71" t="s">
        <v>51</v>
      </c>
      <c r="C945" s="71">
        <v>2026</v>
      </c>
      <c r="D945" s="71">
        <v>1</v>
      </c>
      <c r="E945" s="71" t="s">
        <v>45</v>
      </c>
      <c r="F945" s="71" t="s">
        <v>38</v>
      </c>
      <c r="G945" s="72">
        <v>116.9</v>
      </c>
      <c r="H945" s="73">
        <v>1634</v>
      </c>
      <c r="I945" s="73">
        <v>-374</v>
      </c>
      <c r="J945" s="73">
        <v>-16</v>
      </c>
      <c r="K945" s="73">
        <v>-357</v>
      </c>
      <c r="L945" s="73">
        <v>-88</v>
      </c>
      <c r="M945" s="73">
        <v>-53</v>
      </c>
      <c r="N945" s="73">
        <v>-91</v>
      </c>
      <c r="O945" s="73">
        <v>-52</v>
      </c>
      <c r="P945" s="73">
        <v>-58</v>
      </c>
      <c r="Q945" s="73">
        <v>-33</v>
      </c>
      <c r="R945" s="73">
        <v>0</v>
      </c>
      <c r="S945" s="73">
        <v>0</v>
      </c>
      <c r="T945" s="73">
        <v>0</v>
      </c>
      <c r="U945" s="73">
        <v>0</v>
      </c>
      <c r="V945" s="73">
        <v>0</v>
      </c>
      <c r="W945" s="73">
        <v>0</v>
      </c>
      <c r="X945" s="73">
        <v>0</v>
      </c>
      <c r="Y945" s="73">
        <v>0</v>
      </c>
      <c r="Z945" s="73">
        <v>1923</v>
      </c>
      <c r="AA945" s="73">
        <v>1623</v>
      </c>
      <c r="AB945" s="73">
        <v>0</v>
      </c>
      <c r="AC945" s="73">
        <v>0</v>
      </c>
      <c r="AD945" s="73">
        <v>0</v>
      </c>
      <c r="AE945" s="73">
        <v>0</v>
      </c>
      <c r="AF945" s="74">
        <f>tblData[[#This Row],[Gross Sales]]+tblData[[#This Row],[Trade Discounts]]+tblData[[#This Row],[Returns]]</f>
        <v>1244</v>
      </c>
      <c r="AG945" s="74">
        <f>tblData[[#This Row],[Material Cost]]+tblData[[#This Row],[Conversion Cost]]+tblData[[#This Row],[Inbound Freight]]</f>
        <v>-498</v>
      </c>
      <c r="AH945" s="74">
        <f>tblData[[#This Row],[Net Revenue]]+tblData[[#This Row],[COGS]]</f>
        <v>746</v>
      </c>
      <c r="AI945" s="74">
        <f>tblData[[#This Row],[Advertising]]+tblData[[#This Row],[Promotions]]</f>
        <v>-143</v>
      </c>
      <c r="AJ945" s="74">
        <f>tblData[[#This Row],[Outbound Logistics]]+tblData[[#This Row],[Direct Selling]]</f>
        <v>-91</v>
      </c>
      <c r="AK945" s="74">
        <f>tblData[[#This Row],[Gross Profit]]+tblData[[#This Row],[AP Spend]]+tblData[[#This Row],[Cost to Serve]]</f>
        <v>512</v>
      </c>
    </row>
    <row r="946" spans="2:37" x14ac:dyDescent="0.25">
      <c r="B946" s="71" t="s">
        <v>51</v>
      </c>
      <c r="C946" s="71">
        <v>2026</v>
      </c>
      <c r="D946" s="71">
        <v>1</v>
      </c>
      <c r="E946" s="71" t="s">
        <v>45</v>
      </c>
      <c r="F946" s="71" t="s">
        <v>39</v>
      </c>
      <c r="G946" s="72">
        <v>151.5</v>
      </c>
      <c r="H946" s="73">
        <v>1358</v>
      </c>
      <c r="I946" s="73">
        <v>-310</v>
      </c>
      <c r="J946" s="73">
        <v>-14</v>
      </c>
      <c r="K946" s="73">
        <v>-356</v>
      </c>
      <c r="L946" s="73">
        <v>-88</v>
      </c>
      <c r="M946" s="73">
        <v>-53</v>
      </c>
      <c r="N946" s="73">
        <v>-52</v>
      </c>
      <c r="O946" s="73">
        <v>-30</v>
      </c>
      <c r="P946" s="73">
        <v>-49</v>
      </c>
      <c r="Q946" s="73">
        <v>-27</v>
      </c>
      <c r="R946" s="73">
        <v>0</v>
      </c>
      <c r="S946" s="73">
        <v>0</v>
      </c>
      <c r="T946" s="73">
        <v>0</v>
      </c>
      <c r="U946" s="73">
        <v>0</v>
      </c>
      <c r="V946" s="73">
        <v>0</v>
      </c>
      <c r="W946" s="73">
        <v>0</v>
      </c>
      <c r="X946" s="73">
        <v>0</v>
      </c>
      <c r="Y946" s="73">
        <v>0</v>
      </c>
      <c r="Z946" s="73">
        <v>1598</v>
      </c>
      <c r="AA946" s="73">
        <v>1373</v>
      </c>
      <c r="AB946" s="73">
        <v>0</v>
      </c>
      <c r="AC946" s="73">
        <v>0</v>
      </c>
      <c r="AD946" s="73">
        <v>0</v>
      </c>
      <c r="AE946" s="73">
        <v>0</v>
      </c>
      <c r="AF946" s="74">
        <f>tblData[[#This Row],[Gross Sales]]+tblData[[#This Row],[Trade Discounts]]+tblData[[#This Row],[Returns]]</f>
        <v>1034</v>
      </c>
      <c r="AG946" s="74">
        <f>tblData[[#This Row],[Material Cost]]+tblData[[#This Row],[Conversion Cost]]+tblData[[#This Row],[Inbound Freight]]</f>
        <v>-497</v>
      </c>
      <c r="AH946" s="74">
        <f>tblData[[#This Row],[Net Revenue]]+tblData[[#This Row],[COGS]]</f>
        <v>537</v>
      </c>
      <c r="AI946" s="74">
        <f>tblData[[#This Row],[Advertising]]+tblData[[#This Row],[Promotions]]</f>
        <v>-82</v>
      </c>
      <c r="AJ946" s="74">
        <f>tblData[[#This Row],[Outbound Logistics]]+tblData[[#This Row],[Direct Selling]]</f>
        <v>-76</v>
      </c>
      <c r="AK946" s="74">
        <f>tblData[[#This Row],[Gross Profit]]+tblData[[#This Row],[AP Spend]]+tblData[[#This Row],[Cost to Serve]]</f>
        <v>379</v>
      </c>
    </row>
    <row r="947" spans="2:37" x14ac:dyDescent="0.25">
      <c r="B947" s="71" t="s">
        <v>51</v>
      </c>
      <c r="C947" s="71">
        <v>2026</v>
      </c>
      <c r="D947" s="71">
        <v>1</v>
      </c>
      <c r="E947" s="71" t="s">
        <v>45</v>
      </c>
      <c r="F947" s="71" t="s">
        <v>40</v>
      </c>
      <c r="G947" s="72">
        <v>145.5</v>
      </c>
      <c r="H947" s="73">
        <v>1013</v>
      </c>
      <c r="I947" s="73">
        <v>-232</v>
      </c>
      <c r="J947" s="73">
        <v>-10</v>
      </c>
      <c r="K947" s="73">
        <v>-295</v>
      </c>
      <c r="L947" s="73">
        <v>-73</v>
      </c>
      <c r="M947" s="73">
        <v>-44</v>
      </c>
      <c r="N947" s="73">
        <v>-26</v>
      </c>
      <c r="O947" s="73">
        <v>-15</v>
      </c>
      <c r="P947" s="73">
        <v>-36</v>
      </c>
      <c r="Q947" s="73">
        <v>-20</v>
      </c>
      <c r="R947" s="73">
        <v>0</v>
      </c>
      <c r="S947" s="73">
        <v>0</v>
      </c>
      <c r="T947" s="73">
        <v>0</v>
      </c>
      <c r="U947" s="73">
        <v>0</v>
      </c>
      <c r="V947" s="73">
        <v>0</v>
      </c>
      <c r="W947" s="73">
        <v>0</v>
      </c>
      <c r="X947" s="73">
        <v>0</v>
      </c>
      <c r="Y947" s="73">
        <v>0</v>
      </c>
      <c r="Z947" s="73">
        <v>1192</v>
      </c>
      <c r="AA947" s="73">
        <v>1070</v>
      </c>
      <c r="AB947" s="73">
        <v>0</v>
      </c>
      <c r="AC947" s="73">
        <v>0</v>
      </c>
      <c r="AD947" s="73">
        <v>0</v>
      </c>
      <c r="AE947" s="73">
        <v>0</v>
      </c>
      <c r="AF947" s="74">
        <f>tblData[[#This Row],[Gross Sales]]+tblData[[#This Row],[Trade Discounts]]+tblData[[#This Row],[Returns]]</f>
        <v>771</v>
      </c>
      <c r="AG947" s="74">
        <f>tblData[[#This Row],[Material Cost]]+tblData[[#This Row],[Conversion Cost]]+tblData[[#This Row],[Inbound Freight]]</f>
        <v>-412</v>
      </c>
      <c r="AH947" s="74">
        <f>tblData[[#This Row],[Net Revenue]]+tblData[[#This Row],[COGS]]</f>
        <v>359</v>
      </c>
      <c r="AI947" s="74">
        <f>tblData[[#This Row],[Advertising]]+tblData[[#This Row],[Promotions]]</f>
        <v>-41</v>
      </c>
      <c r="AJ947" s="74">
        <f>tblData[[#This Row],[Outbound Logistics]]+tblData[[#This Row],[Direct Selling]]</f>
        <v>-56</v>
      </c>
      <c r="AK947" s="74">
        <f>tblData[[#This Row],[Gross Profit]]+tblData[[#This Row],[AP Spend]]+tblData[[#This Row],[Cost to Serve]]</f>
        <v>262</v>
      </c>
    </row>
    <row r="948" spans="2:37" x14ac:dyDescent="0.25">
      <c r="B948" s="71" t="s">
        <v>51</v>
      </c>
      <c r="C948" s="71">
        <v>2026</v>
      </c>
      <c r="D948" s="71">
        <v>1</v>
      </c>
      <c r="E948" s="71" t="s">
        <v>45</v>
      </c>
      <c r="F948" s="71" t="s">
        <v>41</v>
      </c>
      <c r="G948" s="72">
        <v>73.3</v>
      </c>
      <c r="H948" s="73">
        <v>804</v>
      </c>
      <c r="I948" s="73">
        <v>-184</v>
      </c>
      <c r="J948" s="73">
        <v>-8</v>
      </c>
      <c r="K948" s="73">
        <v>-193</v>
      </c>
      <c r="L948" s="73">
        <v>-48</v>
      </c>
      <c r="M948" s="73">
        <v>-29</v>
      </c>
      <c r="N948" s="73">
        <v>-55</v>
      </c>
      <c r="O948" s="73">
        <v>-32</v>
      </c>
      <c r="P948" s="73">
        <v>-29</v>
      </c>
      <c r="Q948" s="73">
        <v>-16</v>
      </c>
      <c r="R948" s="73">
        <v>0</v>
      </c>
      <c r="S948" s="73">
        <v>0</v>
      </c>
      <c r="T948" s="73">
        <v>0</v>
      </c>
      <c r="U948" s="73">
        <v>0</v>
      </c>
      <c r="V948" s="73">
        <v>0</v>
      </c>
      <c r="W948" s="73">
        <v>0</v>
      </c>
      <c r="X948" s="73">
        <v>0</v>
      </c>
      <c r="Y948" s="73">
        <v>0</v>
      </c>
      <c r="Z948" s="73">
        <v>946</v>
      </c>
      <c r="AA948" s="73">
        <v>834</v>
      </c>
      <c r="AB948" s="73">
        <v>0</v>
      </c>
      <c r="AC948" s="73">
        <v>0</v>
      </c>
      <c r="AD948" s="73">
        <v>0</v>
      </c>
      <c r="AE948" s="73">
        <v>0</v>
      </c>
      <c r="AF948" s="74">
        <f>tblData[[#This Row],[Gross Sales]]+tblData[[#This Row],[Trade Discounts]]+tblData[[#This Row],[Returns]]</f>
        <v>612</v>
      </c>
      <c r="AG948" s="74">
        <f>tblData[[#This Row],[Material Cost]]+tblData[[#This Row],[Conversion Cost]]+tblData[[#This Row],[Inbound Freight]]</f>
        <v>-270</v>
      </c>
      <c r="AH948" s="74">
        <f>tblData[[#This Row],[Net Revenue]]+tblData[[#This Row],[COGS]]</f>
        <v>342</v>
      </c>
      <c r="AI948" s="74">
        <f>tblData[[#This Row],[Advertising]]+tblData[[#This Row],[Promotions]]</f>
        <v>-87</v>
      </c>
      <c r="AJ948" s="74">
        <f>tblData[[#This Row],[Outbound Logistics]]+tblData[[#This Row],[Direct Selling]]</f>
        <v>-45</v>
      </c>
      <c r="AK948" s="74">
        <f>tblData[[#This Row],[Gross Profit]]+tblData[[#This Row],[AP Spend]]+tblData[[#This Row],[Cost to Serve]]</f>
        <v>210</v>
      </c>
    </row>
    <row r="949" spans="2:37" x14ac:dyDescent="0.25">
      <c r="B949" s="71" t="s">
        <v>51</v>
      </c>
      <c r="C949" s="71">
        <v>2026</v>
      </c>
      <c r="D949" s="71">
        <v>1</v>
      </c>
      <c r="E949" s="71" t="s">
        <v>45</v>
      </c>
      <c r="F949" s="71" t="s">
        <v>42</v>
      </c>
      <c r="G949" s="72">
        <v>90.1</v>
      </c>
      <c r="H949" s="73">
        <v>536</v>
      </c>
      <c r="I949" s="73">
        <v>-123</v>
      </c>
      <c r="J949" s="73">
        <v>-5</v>
      </c>
      <c r="K949" s="73">
        <v>-172</v>
      </c>
      <c r="L949" s="73">
        <v>-42</v>
      </c>
      <c r="M949" s="73">
        <v>-26</v>
      </c>
      <c r="N949" s="73">
        <v>-11</v>
      </c>
      <c r="O949" s="73">
        <v>-6</v>
      </c>
      <c r="P949" s="73">
        <v>-19</v>
      </c>
      <c r="Q949" s="73">
        <v>-11</v>
      </c>
      <c r="R949" s="73">
        <v>0</v>
      </c>
      <c r="S949" s="73">
        <v>0</v>
      </c>
      <c r="T949" s="73">
        <v>0</v>
      </c>
      <c r="U949" s="73">
        <v>0</v>
      </c>
      <c r="V949" s="73">
        <v>0</v>
      </c>
      <c r="W949" s="73">
        <v>0</v>
      </c>
      <c r="X949" s="73">
        <v>0</v>
      </c>
      <c r="Y949" s="73">
        <v>0</v>
      </c>
      <c r="Z949" s="73">
        <v>631</v>
      </c>
      <c r="AA949" s="73">
        <v>970</v>
      </c>
      <c r="AB949" s="73">
        <v>0</v>
      </c>
      <c r="AC949" s="73">
        <v>0</v>
      </c>
      <c r="AD949" s="73">
        <v>0</v>
      </c>
      <c r="AE949" s="73">
        <v>0</v>
      </c>
      <c r="AF949" s="74">
        <f>tblData[[#This Row],[Gross Sales]]+tblData[[#This Row],[Trade Discounts]]+tblData[[#This Row],[Returns]]</f>
        <v>408</v>
      </c>
      <c r="AG949" s="74">
        <f>tblData[[#This Row],[Material Cost]]+tblData[[#This Row],[Conversion Cost]]+tblData[[#This Row],[Inbound Freight]]</f>
        <v>-240</v>
      </c>
      <c r="AH949" s="74">
        <f>tblData[[#This Row],[Net Revenue]]+tblData[[#This Row],[COGS]]</f>
        <v>168</v>
      </c>
      <c r="AI949" s="74">
        <f>tblData[[#This Row],[Advertising]]+tblData[[#This Row],[Promotions]]</f>
        <v>-17</v>
      </c>
      <c r="AJ949" s="74">
        <f>tblData[[#This Row],[Outbound Logistics]]+tblData[[#This Row],[Direct Selling]]</f>
        <v>-30</v>
      </c>
      <c r="AK949" s="74">
        <f>tblData[[#This Row],[Gross Profit]]+tblData[[#This Row],[AP Spend]]+tblData[[#This Row],[Cost to Serve]]</f>
        <v>121</v>
      </c>
    </row>
    <row r="950" spans="2:37" x14ac:dyDescent="0.25">
      <c r="B950" s="71" t="s">
        <v>51</v>
      </c>
      <c r="C950" s="71">
        <v>2026</v>
      </c>
      <c r="D950" s="71">
        <v>1</v>
      </c>
      <c r="E950" s="71" t="s">
        <v>45</v>
      </c>
      <c r="F950" s="71" t="s">
        <v>43</v>
      </c>
      <c r="G950" s="72">
        <v>17.3</v>
      </c>
      <c r="H950" s="73">
        <v>309</v>
      </c>
      <c r="I950" s="73">
        <v>-71</v>
      </c>
      <c r="J950" s="73">
        <v>-3</v>
      </c>
      <c r="K950" s="73">
        <v>-86</v>
      </c>
      <c r="L950" s="73">
        <v>-21</v>
      </c>
      <c r="M950" s="73">
        <v>-13</v>
      </c>
      <c r="N950" s="73">
        <v>-30</v>
      </c>
      <c r="O950" s="73">
        <v>-17</v>
      </c>
      <c r="P950" s="73">
        <v>-11</v>
      </c>
      <c r="Q950" s="73">
        <v>-6</v>
      </c>
      <c r="R950" s="73">
        <v>0</v>
      </c>
      <c r="S950" s="73">
        <v>0</v>
      </c>
      <c r="T950" s="73">
        <v>0</v>
      </c>
      <c r="U950" s="73">
        <v>0</v>
      </c>
      <c r="V950" s="73">
        <v>0</v>
      </c>
      <c r="W950" s="73">
        <v>0</v>
      </c>
      <c r="X950" s="73">
        <v>0</v>
      </c>
      <c r="Y950" s="73">
        <v>0</v>
      </c>
      <c r="Z950" s="73">
        <v>364</v>
      </c>
      <c r="AA950" s="73">
        <v>487</v>
      </c>
      <c r="AB950" s="73">
        <v>0</v>
      </c>
      <c r="AC950" s="73">
        <v>0</v>
      </c>
      <c r="AD950" s="73">
        <v>0</v>
      </c>
      <c r="AE950" s="73">
        <v>0</v>
      </c>
      <c r="AF950" s="74">
        <f>tblData[[#This Row],[Gross Sales]]+tblData[[#This Row],[Trade Discounts]]+tblData[[#This Row],[Returns]]</f>
        <v>235</v>
      </c>
      <c r="AG950" s="74">
        <f>tblData[[#This Row],[Material Cost]]+tblData[[#This Row],[Conversion Cost]]+tblData[[#This Row],[Inbound Freight]]</f>
        <v>-120</v>
      </c>
      <c r="AH950" s="74">
        <f>tblData[[#This Row],[Net Revenue]]+tblData[[#This Row],[COGS]]</f>
        <v>115</v>
      </c>
      <c r="AI950" s="74">
        <f>tblData[[#This Row],[Advertising]]+tblData[[#This Row],[Promotions]]</f>
        <v>-47</v>
      </c>
      <c r="AJ950" s="74">
        <f>tblData[[#This Row],[Outbound Logistics]]+tblData[[#This Row],[Direct Selling]]</f>
        <v>-17</v>
      </c>
      <c r="AK950" s="74">
        <f>tblData[[#This Row],[Gross Profit]]+tblData[[#This Row],[AP Spend]]+tblData[[#This Row],[Cost to Serve]]</f>
        <v>51</v>
      </c>
    </row>
    <row r="951" spans="2:37" x14ac:dyDescent="0.25">
      <c r="B951" s="71" t="s">
        <v>51</v>
      </c>
      <c r="C951" s="71">
        <v>2026</v>
      </c>
      <c r="D951" s="71">
        <v>1</v>
      </c>
      <c r="E951" s="71" t="s">
        <v>46</v>
      </c>
      <c r="F951" s="71" t="s">
        <v>38</v>
      </c>
      <c r="G951" s="72">
        <v>143.69999999999999</v>
      </c>
      <c r="H951" s="73">
        <v>2023</v>
      </c>
      <c r="I951" s="73">
        <v>-220</v>
      </c>
      <c r="J951" s="73">
        <v>-81</v>
      </c>
      <c r="K951" s="73">
        <v>-442</v>
      </c>
      <c r="L951" s="73">
        <v>-109</v>
      </c>
      <c r="M951" s="73">
        <v>-66</v>
      </c>
      <c r="N951" s="73">
        <v>-103</v>
      </c>
      <c r="O951" s="73">
        <v>-60</v>
      </c>
      <c r="P951" s="73">
        <v>-155</v>
      </c>
      <c r="Q951" s="73">
        <v>-40</v>
      </c>
      <c r="R951" s="73">
        <v>0</v>
      </c>
      <c r="S951" s="73">
        <v>0</v>
      </c>
      <c r="T951" s="73">
        <v>0</v>
      </c>
      <c r="U951" s="73">
        <v>0</v>
      </c>
      <c r="V951" s="73">
        <v>0</v>
      </c>
      <c r="W951" s="73">
        <v>0</v>
      </c>
      <c r="X951" s="73">
        <v>0</v>
      </c>
      <c r="Y951" s="73">
        <v>0</v>
      </c>
      <c r="Z951" s="73">
        <v>1530</v>
      </c>
      <c r="AA951" s="73">
        <v>2009</v>
      </c>
      <c r="AB951" s="73">
        <v>0</v>
      </c>
      <c r="AC951" s="73">
        <v>0</v>
      </c>
      <c r="AD951" s="73">
        <v>0</v>
      </c>
      <c r="AE951" s="73">
        <v>0</v>
      </c>
      <c r="AF951" s="74">
        <f>tblData[[#This Row],[Gross Sales]]+tblData[[#This Row],[Trade Discounts]]+tblData[[#This Row],[Returns]]</f>
        <v>1722</v>
      </c>
      <c r="AG951" s="74">
        <f>tblData[[#This Row],[Material Cost]]+tblData[[#This Row],[Conversion Cost]]+tblData[[#This Row],[Inbound Freight]]</f>
        <v>-617</v>
      </c>
      <c r="AH951" s="74">
        <f>tblData[[#This Row],[Net Revenue]]+tblData[[#This Row],[COGS]]</f>
        <v>1105</v>
      </c>
      <c r="AI951" s="74">
        <f>tblData[[#This Row],[Advertising]]+tblData[[#This Row],[Promotions]]</f>
        <v>-163</v>
      </c>
      <c r="AJ951" s="74">
        <f>tblData[[#This Row],[Outbound Logistics]]+tblData[[#This Row],[Direct Selling]]</f>
        <v>-195</v>
      </c>
      <c r="AK951" s="74">
        <f>tblData[[#This Row],[Gross Profit]]+tblData[[#This Row],[AP Spend]]+tblData[[#This Row],[Cost to Serve]]</f>
        <v>747</v>
      </c>
    </row>
    <row r="952" spans="2:37" x14ac:dyDescent="0.25">
      <c r="B952" s="71" t="s">
        <v>51</v>
      </c>
      <c r="C952" s="71">
        <v>2026</v>
      </c>
      <c r="D952" s="71">
        <v>1</v>
      </c>
      <c r="E952" s="71" t="s">
        <v>46</v>
      </c>
      <c r="F952" s="71" t="s">
        <v>39</v>
      </c>
      <c r="G952" s="72">
        <v>189.4</v>
      </c>
      <c r="H952" s="73">
        <v>1709</v>
      </c>
      <c r="I952" s="73">
        <v>-186</v>
      </c>
      <c r="J952" s="73">
        <v>-68</v>
      </c>
      <c r="K952" s="73">
        <v>-448</v>
      </c>
      <c r="L952" s="73">
        <v>-111</v>
      </c>
      <c r="M952" s="73">
        <v>-67</v>
      </c>
      <c r="N952" s="73">
        <v>-59</v>
      </c>
      <c r="O952" s="73">
        <v>-34</v>
      </c>
      <c r="P952" s="73">
        <v>-131</v>
      </c>
      <c r="Q952" s="73">
        <v>-34</v>
      </c>
      <c r="R952" s="73">
        <v>0</v>
      </c>
      <c r="S952" s="73">
        <v>0</v>
      </c>
      <c r="T952" s="73">
        <v>0</v>
      </c>
      <c r="U952" s="73">
        <v>0</v>
      </c>
      <c r="V952" s="73">
        <v>0</v>
      </c>
      <c r="W952" s="73">
        <v>0</v>
      </c>
      <c r="X952" s="73">
        <v>0</v>
      </c>
      <c r="Y952" s="73">
        <v>0</v>
      </c>
      <c r="Z952" s="73">
        <v>1293</v>
      </c>
      <c r="AA952" s="73">
        <v>1728</v>
      </c>
      <c r="AB952" s="73">
        <v>0</v>
      </c>
      <c r="AC952" s="73">
        <v>0</v>
      </c>
      <c r="AD952" s="73">
        <v>0</v>
      </c>
      <c r="AE952" s="73">
        <v>0</v>
      </c>
      <c r="AF952" s="74">
        <f>tblData[[#This Row],[Gross Sales]]+tblData[[#This Row],[Trade Discounts]]+tblData[[#This Row],[Returns]]</f>
        <v>1455</v>
      </c>
      <c r="AG952" s="74">
        <f>tblData[[#This Row],[Material Cost]]+tblData[[#This Row],[Conversion Cost]]+tblData[[#This Row],[Inbound Freight]]</f>
        <v>-626</v>
      </c>
      <c r="AH952" s="74">
        <f>tblData[[#This Row],[Net Revenue]]+tblData[[#This Row],[COGS]]</f>
        <v>829</v>
      </c>
      <c r="AI952" s="74">
        <f>tblData[[#This Row],[Advertising]]+tblData[[#This Row],[Promotions]]</f>
        <v>-93</v>
      </c>
      <c r="AJ952" s="74">
        <f>tblData[[#This Row],[Outbound Logistics]]+tblData[[#This Row],[Direct Selling]]</f>
        <v>-165</v>
      </c>
      <c r="AK952" s="74">
        <f>tblData[[#This Row],[Gross Profit]]+tblData[[#This Row],[AP Spend]]+tblData[[#This Row],[Cost to Serve]]</f>
        <v>571</v>
      </c>
    </row>
    <row r="953" spans="2:37" x14ac:dyDescent="0.25">
      <c r="B953" s="71" t="s">
        <v>51</v>
      </c>
      <c r="C953" s="71">
        <v>2026</v>
      </c>
      <c r="D953" s="71">
        <v>1</v>
      </c>
      <c r="E953" s="71" t="s">
        <v>46</v>
      </c>
      <c r="F953" s="71" t="s">
        <v>40</v>
      </c>
      <c r="G953" s="72">
        <v>180.6</v>
      </c>
      <c r="H953" s="73">
        <v>1266</v>
      </c>
      <c r="I953" s="73">
        <v>-137</v>
      </c>
      <c r="J953" s="73">
        <v>-51</v>
      </c>
      <c r="K953" s="73">
        <v>-369</v>
      </c>
      <c r="L953" s="73">
        <v>-91</v>
      </c>
      <c r="M953" s="73">
        <v>-55</v>
      </c>
      <c r="N953" s="73">
        <v>-30</v>
      </c>
      <c r="O953" s="73">
        <v>-17</v>
      </c>
      <c r="P953" s="73">
        <v>-97</v>
      </c>
      <c r="Q953" s="73">
        <v>-25</v>
      </c>
      <c r="R953" s="73">
        <v>0</v>
      </c>
      <c r="S953" s="73">
        <v>0</v>
      </c>
      <c r="T953" s="73">
        <v>0</v>
      </c>
      <c r="U953" s="73">
        <v>0</v>
      </c>
      <c r="V953" s="73">
        <v>0</v>
      </c>
      <c r="W953" s="73">
        <v>0</v>
      </c>
      <c r="X953" s="73">
        <v>0</v>
      </c>
      <c r="Y953" s="73">
        <v>0</v>
      </c>
      <c r="Z953" s="73">
        <v>957</v>
      </c>
      <c r="AA953" s="73">
        <v>1338</v>
      </c>
      <c r="AB953" s="73">
        <v>0</v>
      </c>
      <c r="AC953" s="73">
        <v>0</v>
      </c>
      <c r="AD953" s="73">
        <v>0</v>
      </c>
      <c r="AE953" s="73">
        <v>0</v>
      </c>
      <c r="AF953" s="74">
        <f>tblData[[#This Row],[Gross Sales]]+tblData[[#This Row],[Trade Discounts]]+tblData[[#This Row],[Returns]]</f>
        <v>1078</v>
      </c>
      <c r="AG953" s="74">
        <f>tblData[[#This Row],[Material Cost]]+tblData[[#This Row],[Conversion Cost]]+tblData[[#This Row],[Inbound Freight]]</f>
        <v>-515</v>
      </c>
      <c r="AH953" s="74">
        <f>tblData[[#This Row],[Net Revenue]]+tblData[[#This Row],[COGS]]</f>
        <v>563</v>
      </c>
      <c r="AI953" s="74">
        <f>tblData[[#This Row],[Advertising]]+tblData[[#This Row],[Promotions]]</f>
        <v>-47</v>
      </c>
      <c r="AJ953" s="74">
        <f>tblData[[#This Row],[Outbound Logistics]]+tblData[[#This Row],[Direct Selling]]</f>
        <v>-122</v>
      </c>
      <c r="AK953" s="74">
        <f>tblData[[#This Row],[Gross Profit]]+tblData[[#This Row],[AP Spend]]+tblData[[#This Row],[Cost to Serve]]</f>
        <v>394</v>
      </c>
    </row>
    <row r="954" spans="2:37" x14ac:dyDescent="0.25">
      <c r="B954" s="71" t="s">
        <v>51</v>
      </c>
      <c r="C954" s="71">
        <v>2026</v>
      </c>
      <c r="D954" s="71">
        <v>1</v>
      </c>
      <c r="E954" s="71" t="s">
        <v>46</v>
      </c>
      <c r="F954" s="71" t="s">
        <v>41</v>
      </c>
      <c r="G954" s="72">
        <v>91.3</v>
      </c>
      <c r="H954" s="73">
        <v>1008</v>
      </c>
      <c r="I954" s="73">
        <v>-109</v>
      </c>
      <c r="J954" s="73">
        <v>-40</v>
      </c>
      <c r="K954" s="73">
        <v>-242</v>
      </c>
      <c r="L954" s="73">
        <v>-60</v>
      </c>
      <c r="M954" s="73">
        <v>-36</v>
      </c>
      <c r="N954" s="73">
        <v>-63</v>
      </c>
      <c r="O954" s="73">
        <v>-36</v>
      </c>
      <c r="P954" s="73">
        <v>-77</v>
      </c>
      <c r="Q954" s="73">
        <v>-20</v>
      </c>
      <c r="R954" s="73">
        <v>0</v>
      </c>
      <c r="S954" s="73">
        <v>0</v>
      </c>
      <c r="T954" s="73">
        <v>0</v>
      </c>
      <c r="U954" s="73">
        <v>0</v>
      </c>
      <c r="V954" s="73">
        <v>0</v>
      </c>
      <c r="W954" s="73">
        <v>0</v>
      </c>
      <c r="X954" s="73">
        <v>0</v>
      </c>
      <c r="Y954" s="73">
        <v>0</v>
      </c>
      <c r="Z954" s="73">
        <v>762</v>
      </c>
      <c r="AA954" s="73">
        <v>1045</v>
      </c>
      <c r="AB954" s="73">
        <v>0</v>
      </c>
      <c r="AC954" s="73">
        <v>0</v>
      </c>
      <c r="AD954" s="73">
        <v>0</v>
      </c>
      <c r="AE954" s="73">
        <v>0</v>
      </c>
      <c r="AF954" s="74">
        <f>tblData[[#This Row],[Gross Sales]]+tblData[[#This Row],[Trade Discounts]]+tblData[[#This Row],[Returns]]</f>
        <v>859</v>
      </c>
      <c r="AG954" s="74">
        <f>tblData[[#This Row],[Material Cost]]+tblData[[#This Row],[Conversion Cost]]+tblData[[#This Row],[Inbound Freight]]</f>
        <v>-338</v>
      </c>
      <c r="AH954" s="74">
        <f>tblData[[#This Row],[Net Revenue]]+tblData[[#This Row],[COGS]]</f>
        <v>521</v>
      </c>
      <c r="AI954" s="74">
        <f>tblData[[#This Row],[Advertising]]+tblData[[#This Row],[Promotions]]</f>
        <v>-99</v>
      </c>
      <c r="AJ954" s="74">
        <f>tblData[[#This Row],[Outbound Logistics]]+tblData[[#This Row],[Direct Selling]]</f>
        <v>-97</v>
      </c>
      <c r="AK954" s="74">
        <f>tblData[[#This Row],[Gross Profit]]+tblData[[#This Row],[AP Spend]]+tblData[[#This Row],[Cost to Serve]]</f>
        <v>325</v>
      </c>
    </row>
    <row r="955" spans="2:37" x14ac:dyDescent="0.25">
      <c r="B955" s="71" t="s">
        <v>51</v>
      </c>
      <c r="C955" s="71">
        <v>2026</v>
      </c>
      <c r="D955" s="71">
        <v>1</v>
      </c>
      <c r="E955" s="71" t="s">
        <v>46</v>
      </c>
      <c r="F955" s="71" t="s">
        <v>42</v>
      </c>
      <c r="G955" s="72">
        <v>111.8</v>
      </c>
      <c r="H955" s="73">
        <v>670</v>
      </c>
      <c r="I955" s="73">
        <v>-73</v>
      </c>
      <c r="J955" s="73">
        <v>-27</v>
      </c>
      <c r="K955" s="73">
        <v>-215</v>
      </c>
      <c r="L955" s="73">
        <v>-53</v>
      </c>
      <c r="M955" s="73">
        <v>-32</v>
      </c>
      <c r="N955" s="73">
        <v>-12</v>
      </c>
      <c r="O955" s="73">
        <v>-7</v>
      </c>
      <c r="P955" s="73">
        <v>-51</v>
      </c>
      <c r="Q955" s="73">
        <v>-13</v>
      </c>
      <c r="R955" s="73">
        <v>0</v>
      </c>
      <c r="S955" s="73">
        <v>0</v>
      </c>
      <c r="T955" s="73">
        <v>0</v>
      </c>
      <c r="U955" s="73">
        <v>0</v>
      </c>
      <c r="V955" s="73">
        <v>0</v>
      </c>
      <c r="W955" s="73">
        <v>0</v>
      </c>
      <c r="X955" s="73">
        <v>0</v>
      </c>
      <c r="Y955" s="73">
        <v>0</v>
      </c>
      <c r="Z955" s="73">
        <v>507</v>
      </c>
      <c r="AA955" s="73">
        <v>1213</v>
      </c>
      <c r="AB955" s="73">
        <v>0</v>
      </c>
      <c r="AC955" s="73">
        <v>0</v>
      </c>
      <c r="AD955" s="73">
        <v>0</v>
      </c>
      <c r="AE955" s="73">
        <v>0</v>
      </c>
      <c r="AF955" s="74">
        <f>tblData[[#This Row],[Gross Sales]]+tblData[[#This Row],[Trade Discounts]]+tblData[[#This Row],[Returns]]</f>
        <v>570</v>
      </c>
      <c r="AG955" s="74">
        <f>tblData[[#This Row],[Material Cost]]+tblData[[#This Row],[Conversion Cost]]+tblData[[#This Row],[Inbound Freight]]</f>
        <v>-300</v>
      </c>
      <c r="AH955" s="74">
        <f>tblData[[#This Row],[Net Revenue]]+tblData[[#This Row],[COGS]]</f>
        <v>270</v>
      </c>
      <c r="AI955" s="74">
        <f>tblData[[#This Row],[Advertising]]+tblData[[#This Row],[Promotions]]</f>
        <v>-19</v>
      </c>
      <c r="AJ955" s="74">
        <f>tblData[[#This Row],[Outbound Logistics]]+tblData[[#This Row],[Direct Selling]]</f>
        <v>-64</v>
      </c>
      <c r="AK955" s="74">
        <f>tblData[[#This Row],[Gross Profit]]+tblData[[#This Row],[AP Spend]]+tblData[[#This Row],[Cost to Serve]]</f>
        <v>187</v>
      </c>
    </row>
    <row r="956" spans="2:37" x14ac:dyDescent="0.25">
      <c r="B956" s="71" t="s">
        <v>51</v>
      </c>
      <c r="C956" s="71">
        <v>2026</v>
      </c>
      <c r="D956" s="71">
        <v>1</v>
      </c>
      <c r="E956" s="71" t="s">
        <v>46</v>
      </c>
      <c r="F956" s="71" t="s">
        <v>43</v>
      </c>
      <c r="G956" s="72">
        <v>21.5</v>
      </c>
      <c r="H956" s="73">
        <v>388</v>
      </c>
      <c r="I956" s="73">
        <v>-42</v>
      </c>
      <c r="J956" s="73">
        <v>-16</v>
      </c>
      <c r="K956" s="73">
        <v>-107</v>
      </c>
      <c r="L956" s="73">
        <v>-27</v>
      </c>
      <c r="M956" s="73">
        <v>-16</v>
      </c>
      <c r="N956" s="73">
        <v>-34</v>
      </c>
      <c r="O956" s="73">
        <v>-20</v>
      </c>
      <c r="P956" s="73">
        <v>-30</v>
      </c>
      <c r="Q956" s="73">
        <v>-8</v>
      </c>
      <c r="R956" s="73">
        <v>0</v>
      </c>
      <c r="S956" s="73">
        <v>0</v>
      </c>
      <c r="T956" s="73">
        <v>0</v>
      </c>
      <c r="U956" s="73">
        <v>0</v>
      </c>
      <c r="V956" s="73">
        <v>0</v>
      </c>
      <c r="W956" s="73">
        <v>0</v>
      </c>
      <c r="X956" s="73">
        <v>0</v>
      </c>
      <c r="Y956" s="73">
        <v>0</v>
      </c>
      <c r="Z956" s="73">
        <v>294</v>
      </c>
      <c r="AA956" s="73">
        <v>612</v>
      </c>
      <c r="AB956" s="73">
        <v>0</v>
      </c>
      <c r="AC956" s="73">
        <v>0</v>
      </c>
      <c r="AD956" s="73">
        <v>0</v>
      </c>
      <c r="AE956" s="73">
        <v>0</v>
      </c>
      <c r="AF956" s="74">
        <f>tblData[[#This Row],[Gross Sales]]+tblData[[#This Row],[Trade Discounts]]+tblData[[#This Row],[Returns]]</f>
        <v>330</v>
      </c>
      <c r="AG956" s="74">
        <f>tblData[[#This Row],[Material Cost]]+tblData[[#This Row],[Conversion Cost]]+tblData[[#This Row],[Inbound Freight]]</f>
        <v>-150</v>
      </c>
      <c r="AH956" s="74">
        <f>tblData[[#This Row],[Net Revenue]]+tblData[[#This Row],[COGS]]</f>
        <v>180</v>
      </c>
      <c r="AI956" s="74">
        <f>tblData[[#This Row],[Advertising]]+tblData[[#This Row],[Promotions]]</f>
        <v>-54</v>
      </c>
      <c r="AJ956" s="74">
        <f>tblData[[#This Row],[Outbound Logistics]]+tblData[[#This Row],[Direct Selling]]</f>
        <v>-38</v>
      </c>
      <c r="AK956" s="74">
        <f>tblData[[#This Row],[Gross Profit]]+tblData[[#This Row],[AP Spend]]+tblData[[#This Row],[Cost to Serve]]</f>
        <v>88</v>
      </c>
    </row>
    <row r="957" spans="2:37" x14ac:dyDescent="0.25">
      <c r="B957" s="71" t="s">
        <v>51</v>
      </c>
      <c r="C957" s="71">
        <v>2026</v>
      </c>
      <c r="D957" s="71">
        <v>1</v>
      </c>
      <c r="E957" s="71" t="s">
        <v>47</v>
      </c>
      <c r="F957" s="71" t="s">
        <v>38</v>
      </c>
      <c r="G957" s="72">
        <v>53.4</v>
      </c>
      <c r="H957" s="73">
        <v>754</v>
      </c>
      <c r="I957" s="73">
        <v>-23</v>
      </c>
      <c r="J957" s="73">
        <v>-38</v>
      </c>
      <c r="K957" s="73">
        <v>-165</v>
      </c>
      <c r="L957" s="73">
        <v>-41</v>
      </c>
      <c r="M957" s="73">
        <v>-25</v>
      </c>
      <c r="N957" s="73">
        <v>-39</v>
      </c>
      <c r="O957" s="73">
        <v>-22</v>
      </c>
      <c r="P957" s="73">
        <v>-92</v>
      </c>
      <c r="Q957" s="73">
        <v>-30</v>
      </c>
      <c r="R957" s="73">
        <v>0</v>
      </c>
      <c r="S957" s="73">
        <v>0</v>
      </c>
      <c r="T957" s="73">
        <v>0</v>
      </c>
      <c r="U957" s="73">
        <v>0</v>
      </c>
      <c r="V957" s="73">
        <v>0</v>
      </c>
      <c r="W957" s="73">
        <v>0</v>
      </c>
      <c r="X957" s="73">
        <v>0</v>
      </c>
      <c r="Y957" s="73">
        <v>0</v>
      </c>
      <c r="Z957" s="73">
        <v>114</v>
      </c>
      <c r="AA957" s="73">
        <v>748</v>
      </c>
      <c r="AB957" s="73">
        <v>0</v>
      </c>
      <c r="AC957" s="73">
        <v>0</v>
      </c>
      <c r="AD957" s="73">
        <v>0</v>
      </c>
      <c r="AE957" s="73">
        <v>0</v>
      </c>
      <c r="AF957" s="74">
        <f>tblData[[#This Row],[Gross Sales]]+tblData[[#This Row],[Trade Discounts]]+tblData[[#This Row],[Returns]]</f>
        <v>693</v>
      </c>
      <c r="AG957" s="74">
        <f>tblData[[#This Row],[Material Cost]]+tblData[[#This Row],[Conversion Cost]]+tblData[[#This Row],[Inbound Freight]]</f>
        <v>-231</v>
      </c>
      <c r="AH957" s="74">
        <f>tblData[[#This Row],[Net Revenue]]+tblData[[#This Row],[COGS]]</f>
        <v>462</v>
      </c>
      <c r="AI957" s="74">
        <f>tblData[[#This Row],[Advertising]]+tblData[[#This Row],[Promotions]]</f>
        <v>-61</v>
      </c>
      <c r="AJ957" s="74">
        <f>tblData[[#This Row],[Outbound Logistics]]+tblData[[#This Row],[Direct Selling]]</f>
        <v>-122</v>
      </c>
      <c r="AK957" s="74">
        <f>tblData[[#This Row],[Gross Profit]]+tblData[[#This Row],[AP Spend]]+tblData[[#This Row],[Cost to Serve]]</f>
        <v>279</v>
      </c>
    </row>
    <row r="958" spans="2:37" x14ac:dyDescent="0.25">
      <c r="B958" s="71" t="s">
        <v>51</v>
      </c>
      <c r="C958" s="71">
        <v>2026</v>
      </c>
      <c r="D958" s="71">
        <v>1</v>
      </c>
      <c r="E958" s="71" t="s">
        <v>47</v>
      </c>
      <c r="F958" s="71" t="s">
        <v>39</v>
      </c>
      <c r="G958" s="72">
        <v>69.599999999999994</v>
      </c>
      <c r="H958" s="73">
        <v>630</v>
      </c>
      <c r="I958" s="73">
        <v>-19</v>
      </c>
      <c r="J958" s="73">
        <v>-31</v>
      </c>
      <c r="K958" s="73">
        <v>-165</v>
      </c>
      <c r="L958" s="73">
        <v>-41</v>
      </c>
      <c r="M958" s="73">
        <v>-25</v>
      </c>
      <c r="N958" s="73">
        <v>-22</v>
      </c>
      <c r="O958" s="73">
        <v>-13</v>
      </c>
      <c r="P958" s="73">
        <v>-77</v>
      </c>
      <c r="Q958" s="73">
        <v>-25</v>
      </c>
      <c r="R958" s="73">
        <v>0</v>
      </c>
      <c r="S958" s="73">
        <v>0</v>
      </c>
      <c r="T958" s="73">
        <v>0</v>
      </c>
      <c r="U958" s="73">
        <v>0</v>
      </c>
      <c r="V958" s="73">
        <v>0</v>
      </c>
      <c r="W958" s="73">
        <v>0</v>
      </c>
      <c r="X958" s="73">
        <v>0</v>
      </c>
      <c r="Y958" s="73">
        <v>0</v>
      </c>
      <c r="Z958" s="73">
        <v>95</v>
      </c>
      <c r="AA958" s="73">
        <v>637</v>
      </c>
      <c r="AB958" s="73">
        <v>0</v>
      </c>
      <c r="AC958" s="73">
        <v>0</v>
      </c>
      <c r="AD958" s="73">
        <v>0</v>
      </c>
      <c r="AE958" s="73">
        <v>0</v>
      </c>
      <c r="AF958" s="74">
        <f>tblData[[#This Row],[Gross Sales]]+tblData[[#This Row],[Trade Discounts]]+tblData[[#This Row],[Returns]]</f>
        <v>580</v>
      </c>
      <c r="AG958" s="74">
        <f>tblData[[#This Row],[Material Cost]]+tblData[[#This Row],[Conversion Cost]]+tblData[[#This Row],[Inbound Freight]]</f>
        <v>-231</v>
      </c>
      <c r="AH958" s="74">
        <f>tblData[[#This Row],[Net Revenue]]+tblData[[#This Row],[COGS]]</f>
        <v>349</v>
      </c>
      <c r="AI958" s="74">
        <f>tblData[[#This Row],[Advertising]]+tblData[[#This Row],[Promotions]]</f>
        <v>-35</v>
      </c>
      <c r="AJ958" s="74">
        <f>tblData[[#This Row],[Outbound Logistics]]+tblData[[#This Row],[Direct Selling]]</f>
        <v>-102</v>
      </c>
      <c r="AK958" s="74">
        <f>tblData[[#This Row],[Gross Profit]]+tblData[[#This Row],[AP Spend]]+tblData[[#This Row],[Cost to Serve]]</f>
        <v>212</v>
      </c>
    </row>
    <row r="959" spans="2:37" x14ac:dyDescent="0.25">
      <c r="B959" s="71" t="s">
        <v>51</v>
      </c>
      <c r="C959" s="71">
        <v>2026</v>
      </c>
      <c r="D959" s="71">
        <v>1</v>
      </c>
      <c r="E959" s="71" t="s">
        <v>47</v>
      </c>
      <c r="F959" s="71" t="s">
        <v>40</v>
      </c>
      <c r="G959" s="72">
        <v>66.099999999999994</v>
      </c>
      <c r="H959" s="73">
        <v>465</v>
      </c>
      <c r="I959" s="73">
        <v>-14</v>
      </c>
      <c r="J959" s="73">
        <v>-23</v>
      </c>
      <c r="K959" s="73">
        <v>-135</v>
      </c>
      <c r="L959" s="73">
        <v>-33</v>
      </c>
      <c r="M959" s="73">
        <v>-20</v>
      </c>
      <c r="N959" s="73">
        <v>-11</v>
      </c>
      <c r="O959" s="73">
        <v>-6</v>
      </c>
      <c r="P959" s="73">
        <v>-57</v>
      </c>
      <c r="Q959" s="73">
        <v>-19</v>
      </c>
      <c r="R959" s="73">
        <v>0</v>
      </c>
      <c r="S959" s="73">
        <v>0</v>
      </c>
      <c r="T959" s="73">
        <v>0</v>
      </c>
      <c r="U959" s="73">
        <v>0</v>
      </c>
      <c r="V959" s="73">
        <v>0</v>
      </c>
      <c r="W959" s="73">
        <v>0</v>
      </c>
      <c r="X959" s="73">
        <v>0</v>
      </c>
      <c r="Y959" s="73">
        <v>0</v>
      </c>
      <c r="Z959" s="73">
        <v>70</v>
      </c>
      <c r="AA959" s="73">
        <v>491</v>
      </c>
      <c r="AB959" s="73">
        <v>0</v>
      </c>
      <c r="AC959" s="73">
        <v>0</v>
      </c>
      <c r="AD959" s="73">
        <v>0</v>
      </c>
      <c r="AE959" s="73">
        <v>0</v>
      </c>
      <c r="AF959" s="74">
        <f>tblData[[#This Row],[Gross Sales]]+tblData[[#This Row],[Trade Discounts]]+tblData[[#This Row],[Returns]]</f>
        <v>428</v>
      </c>
      <c r="AG959" s="74">
        <f>tblData[[#This Row],[Material Cost]]+tblData[[#This Row],[Conversion Cost]]+tblData[[#This Row],[Inbound Freight]]</f>
        <v>-188</v>
      </c>
      <c r="AH959" s="74">
        <f>tblData[[#This Row],[Net Revenue]]+tblData[[#This Row],[COGS]]</f>
        <v>240</v>
      </c>
      <c r="AI959" s="74">
        <f>tblData[[#This Row],[Advertising]]+tblData[[#This Row],[Promotions]]</f>
        <v>-17</v>
      </c>
      <c r="AJ959" s="74">
        <f>tblData[[#This Row],[Outbound Logistics]]+tblData[[#This Row],[Direct Selling]]</f>
        <v>-76</v>
      </c>
      <c r="AK959" s="74">
        <f>tblData[[#This Row],[Gross Profit]]+tblData[[#This Row],[AP Spend]]+tblData[[#This Row],[Cost to Serve]]</f>
        <v>147</v>
      </c>
    </row>
    <row r="960" spans="2:37" x14ac:dyDescent="0.25">
      <c r="B960" s="71" t="s">
        <v>51</v>
      </c>
      <c r="C960" s="71">
        <v>2026</v>
      </c>
      <c r="D960" s="71">
        <v>1</v>
      </c>
      <c r="E960" s="71" t="s">
        <v>47</v>
      </c>
      <c r="F960" s="71" t="s">
        <v>41</v>
      </c>
      <c r="G960" s="72">
        <v>33.4</v>
      </c>
      <c r="H960" s="73">
        <v>370</v>
      </c>
      <c r="I960" s="73">
        <v>-11</v>
      </c>
      <c r="J960" s="73">
        <v>-19</v>
      </c>
      <c r="K960" s="73">
        <v>-89</v>
      </c>
      <c r="L960" s="73">
        <v>-22</v>
      </c>
      <c r="M960" s="73">
        <v>-13</v>
      </c>
      <c r="N960" s="73">
        <v>-24</v>
      </c>
      <c r="O960" s="73">
        <v>-14</v>
      </c>
      <c r="P960" s="73">
        <v>-45</v>
      </c>
      <c r="Q960" s="73">
        <v>-15</v>
      </c>
      <c r="R960" s="73">
        <v>0</v>
      </c>
      <c r="S960" s="73">
        <v>0</v>
      </c>
      <c r="T960" s="73">
        <v>0</v>
      </c>
      <c r="U960" s="73">
        <v>0</v>
      </c>
      <c r="V960" s="73">
        <v>0</v>
      </c>
      <c r="W960" s="73">
        <v>0</v>
      </c>
      <c r="X960" s="73">
        <v>0</v>
      </c>
      <c r="Y960" s="73">
        <v>0</v>
      </c>
      <c r="Z960" s="73">
        <v>56</v>
      </c>
      <c r="AA960" s="73">
        <v>384</v>
      </c>
      <c r="AB960" s="73">
        <v>0</v>
      </c>
      <c r="AC960" s="73">
        <v>0</v>
      </c>
      <c r="AD960" s="73">
        <v>0</v>
      </c>
      <c r="AE960" s="73">
        <v>0</v>
      </c>
      <c r="AF960" s="74">
        <f>tblData[[#This Row],[Gross Sales]]+tblData[[#This Row],[Trade Discounts]]+tblData[[#This Row],[Returns]]</f>
        <v>340</v>
      </c>
      <c r="AG960" s="74">
        <f>tblData[[#This Row],[Material Cost]]+tblData[[#This Row],[Conversion Cost]]+tblData[[#This Row],[Inbound Freight]]</f>
        <v>-124</v>
      </c>
      <c r="AH960" s="74">
        <f>tblData[[#This Row],[Net Revenue]]+tblData[[#This Row],[COGS]]</f>
        <v>216</v>
      </c>
      <c r="AI960" s="74">
        <f>tblData[[#This Row],[Advertising]]+tblData[[#This Row],[Promotions]]</f>
        <v>-38</v>
      </c>
      <c r="AJ960" s="74">
        <f>tblData[[#This Row],[Outbound Logistics]]+tblData[[#This Row],[Direct Selling]]</f>
        <v>-60</v>
      </c>
      <c r="AK960" s="74">
        <f>tblData[[#This Row],[Gross Profit]]+tblData[[#This Row],[AP Spend]]+tblData[[#This Row],[Cost to Serve]]</f>
        <v>118</v>
      </c>
    </row>
    <row r="961" spans="2:37" x14ac:dyDescent="0.25">
      <c r="B961" s="71" t="s">
        <v>51</v>
      </c>
      <c r="C961" s="71">
        <v>2026</v>
      </c>
      <c r="D961" s="71">
        <v>1</v>
      </c>
      <c r="E961" s="71" t="s">
        <v>47</v>
      </c>
      <c r="F961" s="71" t="s">
        <v>42</v>
      </c>
      <c r="G961" s="72">
        <v>41.1</v>
      </c>
      <c r="H961" s="73">
        <v>247</v>
      </c>
      <c r="I961" s="73">
        <v>-7</v>
      </c>
      <c r="J961" s="73">
        <v>-12</v>
      </c>
      <c r="K961" s="73">
        <v>-79</v>
      </c>
      <c r="L961" s="73">
        <v>-20</v>
      </c>
      <c r="M961" s="73">
        <v>-12</v>
      </c>
      <c r="N961" s="73">
        <v>-5</v>
      </c>
      <c r="O961" s="73">
        <v>-3</v>
      </c>
      <c r="P961" s="73">
        <v>-30</v>
      </c>
      <c r="Q961" s="73">
        <v>-10</v>
      </c>
      <c r="R961" s="73">
        <v>0</v>
      </c>
      <c r="S961" s="73">
        <v>0</v>
      </c>
      <c r="T961" s="73">
        <v>0</v>
      </c>
      <c r="U961" s="73">
        <v>0</v>
      </c>
      <c r="V961" s="73">
        <v>0</v>
      </c>
      <c r="W961" s="73">
        <v>0</v>
      </c>
      <c r="X961" s="73">
        <v>0</v>
      </c>
      <c r="Y961" s="73">
        <v>0</v>
      </c>
      <c r="Z961" s="73">
        <v>37</v>
      </c>
      <c r="AA961" s="73">
        <v>447</v>
      </c>
      <c r="AB961" s="73">
        <v>0</v>
      </c>
      <c r="AC961" s="73">
        <v>0</v>
      </c>
      <c r="AD961" s="73">
        <v>0</v>
      </c>
      <c r="AE961" s="73">
        <v>0</v>
      </c>
      <c r="AF961" s="74">
        <f>tblData[[#This Row],[Gross Sales]]+tblData[[#This Row],[Trade Discounts]]+tblData[[#This Row],[Returns]]</f>
        <v>228</v>
      </c>
      <c r="AG961" s="74">
        <f>tblData[[#This Row],[Material Cost]]+tblData[[#This Row],[Conversion Cost]]+tblData[[#This Row],[Inbound Freight]]</f>
        <v>-111</v>
      </c>
      <c r="AH961" s="74">
        <f>tblData[[#This Row],[Net Revenue]]+tblData[[#This Row],[COGS]]</f>
        <v>117</v>
      </c>
      <c r="AI961" s="74">
        <f>tblData[[#This Row],[Advertising]]+tblData[[#This Row],[Promotions]]</f>
        <v>-8</v>
      </c>
      <c r="AJ961" s="74">
        <f>tblData[[#This Row],[Outbound Logistics]]+tblData[[#This Row],[Direct Selling]]</f>
        <v>-40</v>
      </c>
      <c r="AK961" s="74">
        <f>tblData[[#This Row],[Gross Profit]]+tblData[[#This Row],[AP Spend]]+tblData[[#This Row],[Cost to Serve]]</f>
        <v>69</v>
      </c>
    </row>
    <row r="962" spans="2:37" x14ac:dyDescent="0.25">
      <c r="B962" s="71" t="s">
        <v>51</v>
      </c>
      <c r="C962" s="71">
        <v>2026</v>
      </c>
      <c r="D962" s="71">
        <v>1</v>
      </c>
      <c r="E962" s="71" t="s">
        <v>47</v>
      </c>
      <c r="F962" s="71" t="s">
        <v>43</v>
      </c>
      <c r="G962" s="72">
        <v>7.9</v>
      </c>
      <c r="H962" s="73">
        <v>142</v>
      </c>
      <c r="I962" s="73">
        <v>-4</v>
      </c>
      <c r="J962" s="73">
        <v>-7</v>
      </c>
      <c r="K962" s="73">
        <v>-39</v>
      </c>
      <c r="L962" s="73">
        <v>-10</v>
      </c>
      <c r="M962" s="73">
        <v>-6</v>
      </c>
      <c r="N962" s="73">
        <v>-13</v>
      </c>
      <c r="O962" s="73">
        <v>-7</v>
      </c>
      <c r="P962" s="73">
        <v>-17</v>
      </c>
      <c r="Q962" s="73">
        <v>-6</v>
      </c>
      <c r="R962" s="73">
        <v>0</v>
      </c>
      <c r="S962" s="73">
        <v>0</v>
      </c>
      <c r="T962" s="73">
        <v>0</v>
      </c>
      <c r="U962" s="73">
        <v>0</v>
      </c>
      <c r="V962" s="73">
        <v>0</v>
      </c>
      <c r="W962" s="73">
        <v>0</v>
      </c>
      <c r="X962" s="73">
        <v>0</v>
      </c>
      <c r="Y962" s="73">
        <v>0</v>
      </c>
      <c r="Z962" s="73">
        <v>21</v>
      </c>
      <c r="AA962" s="73">
        <v>224</v>
      </c>
      <c r="AB962" s="73">
        <v>0</v>
      </c>
      <c r="AC962" s="73">
        <v>0</v>
      </c>
      <c r="AD962" s="73">
        <v>0</v>
      </c>
      <c r="AE962" s="73">
        <v>0</v>
      </c>
      <c r="AF962" s="74">
        <f>tblData[[#This Row],[Gross Sales]]+tblData[[#This Row],[Trade Discounts]]+tblData[[#This Row],[Returns]]</f>
        <v>131</v>
      </c>
      <c r="AG962" s="74">
        <f>tblData[[#This Row],[Material Cost]]+tblData[[#This Row],[Conversion Cost]]+tblData[[#This Row],[Inbound Freight]]</f>
        <v>-55</v>
      </c>
      <c r="AH962" s="74">
        <f>tblData[[#This Row],[Net Revenue]]+tblData[[#This Row],[COGS]]</f>
        <v>76</v>
      </c>
      <c r="AI962" s="74">
        <f>tblData[[#This Row],[Advertising]]+tblData[[#This Row],[Promotions]]</f>
        <v>-20</v>
      </c>
      <c r="AJ962" s="74">
        <f>tblData[[#This Row],[Outbound Logistics]]+tblData[[#This Row],[Direct Selling]]</f>
        <v>-23</v>
      </c>
      <c r="AK962" s="74">
        <f>tblData[[#This Row],[Gross Profit]]+tblData[[#This Row],[AP Spend]]+tblData[[#This Row],[Cost to Serve]]</f>
        <v>33</v>
      </c>
    </row>
    <row r="963" spans="2:37" x14ac:dyDescent="0.25">
      <c r="B963" s="71" t="s">
        <v>51</v>
      </c>
      <c r="C963" s="71">
        <v>2026</v>
      </c>
      <c r="D963" s="71">
        <v>1</v>
      </c>
      <c r="E963" s="71" t="s">
        <v>48</v>
      </c>
      <c r="F963" s="71" t="s">
        <v>38</v>
      </c>
      <c r="G963" s="72">
        <v>85.6</v>
      </c>
      <c r="H963" s="73">
        <v>1204</v>
      </c>
      <c r="I963" s="73">
        <v>-108</v>
      </c>
      <c r="J963" s="73">
        <v>-12</v>
      </c>
      <c r="K963" s="73">
        <v>-263</v>
      </c>
      <c r="L963" s="73">
        <v>-65</v>
      </c>
      <c r="M963" s="73">
        <v>-39</v>
      </c>
      <c r="N963" s="73">
        <v>-65</v>
      </c>
      <c r="O963" s="73">
        <v>-37</v>
      </c>
      <c r="P963" s="73">
        <v>-37</v>
      </c>
      <c r="Q963" s="73">
        <v>-18</v>
      </c>
      <c r="R963" s="73">
        <v>0</v>
      </c>
      <c r="S963" s="73">
        <v>0</v>
      </c>
      <c r="T963" s="73">
        <v>0</v>
      </c>
      <c r="U963" s="73">
        <v>0</v>
      </c>
      <c r="V963" s="73">
        <v>0</v>
      </c>
      <c r="W963" s="73">
        <v>0</v>
      </c>
      <c r="X963" s="73">
        <v>0</v>
      </c>
      <c r="Y963" s="73">
        <v>0</v>
      </c>
      <c r="Z963" s="73">
        <v>2566</v>
      </c>
      <c r="AA963" s="73">
        <v>1195</v>
      </c>
      <c r="AB963" s="73">
        <v>0</v>
      </c>
      <c r="AC963" s="73">
        <v>0</v>
      </c>
      <c r="AD963" s="73">
        <v>0</v>
      </c>
      <c r="AE963" s="73">
        <v>0</v>
      </c>
      <c r="AF963" s="74">
        <f>tblData[[#This Row],[Gross Sales]]+tblData[[#This Row],[Trade Discounts]]+tblData[[#This Row],[Returns]]</f>
        <v>1084</v>
      </c>
      <c r="AG963" s="74">
        <f>tblData[[#This Row],[Material Cost]]+tblData[[#This Row],[Conversion Cost]]+tblData[[#This Row],[Inbound Freight]]</f>
        <v>-367</v>
      </c>
      <c r="AH963" s="74">
        <f>tblData[[#This Row],[Net Revenue]]+tblData[[#This Row],[COGS]]</f>
        <v>717</v>
      </c>
      <c r="AI963" s="74">
        <f>tblData[[#This Row],[Advertising]]+tblData[[#This Row],[Promotions]]</f>
        <v>-102</v>
      </c>
      <c r="AJ963" s="74">
        <f>tblData[[#This Row],[Outbound Logistics]]+tblData[[#This Row],[Direct Selling]]</f>
        <v>-55</v>
      </c>
      <c r="AK963" s="74">
        <f>tblData[[#This Row],[Gross Profit]]+tblData[[#This Row],[AP Spend]]+tblData[[#This Row],[Cost to Serve]]</f>
        <v>560</v>
      </c>
    </row>
    <row r="964" spans="2:37" x14ac:dyDescent="0.25">
      <c r="B964" s="71" t="s">
        <v>51</v>
      </c>
      <c r="C964" s="71">
        <v>2026</v>
      </c>
      <c r="D964" s="71">
        <v>1</v>
      </c>
      <c r="E964" s="71" t="s">
        <v>48</v>
      </c>
      <c r="F964" s="71" t="s">
        <v>39</v>
      </c>
      <c r="G964" s="72">
        <v>112</v>
      </c>
      <c r="H964" s="73">
        <v>1009</v>
      </c>
      <c r="I964" s="73">
        <v>-91</v>
      </c>
      <c r="J964" s="73">
        <v>-10</v>
      </c>
      <c r="K964" s="73">
        <v>-264</v>
      </c>
      <c r="L964" s="73">
        <v>-65</v>
      </c>
      <c r="M964" s="73">
        <v>-39</v>
      </c>
      <c r="N964" s="73">
        <v>-37</v>
      </c>
      <c r="O964" s="73">
        <v>-21</v>
      </c>
      <c r="P964" s="73">
        <v>-31</v>
      </c>
      <c r="Q964" s="73">
        <v>-15</v>
      </c>
      <c r="R964" s="73">
        <v>0</v>
      </c>
      <c r="S964" s="73">
        <v>0</v>
      </c>
      <c r="T964" s="73">
        <v>0</v>
      </c>
      <c r="U964" s="73">
        <v>0</v>
      </c>
      <c r="V964" s="73">
        <v>0</v>
      </c>
      <c r="W964" s="73">
        <v>0</v>
      </c>
      <c r="X964" s="73">
        <v>0</v>
      </c>
      <c r="Y964" s="73">
        <v>0</v>
      </c>
      <c r="Z964" s="73">
        <v>2151</v>
      </c>
      <c r="AA964" s="73">
        <v>1020</v>
      </c>
      <c r="AB964" s="73">
        <v>0</v>
      </c>
      <c r="AC964" s="73">
        <v>0</v>
      </c>
      <c r="AD964" s="73">
        <v>0</v>
      </c>
      <c r="AE964" s="73">
        <v>0</v>
      </c>
      <c r="AF964" s="74">
        <f>tblData[[#This Row],[Gross Sales]]+tblData[[#This Row],[Trade Discounts]]+tblData[[#This Row],[Returns]]</f>
        <v>908</v>
      </c>
      <c r="AG964" s="74">
        <f>tblData[[#This Row],[Material Cost]]+tblData[[#This Row],[Conversion Cost]]+tblData[[#This Row],[Inbound Freight]]</f>
        <v>-368</v>
      </c>
      <c r="AH964" s="74">
        <f>tblData[[#This Row],[Net Revenue]]+tblData[[#This Row],[COGS]]</f>
        <v>540</v>
      </c>
      <c r="AI964" s="74">
        <f>tblData[[#This Row],[Advertising]]+tblData[[#This Row],[Promotions]]</f>
        <v>-58</v>
      </c>
      <c r="AJ964" s="74">
        <f>tblData[[#This Row],[Outbound Logistics]]+tblData[[#This Row],[Direct Selling]]</f>
        <v>-46</v>
      </c>
      <c r="AK964" s="74">
        <f>tblData[[#This Row],[Gross Profit]]+tblData[[#This Row],[AP Spend]]+tblData[[#This Row],[Cost to Serve]]</f>
        <v>436</v>
      </c>
    </row>
    <row r="965" spans="2:37" x14ac:dyDescent="0.25">
      <c r="B965" s="71" t="s">
        <v>51</v>
      </c>
      <c r="C965" s="71">
        <v>2026</v>
      </c>
      <c r="D965" s="71">
        <v>1</v>
      </c>
      <c r="E965" s="71" t="s">
        <v>48</v>
      </c>
      <c r="F965" s="71" t="s">
        <v>40</v>
      </c>
      <c r="G965" s="72">
        <v>106.8</v>
      </c>
      <c r="H965" s="73">
        <v>748</v>
      </c>
      <c r="I965" s="73">
        <v>-67</v>
      </c>
      <c r="J965" s="73">
        <v>-7</v>
      </c>
      <c r="K965" s="73">
        <v>-218</v>
      </c>
      <c r="L965" s="73">
        <v>-54</v>
      </c>
      <c r="M965" s="73">
        <v>-32</v>
      </c>
      <c r="N965" s="73">
        <v>-18</v>
      </c>
      <c r="O965" s="73">
        <v>-11</v>
      </c>
      <c r="P965" s="73">
        <v>-23</v>
      </c>
      <c r="Q965" s="73">
        <v>-11</v>
      </c>
      <c r="R965" s="73">
        <v>0</v>
      </c>
      <c r="S965" s="73">
        <v>0</v>
      </c>
      <c r="T965" s="73">
        <v>0</v>
      </c>
      <c r="U965" s="73">
        <v>0</v>
      </c>
      <c r="V965" s="73">
        <v>0</v>
      </c>
      <c r="W965" s="73">
        <v>0</v>
      </c>
      <c r="X965" s="73">
        <v>0</v>
      </c>
      <c r="Y965" s="73">
        <v>0</v>
      </c>
      <c r="Z965" s="73">
        <v>1594</v>
      </c>
      <c r="AA965" s="73">
        <v>790</v>
      </c>
      <c r="AB965" s="73">
        <v>0</v>
      </c>
      <c r="AC965" s="73">
        <v>0</v>
      </c>
      <c r="AD965" s="73">
        <v>0</v>
      </c>
      <c r="AE965" s="73">
        <v>0</v>
      </c>
      <c r="AF965" s="74">
        <f>tblData[[#This Row],[Gross Sales]]+tblData[[#This Row],[Trade Discounts]]+tblData[[#This Row],[Returns]]</f>
        <v>674</v>
      </c>
      <c r="AG965" s="74">
        <f>tblData[[#This Row],[Material Cost]]+tblData[[#This Row],[Conversion Cost]]+tblData[[#This Row],[Inbound Freight]]</f>
        <v>-304</v>
      </c>
      <c r="AH965" s="74">
        <f>tblData[[#This Row],[Net Revenue]]+tblData[[#This Row],[COGS]]</f>
        <v>370</v>
      </c>
      <c r="AI965" s="74">
        <f>tblData[[#This Row],[Advertising]]+tblData[[#This Row],[Promotions]]</f>
        <v>-29</v>
      </c>
      <c r="AJ965" s="74">
        <f>tblData[[#This Row],[Outbound Logistics]]+tblData[[#This Row],[Direct Selling]]</f>
        <v>-34</v>
      </c>
      <c r="AK965" s="74">
        <f>tblData[[#This Row],[Gross Profit]]+tblData[[#This Row],[AP Spend]]+tblData[[#This Row],[Cost to Serve]]</f>
        <v>307</v>
      </c>
    </row>
    <row r="966" spans="2:37" x14ac:dyDescent="0.25">
      <c r="B966" s="71" t="s">
        <v>51</v>
      </c>
      <c r="C966" s="71">
        <v>2026</v>
      </c>
      <c r="D966" s="71">
        <v>1</v>
      </c>
      <c r="E966" s="71" t="s">
        <v>48</v>
      </c>
      <c r="F966" s="71" t="s">
        <v>41</v>
      </c>
      <c r="G966" s="72">
        <v>53.8</v>
      </c>
      <c r="H966" s="73">
        <v>594</v>
      </c>
      <c r="I966" s="73">
        <v>-53</v>
      </c>
      <c r="J966" s="73">
        <v>-6</v>
      </c>
      <c r="K966" s="73">
        <v>-143</v>
      </c>
      <c r="L966" s="73">
        <v>-35</v>
      </c>
      <c r="M966" s="73">
        <v>-21</v>
      </c>
      <c r="N966" s="73">
        <v>-40</v>
      </c>
      <c r="O966" s="73">
        <v>-23</v>
      </c>
      <c r="P966" s="73">
        <v>-18</v>
      </c>
      <c r="Q966" s="73">
        <v>-9</v>
      </c>
      <c r="R966" s="73">
        <v>0</v>
      </c>
      <c r="S966" s="73">
        <v>0</v>
      </c>
      <c r="T966" s="73">
        <v>0</v>
      </c>
      <c r="U966" s="73">
        <v>0</v>
      </c>
      <c r="V966" s="73">
        <v>0</v>
      </c>
      <c r="W966" s="73">
        <v>0</v>
      </c>
      <c r="X966" s="73">
        <v>0</v>
      </c>
      <c r="Y966" s="73">
        <v>0</v>
      </c>
      <c r="Z966" s="73">
        <v>1265</v>
      </c>
      <c r="AA966" s="73">
        <v>616</v>
      </c>
      <c r="AB966" s="73">
        <v>0</v>
      </c>
      <c r="AC966" s="73">
        <v>0</v>
      </c>
      <c r="AD966" s="73">
        <v>0</v>
      </c>
      <c r="AE966" s="73">
        <v>0</v>
      </c>
      <c r="AF966" s="74">
        <f>tblData[[#This Row],[Gross Sales]]+tblData[[#This Row],[Trade Discounts]]+tblData[[#This Row],[Returns]]</f>
        <v>535</v>
      </c>
      <c r="AG966" s="74">
        <f>tblData[[#This Row],[Material Cost]]+tblData[[#This Row],[Conversion Cost]]+tblData[[#This Row],[Inbound Freight]]</f>
        <v>-199</v>
      </c>
      <c r="AH966" s="74">
        <f>tblData[[#This Row],[Net Revenue]]+tblData[[#This Row],[COGS]]</f>
        <v>336</v>
      </c>
      <c r="AI966" s="74">
        <f>tblData[[#This Row],[Advertising]]+tblData[[#This Row],[Promotions]]</f>
        <v>-63</v>
      </c>
      <c r="AJ966" s="74">
        <f>tblData[[#This Row],[Outbound Logistics]]+tblData[[#This Row],[Direct Selling]]</f>
        <v>-27</v>
      </c>
      <c r="AK966" s="74">
        <f>tblData[[#This Row],[Gross Profit]]+tblData[[#This Row],[AP Spend]]+tblData[[#This Row],[Cost to Serve]]</f>
        <v>246</v>
      </c>
    </row>
    <row r="967" spans="2:37" x14ac:dyDescent="0.25">
      <c r="B967" s="71" t="s">
        <v>51</v>
      </c>
      <c r="C967" s="71">
        <v>2026</v>
      </c>
      <c r="D967" s="71">
        <v>1</v>
      </c>
      <c r="E967" s="71" t="s">
        <v>48</v>
      </c>
      <c r="F967" s="71" t="s">
        <v>42</v>
      </c>
      <c r="G967" s="72">
        <v>66.099999999999994</v>
      </c>
      <c r="H967" s="73">
        <v>396</v>
      </c>
      <c r="I967" s="73">
        <v>-36</v>
      </c>
      <c r="J967" s="73">
        <v>-4</v>
      </c>
      <c r="K967" s="73">
        <v>-127</v>
      </c>
      <c r="L967" s="73">
        <v>-31</v>
      </c>
      <c r="M967" s="73">
        <v>-19</v>
      </c>
      <c r="N967" s="73">
        <v>-8</v>
      </c>
      <c r="O967" s="73">
        <v>-4</v>
      </c>
      <c r="P967" s="73">
        <v>-12</v>
      </c>
      <c r="Q967" s="73">
        <v>-6</v>
      </c>
      <c r="R967" s="73">
        <v>0</v>
      </c>
      <c r="S967" s="73">
        <v>0</v>
      </c>
      <c r="T967" s="73">
        <v>0</v>
      </c>
      <c r="U967" s="73">
        <v>0</v>
      </c>
      <c r="V967" s="73">
        <v>0</v>
      </c>
      <c r="W967" s="73">
        <v>0</v>
      </c>
      <c r="X967" s="73">
        <v>0</v>
      </c>
      <c r="Y967" s="73">
        <v>0</v>
      </c>
      <c r="Z967" s="73">
        <v>843</v>
      </c>
      <c r="AA967" s="73">
        <v>716</v>
      </c>
      <c r="AB967" s="73">
        <v>0</v>
      </c>
      <c r="AC967" s="73">
        <v>0</v>
      </c>
      <c r="AD967" s="73">
        <v>0</v>
      </c>
      <c r="AE967" s="73">
        <v>0</v>
      </c>
      <c r="AF967" s="74">
        <f>tblData[[#This Row],[Gross Sales]]+tblData[[#This Row],[Trade Discounts]]+tblData[[#This Row],[Returns]]</f>
        <v>356</v>
      </c>
      <c r="AG967" s="74">
        <f>tblData[[#This Row],[Material Cost]]+tblData[[#This Row],[Conversion Cost]]+tblData[[#This Row],[Inbound Freight]]</f>
        <v>-177</v>
      </c>
      <c r="AH967" s="74">
        <f>tblData[[#This Row],[Net Revenue]]+tblData[[#This Row],[COGS]]</f>
        <v>179</v>
      </c>
      <c r="AI967" s="74">
        <f>tblData[[#This Row],[Advertising]]+tblData[[#This Row],[Promotions]]</f>
        <v>-12</v>
      </c>
      <c r="AJ967" s="74">
        <f>tblData[[#This Row],[Outbound Logistics]]+tblData[[#This Row],[Direct Selling]]</f>
        <v>-18</v>
      </c>
      <c r="AK967" s="74">
        <f>tblData[[#This Row],[Gross Profit]]+tblData[[#This Row],[AP Spend]]+tblData[[#This Row],[Cost to Serve]]</f>
        <v>149</v>
      </c>
    </row>
    <row r="968" spans="2:37" x14ac:dyDescent="0.25">
      <c r="B968" s="71" t="s">
        <v>51</v>
      </c>
      <c r="C968" s="71">
        <v>2026</v>
      </c>
      <c r="D968" s="71">
        <v>1</v>
      </c>
      <c r="E968" s="71" t="s">
        <v>48</v>
      </c>
      <c r="F968" s="71" t="s">
        <v>43</v>
      </c>
      <c r="G968" s="72">
        <v>12.8</v>
      </c>
      <c r="H968" s="73">
        <v>230</v>
      </c>
      <c r="I968" s="73">
        <v>-21</v>
      </c>
      <c r="J968" s="73">
        <v>-2</v>
      </c>
      <c r="K968" s="73">
        <v>-64</v>
      </c>
      <c r="L968" s="73">
        <v>-16</v>
      </c>
      <c r="M968" s="73">
        <v>-9</v>
      </c>
      <c r="N968" s="73">
        <v>-22</v>
      </c>
      <c r="O968" s="73">
        <v>-12</v>
      </c>
      <c r="P968" s="73">
        <v>-7</v>
      </c>
      <c r="Q968" s="73">
        <v>-3</v>
      </c>
      <c r="R968" s="73">
        <v>0</v>
      </c>
      <c r="S968" s="73">
        <v>0</v>
      </c>
      <c r="T968" s="73">
        <v>0</v>
      </c>
      <c r="U968" s="73">
        <v>0</v>
      </c>
      <c r="V968" s="73">
        <v>0</v>
      </c>
      <c r="W968" s="73">
        <v>0</v>
      </c>
      <c r="X968" s="73">
        <v>0</v>
      </c>
      <c r="Y968" s="73">
        <v>0</v>
      </c>
      <c r="Z968" s="73">
        <v>490</v>
      </c>
      <c r="AA968" s="73">
        <v>362</v>
      </c>
      <c r="AB968" s="73">
        <v>0</v>
      </c>
      <c r="AC968" s="73">
        <v>0</v>
      </c>
      <c r="AD968" s="73">
        <v>0</v>
      </c>
      <c r="AE968" s="73">
        <v>0</v>
      </c>
      <c r="AF968" s="74">
        <f>tblData[[#This Row],[Gross Sales]]+tblData[[#This Row],[Trade Discounts]]+tblData[[#This Row],[Returns]]</f>
        <v>207</v>
      </c>
      <c r="AG968" s="74">
        <f>tblData[[#This Row],[Material Cost]]+tblData[[#This Row],[Conversion Cost]]+tblData[[#This Row],[Inbound Freight]]</f>
        <v>-89</v>
      </c>
      <c r="AH968" s="74">
        <f>tblData[[#This Row],[Net Revenue]]+tblData[[#This Row],[COGS]]</f>
        <v>118</v>
      </c>
      <c r="AI968" s="74">
        <f>tblData[[#This Row],[Advertising]]+tblData[[#This Row],[Promotions]]</f>
        <v>-34</v>
      </c>
      <c r="AJ968" s="74">
        <f>tblData[[#This Row],[Outbound Logistics]]+tblData[[#This Row],[Direct Selling]]</f>
        <v>-10</v>
      </c>
      <c r="AK968" s="74">
        <f>tblData[[#This Row],[Gross Profit]]+tblData[[#This Row],[AP Spend]]+tblData[[#This Row],[Cost to Serve]]</f>
        <v>74</v>
      </c>
    </row>
    <row r="969" spans="2:37" x14ac:dyDescent="0.25">
      <c r="B969" s="71" t="s">
        <v>51</v>
      </c>
      <c r="C969" s="71">
        <v>2026</v>
      </c>
      <c r="D969" s="71">
        <v>1</v>
      </c>
      <c r="E969" s="71" t="s">
        <v>49</v>
      </c>
      <c r="F969" s="71" t="s">
        <v>49</v>
      </c>
      <c r="G969" s="72">
        <v>0</v>
      </c>
      <c r="H969" s="73">
        <v>0</v>
      </c>
      <c r="I969" s="73">
        <v>0</v>
      </c>
      <c r="J969" s="73">
        <v>0</v>
      </c>
      <c r="K969" s="73">
        <v>0</v>
      </c>
      <c r="L969" s="73">
        <v>0</v>
      </c>
      <c r="M969" s="73">
        <v>0</v>
      </c>
      <c r="N969" s="73">
        <v>0</v>
      </c>
      <c r="O969" s="73">
        <v>0</v>
      </c>
      <c r="P969" s="73">
        <v>0</v>
      </c>
      <c r="Q969" s="73">
        <v>0</v>
      </c>
      <c r="R969" s="73">
        <v>-4220</v>
      </c>
      <c r="S969" s="73">
        <v>-1004</v>
      </c>
      <c r="T969" s="73">
        <v>-1288</v>
      </c>
      <c r="U969" s="73">
        <v>-1094</v>
      </c>
      <c r="V969" s="73">
        <v>-1480</v>
      </c>
      <c r="W969" s="73">
        <v>-712</v>
      </c>
      <c r="X969" s="73">
        <v>-846</v>
      </c>
      <c r="Y969" s="73">
        <v>-1119</v>
      </c>
      <c r="Z969" s="73">
        <v>0</v>
      </c>
      <c r="AA969" s="73">
        <v>0</v>
      </c>
      <c r="AB969" s="73">
        <v>27810</v>
      </c>
      <c r="AC969" s="73">
        <v>64441</v>
      </c>
      <c r="AD969" s="73">
        <v>190000</v>
      </c>
      <c r="AE969" s="73">
        <v>1175</v>
      </c>
      <c r="AF969" s="74">
        <f>tblData[[#This Row],[Gross Sales]]+tblData[[#This Row],[Trade Discounts]]+tblData[[#This Row],[Returns]]</f>
        <v>0</v>
      </c>
      <c r="AG969" s="74">
        <f>tblData[[#This Row],[Material Cost]]+tblData[[#This Row],[Conversion Cost]]+tblData[[#This Row],[Inbound Freight]]</f>
        <v>0</v>
      </c>
      <c r="AH969" s="74">
        <f>tblData[[#This Row],[Net Revenue]]+tblData[[#This Row],[COGS]]</f>
        <v>0</v>
      </c>
      <c r="AI969" s="74">
        <f>tblData[[#This Row],[Advertising]]+tblData[[#This Row],[Promotions]]</f>
        <v>0</v>
      </c>
      <c r="AJ969" s="74">
        <f>tblData[[#This Row],[Outbound Logistics]]+tblData[[#This Row],[Direct Selling]]</f>
        <v>0</v>
      </c>
      <c r="AK969" s="74">
        <f>tblData[[#This Row],[Gross Profit]]+tblData[[#This Row],[AP Spend]]+tblData[[#This Row],[Cost to Serve]]</f>
        <v>0</v>
      </c>
    </row>
    <row r="970" spans="2:37" x14ac:dyDescent="0.25">
      <c r="B970" s="71" t="s">
        <v>51</v>
      </c>
      <c r="C970" s="71">
        <v>2026</v>
      </c>
      <c r="D970" s="71">
        <v>2</v>
      </c>
      <c r="E970" s="71" t="s">
        <v>37</v>
      </c>
      <c r="F970" s="71" t="s">
        <v>38</v>
      </c>
      <c r="G970" s="72">
        <v>256.7</v>
      </c>
      <c r="H970" s="73">
        <v>3610</v>
      </c>
      <c r="I970" s="73">
        <v>-701</v>
      </c>
      <c r="J970" s="73">
        <v>-54</v>
      </c>
      <c r="K970" s="73">
        <v>-788</v>
      </c>
      <c r="L970" s="73">
        <v>-195</v>
      </c>
      <c r="M970" s="73">
        <v>-118</v>
      </c>
      <c r="N970" s="73">
        <v>-200</v>
      </c>
      <c r="O970" s="73">
        <v>-115</v>
      </c>
      <c r="P970" s="73">
        <v>-148</v>
      </c>
      <c r="Q970" s="73">
        <v>-108</v>
      </c>
      <c r="R970" s="73">
        <v>0</v>
      </c>
      <c r="S970" s="73">
        <v>0</v>
      </c>
      <c r="T970" s="73">
        <v>0</v>
      </c>
      <c r="U970" s="73">
        <v>0</v>
      </c>
      <c r="V970" s="73">
        <v>0</v>
      </c>
      <c r="W970" s="73">
        <v>0</v>
      </c>
      <c r="X970" s="73">
        <v>0</v>
      </c>
      <c r="Y970" s="73">
        <v>0</v>
      </c>
      <c r="Z970" s="73">
        <v>5253</v>
      </c>
      <c r="AA970" s="73">
        <v>3518</v>
      </c>
      <c r="AB970" s="73">
        <v>0</v>
      </c>
      <c r="AC970" s="73">
        <v>0</v>
      </c>
      <c r="AD970" s="73">
        <v>0</v>
      </c>
      <c r="AE970" s="73">
        <v>0</v>
      </c>
      <c r="AF970" s="74">
        <f>tblData[[#This Row],[Gross Sales]]+tblData[[#This Row],[Trade Discounts]]+tblData[[#This Row],[Returns]]</f>
        <v>2855</v>
      </c>
      <c r="AG970" s="74">
        <f>tblData[[#This Row],[Material Cost]]+tblData[[#This Row],[Conversion Cost]]+tblData[[#This Row],[Inbound Freight]]</f>
        <v>-1101</v>
      </c>
      <c r="AH970" s="74">
        <f>tblData[[#This Row],[Net Revenue]]+tblData[[#This Row],[COGS]]</f>
        <v>1754</v>
      </c>
      <c r="AI970" s="74">
        <f>tblData[[#This Row],[Advertising]]+tblData[[#This Row],[Promotions]]</f>
        <v>-315</v>
      </c>
      <c r="AJ970" s="74">
        <f>tblData[[#This Row],[Outbound Logistics]]+tblData[[#This Row],[Direct Selling]]</f>
        <v>-256</v>
      </c>
      <c r="AK970" s="74">
        <f>tblData[[#This Row],[Gross Profit]]+tblData[[#This Row],[AP Spend]]+tblData[[#This Row],[Cost to Serve]]</f>
        <v>1183</v>
      </c>
    </row>
    <row r="971" spans="2:37" x14ac:dyDescent="0.25">
      <c r="B971" s="71" t="s">
        <v>51</v>
      </c>
      <c r="C971" s="71">
        <v>2026</v>
      </c>
      <c r="D971" s="71">
        <v>2</v>
      </c>
      <c r="E971" s="71" t="s">
        <v>37</v>
      </c>
      <c r="F971" s="71" t="s">
        <v>39</v>
      </c>
      <c r="G971" s="72">
        <v>332.6</v>
      </c>
      <c r="H971" s="73">
        <v>2998</v>
      </c>
      <c r="I971" s="73">
        <v>-583</v>
      </c>
      <c r="J971" s="73">
        <v>-45</v>
      </c>
      <c r="K971" s="73">
        <v>-785</v>
      </c>
      <c r="L971" s="73">
        <v>-194</v>
      </c>
      <c r="M971" s="73">
        <v>-117</v>
      </c>
      <c r="N971" s="73">
        <v>-114</v>
      </c>
      <c r="O971" s="73">
        <v>-66</v>
      </c>
      <c r="P971" s="73">
        <v>-123</v>
      </c>
      <c r="Q971" s="73">
        <v>-90</v>
      </c>
      <c r="R971" s="73">
        <v>0</v>
      </c>
      <c r="S971" s="73">
        <v>0</v>
      </c>
      <c r="T971" s="73">
        <v>0</v>
      </c>
      <c r="U971" s="73">
        <v>0</v>
      </c>
      <c r="V971" s="73">
        <v>0</v>
      </c>
      <c r="W971" s="73">
        <v>0</v>
      </c>
      <c r="X971" s="73">
        <v>0</v>
      </c>
      <c r="Y971" s="73">
        <v>0</v>
      </c>
      <c r="Z971" s="73">
        <v>4386</v>
      </c>
      <c r="AA971" s="73">
        <v>2991</v>
      </c>
      <c r="AB971" s="73">
        <v>0</v>
      </c>
      <c r="AC971" s="73">
        <v>0</v>
      </c>
      <c r="AD971" s="73">
        <v>0</v>
      </c>
      <c r="AE971" s="73">
        <v>0</v>
      </c>
      <c r="AF971" s="74">
        <f>tblData[[#This Row],[Gross Sales]]+tblData[[#This Row],[Trade Discounts]]+tblData[[#This Row],[Returns]]</f>
        <v>2370</v>
      </c>
      <c r="AG971" s="74">
        <f>tblData[[#This Row],[Material Cost]]+tblData[[#This Row],[Conversion Cost]]+tblData[[#This Row],[Inbound Freight]]</f>
        <v>-1096</v>
      </c>
      <c r="AH971" s="74">
        <f>tblData[[#This Row],[Net Revenue]]+tblData[[#This Row],[COGS]]</f>
        <v>1274</v>
      </c>
      <c r="AI971" s="74">
        <f>tblData[[#This Row],[Advertising]]+tblData[[#This Row],[Promotions]]</f>
        <v>-180</v>
      </c>
      <c r="AJ971" s="74">
        <f>tblData[[#This Row],[Outbound Logistics]]+tblData[[#This Row],[Direct Selling]]</f>
        <v>-213</v>
      </c>
      <c r="AK971" s="74">
        <f>tblData[[#This Row],[Gross Profit]]+tblData[[#This Row],[AP Spend]]+tblData[[#This Row],[Cost to Serve]]</f>
        <v>881</v>
      </c>
    </row>
    <row r="972" spans="2:37" x14ac:dyDescent="0.25">
      <c r="B972" s="71" t="s">
        <v>51</v>
      </c>
      <c r="C972" s="71">
        <v>2026</v>
      </c>
      <c r="D972" s="71">
        <v>2</v>
      </c>
      <c r="E972" s="71" t="s">
        <v>37</v>
      </c>
      <c r="F972" s="71" t="s">
        <v>40</v>
      </c>
      <c r="G972" s="72">
        <v>317.7</v>
      </c>
      <c r="H972" s="73">
        <v>2224</v>
      </c>
      <c r="I972" s="73">
        <v>-432</v>
      </c>
      <c r="J972" s="73">
        <v>-33</v>
      </c>
      <c r="K972" s="73">
        <v>-647</v>
      </c>
      <c r="L972" s="73">
        <v>-160</v>
      </c>
      <c r="M972" s="73">
        <v>-97</v>
      </c>
      <c r="N972" s="73">
        <v>-57</v>
      </c>
      <c r="O972" s="73">
        <v>-33</v>
      </c>
      <c r="P972" s="73">
        <v>-91</v>
      </c>
      <c r="Q972" s="73">
        <v>-67</v>
      </c>
      <c r="R972" s="73">
        <v>0</v>
      </c>
      <c r="S972" s="73">
        <v>0</v>
      </c>
      <c r="T972" s="73">
        <v>0</v>
      </c>
      <c r="U972" s="73">
        <v>0</v>
      </c>
      <c r="V972" s="73">
        <v>0</v>
      </c>
      <c r="W972" s="73">
        <v>0</v>
      </c>
      <c r="X972" s="73">
        <v>0</v>
      </c>
      <c r="Y972" s="73">
        <v>0</v>
      </c>
      <c r="Z972" s="73">
        <v>3246</v>
      </c>
      <c r="AA972" s="73">
        <v>2313</v>
      </c>
      <c r="AB972" s="73">
        <v>0</v>
      </c>
      <c r="AC972" s="73">
        <v>0</v>
      </c>
      <c r="AD972" s="73">
        <v>0</v>
      </c>
      <c r="AE972" s="73">
        <v>0</v>
      </c>
      <c r="AF972" s="74">
        <f>tblData[[#This Row],[Gross Sales]]+tblData[[#This Row],[Trade Discounts]]+tblData[[#This Row],[Returns]]</f>
        <v>1759</v>
      </c>
      <c r="AG972" s="74">
        <f>tblData[[#This Row],[Material Cost]]+tblData[[#This Row],[Conversion Cost]]+tblData[[#This Row],[Inbound Freight]]</f>
        <v>-904</v>
      </c>
      <c r="AH972" s="74">
        <f>tblData[[#This Row],[Net Revenue]]+tblData[[#This Row],[COGS]]</f>
        <v>855</v>
      </c>
      <c r="AI972" s="74">
        <f>tblData[[#This Row],[Advertising]]+tblData[[#This Row],[Promotions]]</f>
        <v>-90</v>
      </c>
      <c r="AJ972" s="74">
        <f>tblData[[#This Row],[Outbound Logistics]]+tblData[[#This Row],[Direct Selling]]</f>
        <v>-158</v>
      </c>
      <c r="AK972" s="74">
        <f>tblData[[#This Row],[Gross Profit]]+tblData[[#This Row],[AP Spend]]+tblData[[#This Row],[Cost to Serve]]</f>
        <v>607</v>
      </c>
    </row>
    <row r="973" spans="2:37" x14ac:dyDescent="0.25">
      <c r="B973" s="71" t="s">
        <v>51</v>
      </c>
      <c r="C973" s="71">
        <v>2026</v>
      </c>
      <c r="D973" s="71">
        <v>2</v>
      </c>
      <c r="E973" s="71" t="s">
        <v>37</v>
      </c>
      <c r="F973" s="71" t="s">
        <v>41</v>
      </c>
      <c r="G973" s="72">
        <v>160</v>
      </c>
      <c r="H973" s="73">
        <v>1764</v>
      </c>
      <c r="I973" s="73">
        <v>-343</v>
      </c>
      <c r="J973" s="73">
        <v>-26</v>
      </c>
      <c r="K973" s="73">
        <v>-424</v>
      </c>
      <c r="L973" s="73">
        <v>-105</v>
      </c>
      <c r="M973" s="73">
        <v>-63</v>
      </c>
      <c r="N973" s="73">
        <v>-122</v>
      </c>
      <c r="O973" s="73">
        <v>-70</v>
      </c>
      <c r="P973" s="73">
        <v>-72</v>
      </c>
      <c r="Q973" s="73">
        <v>-53</v>
      </c>
      <c r="R973" s="73">
        <v>0</v>
      </c>
      <c r="S973" s="73">
        <v>0</v>
      </c>
      <c r="T973" s="73">
        <v>0</v>
      </c>
      <c r="U973" s="73">
        <v>0</v>
      </c>
      <c r="V973" s="73">
        <v>0</v>
      </c>
      <c r="W973" s="73">
        <v>0</v>
      </c>
      <c r="X973" s="73">
        <v>0</v>
      </c>
      <c r="Y973" s="73">
        <v>0</v>
      </c>
      <c r="Z973" s="73">
        <v>2579</v>
      </c>
      <c r="AA973" s="73">
        <v>1804</v>
      </c>
      <c r="AB973" s="73">
        <v>0</v>
      </c>
      <c r="AC973" s="73">
        <v>0</v>
      </c>
      <c r="AD973" s="73">
        <v>0</v>
      </c>
      <c r="AE973" s="73">
        <v>0</v>
      </c>
      <c r="AF973" s="74">
        <f>tblData[[#This Row],[Gross Sales]]+tblData[[#This Row],[Trade Discounts]]+tblData[[#This Row],[Returns]]</f>
        <v>1395</v>
      </c>
      <c r="AG973" s="74">
        <f>tblData[[#This Row],[Material Cost]]+tblData[[#This Row],[Conversion Cost]]+tblData[[#This Row],[Inbound Freight]]</f>
        <v>-592</v>
      </c>
      <c r="AH973" s="74">
        <f>tblData[[#This Row],[Net Revenue]]+tblData[[#This Row],[COGS]]</f>
        <v>803</v>
      </c>
      <c r="AI973" s="74">
        <f>tblData[[#This Row],[Advertising]]+tblData[[#This Row],[Promotions]]</f>
        <v>-192</v>
      </c>
      <c r="AJ973" s="74">
        <f>tblData[[#This Row],[Outbound Logistics]]+tblData[[#This Row],[Direct Selling]]</f>
        <v>-125</v>
      </c>
      <c r="AK973" s="74">
        <f>tblData[[#This Row],[Gross Profit]]+tblData[[#This Row],[AP Spend]]+tblData[[#This Row],[Cost to Serve]]</f>
        <v>486</v>
      </c>
    </row>
    <row r="974" spans="2:37" x14ac:dyDescent="0.25">
      <c r="B974" s="71" t="s">
        <v>51</v>
      </c>
      <c r="C974" s="71">
        <v>2026</v>
      </c>
      <c r="D974" s="71">
        <v>2</v>
      </c>
      <c r="E974" s="71" t="s">
        <v>37</v>
      </c>
      <c r="F974" s="71" t="s">
        <v>42</v>
      </c>
      <c r="G974" s="72">
        <v>196</v>
      </c>
      <c r="H974" s="73">
        <v>1173</v>
      </c>
      <c r="I974" s="73">
        <v>-228</v>
      </c>
      <c r="J974" s="73">
        <v>-18</v>
      </c>
      <c r="K974" s="73">
        <v>-376</v>
      </c>
      <c r="L974" s="73">
        <v>-93</v>
      </c>
      <c r="M974" s="73">
        <v>-56</v>
      </c>
      <c r="N974" s="73">
        <v>-24</v>
      </c>
      <c r="O974" s="73">
        <v>-14</v>
      </c>
      <c r="P974" s="73">
        <v>-48</v>
      </c>
      <c r="Q974" s="73">
        <v>-35</v>
      </c>
      <c r="R974" s="73">
        <v>0</v>
      </c>
      <c r="S974" s="73">
        <v>0</v>
      </c>
      <c r="T974" s="73">
        <v>0</v>
      </c>
      <c r="U974" s="73">
        <v>0</v>
      </c>
      <c r="V974" s="73">
        <v>0</v>
      </c>
      <c r="W974" s="73">
        <v>0</v>
      </c>
      <c r="X974" s="73">
        <v>0</v>
      </c>
      <c r="Y974" s="73">
        <v>0</v>
      </c>
      <c r="Z974" s="73">
        <v>1722</v>
      </c>
      <c r="AA974" s="73">
        <v>2101</v>
      </c>
      <c r="AB974" s="73">
        <v>0</v>
      </c>
      <c r="AC974" s="73">
        <v>0</v>
      </c>
      <c r="AD974" s="73">
        <v>0</v>
      </c>
      <c r="AE974" s="73">
        <v>0</v>
      </c>
      <c r="AF974" s="74">
        <f>tblData[[#This Row],[Gross Sales]]+tblData[[#This Row],[Trade Discounts]]+tblData[[#This Row],[Returns]]</f>
        <v>927</v>
      </c>
      <c r="AG974" s="74">
        <f>tblData[[#This Row],[Material Cost]]+tblData[[#This Row],[Conversion Cost]]+tblData[[#This Row],[Inbound Freight]]</f>
        <v>-525</v>
      </c>
      <c r="AH974" s="74">
        <f>tblData[[#This Row],[Net Revenue]]+tblData[[#This Row],[COGS]]</f>
        <v>402</v>
      </c>
      <c r="AI974" s="74">
        <f>tblData[[#This Row],[Advertising]]+tblData[[#This Row],[Promotions]]</f>
        <v>-38</v>
      </c>
      <c r="AJ974" s="74">
        <f>tblData[[#This Row],[Outbound Logistics]]+tblData[[#This Row],[Direct Selling]]</f>
        <v>-83</v>
      </c>
      <c r="AK974" s="74">
        <f>tblData[[#This Row],[Gross Profit]]+tblData[[#This Row],[AP Spend]]+tblData[[#This Row],[Cost to Serve]]</f>
        <v>281</v>
      </c>
    </row>
    <row r="975" spans="2:37" x14ac:dyDescent="0.25">
      <c r="B975" s="71" t="s">
        <v>51</v>
      </c>
      <c r="C975" s="71">
        <v>2026</v>
      </c>
      <c r="D975" s="71">
        <v>2</v>
      </c>
      <c r="E975" s="71" t="s">
        <v>37</v>
      </c>
      <c r="F975" s="71" t="s">
        <v>43</v>
      </c>
      <c r="G975" s="72">
        <v>37.799999999999997</v>
      </c>
      <c r="H975" s="73">
        <v>680</v>
      </c>
      <c r="I975" s="73">
        <v>-132</v>
      </c>
      <c r="J975" s="73">
        <v>-10</v>
      </c>
      <c r="K975" s="73">
        <v>-188</v>
      </c>
      <c r="L975" s="73">
        <v>-47</v>
      </c>
      <c r="M975" s="73">
        <v>-28</v>
      </c>
      <c r="N975" s="73">
        <v>-67</v>
      </c>
      <c r="O975" s="73">
        <v>-38</v>
      </c>
      <c r="P975" s="73">
        <v>-28</v>
      </c>
      <c r="Q975" s="73">
        <v>-20</v>
      </c>
      <c r="R975" s="73">
        <v>0</v>
      </c>
      <c r="S975" s="73">
        <v>0</v>
      </c>
      <c r="T975" s="73">
        <v>0</v>
      </c>
      <c r="U975" s="73">
        <v>0</v>
      </c>
      <c r="V975" s="73">
        <v>0</v>
      </c>
      <c r="W975" s="73">
        <v>0</v>
      </c>
      <c r="X975" s="73">
        <v>0</v>
      </c>
      <c r="Y975" s="73">
        <v>0</v>
      </c>
      <c r="Z975" s="73">
        <v>997</v>
      </c>
      <c r="AA975" s="73">
        <v>1060</v>
      </c>
      <c r="AB975" s="73">
        <v>0</v>
      </c>
      <c r="AC975" s="73">
        <v>0</v>
      </c>
      <c r="AD975" s="73">
        <v>0</v>
      </c>
      <c r="AE975" s="73">
        <v>0</v>
      </c>
      <c r="AF975" s="74">
        <f>tblData[[#This Row],[Gross Sales]]+tblData[[#This Row],[Trade Discounts]]+tblData[[#This Row],[Returns]]</f>
        <v>538</v>
      </c>
      <c r="AG975" s="74">
        <f>tblData[[#This Row],[Material Cost]]+tblData[[#This Row],[Conversion Cost]]+tblData[[#This Row],[Inbound Freight]]</f>
        <v>-263</v>
      </c>
      <c r="AH975" s="74">
        <f>tblData[[#This Row],[Net Revenue]]+tblData[[#This Row],[COGS]]</f>
        <v>275</v>
      </c>
      <c r="AI975" s="74">
        <f>tblData[[#This Row],[Advertising]]+tblData[[#This Row],[Promotions]]</f>
        <v>-105</v>
      </c>
      <c r="AJ975" s="74">
        <f>tblData[[#This Row],[Outbound Logistics]]+tblData[[#This Row],[Direct Selling]]</f>
        <v>-48</v>
      </c>
      <c r="AK975" s="74">
        <f>tblData[[#This Row],[Gross Profit]]+tblData[[#This Row],[AP Spend]]+tblData[[#This Row],[Cost to Serve]]</f>
        <v>122</v>
      </c>
    </row>
    <row r="976" spans="2:37" x14ac:dyDescent="0.25">
      <c r="B976" s="71" t="s">
        <v>51</v>
      </c>
      <c r="C976" s="71">
        <v>2026</v>
      </c>
      <c r="D976" s="71">
        <v>2</v>
      </c>
      <c r="E976" s="71" t="s">
        <v>44</v>
      </c>
      <c r="F976" s="71" t="s">
        <v>38</v>
      </c>
      <c r="G976" s="72">
        <v>209.5</v>
      </c>
      <c r="H976" s="73">
        <v>2954</v>
      </c>
      <c r="I976" s="73">
        <v>-477</v>
      </c>
      <c r="J976" s="73">
        <v>-35</v>
      </c>
      <c r="K976" s="73">
        <v>-645</v>
      </c>
      <c r="L976" s="73">
        <v>-160</v>
      </c>
      <c r="M976" s="73">
        <v>-96</v>
      </c>
      <c r="N976" s="73">
        <v>-160</v>
      </c>
      <c r="O976" s="73">
        <v>-92</v>
      </c>
      <c r="P976" s="73">
        <v>-121</v>
      </c>
      <c r="Q976" s="73">
        <v>-89</v>
      </c>
      <c r="R976" s="73">
        <v>0</v>
      </c>
      <c r="S976" s="73">
        <v>0</v>
      </c>
      <c r="T976" s="73">
        <v>0</v>
      </c>
      <c r="U976" s="73">
        <v>0</v>
      </c>
      <c r="V976" s="73">
        <v>0</v>
      </c>
      <c r="W976" s="73">
        <v>0</v>
      </c>
      <c r="X976" s="73">
        <v>0</v>
      </c>
      <c r="Y976" s="73">
        <v>0</v>
      </c>
      <c r="Z976" s="73">
        <v>4120</v>
      </c>
      <c r="AA976" s="73">
        <v>2894</v>
      </c>
      <c r="AB976" s="73">
        <v>0</v>
      </c>
      <c r="AC976" s="73">
        <v>0</v>
      </c>
      <c r="AD976" s="73">
        <v>0</v>
      </c>
      <c r="AE976" s="73">
        <v>0</v>
      </c>
      <c r="AF976" s="74">
        <f>tblData[[#This Row],[Gross Sales]]+tblData[[#This Row],[Trade Discounts]]+tblData[[#This Row],[Returns]]</f>
        <v>2442</v>
      </c>
      <c r="AG976" s="74">
        <f>tblData[[#This Row],[Material Cost]]+tblData[[#This Row],[Conversion Cost]]+tblData[[#This Row],[Inbound Freight]]</f>
        <v>-901</v>
      </c>
      <c r="AH976" s="74">
        <f>tblData[[#This Row],[Net Revenue]]+tblData[[#This Row],[COGS]]</f>
        <v>1541</v>
      </c>
      <c r="AI976" s="74">
        <f>tblData[[#This Row],[Advertising]]+tblData[[#This Row],[Promotions]]</f>
        <v>-252</v>
      </c>
      <c r="AJ976" s="74">
        <f>tblData[[#This Row],[Outbound Logistics]]+tblData[[#This Row],[Direct Selling]]</f>
        <v>-210</v>
      </c>
      <c r="AK976" s="74">
        <f>tblData[[#This Row],[Gross Profit]]+tblData[[#This Row],[AP Spend]]+tblData[[#This Row],[Cost to Serve]]</f>
        <v>1079</v>
      </c>
    </row>
    <row r="977" spans="2:37" x14ac:dyDescent="0.25">
      <c r="B977" s="71" t="s">
        <v>51</v>
      </c>
      <c r="C977" s="71">
        <v>2026</v>
      </c>
      <c r="D977" s="71">
        <v>2</v>
      </c>
      <c r="E977" s="71" t="s">
        <v>44</v>
      </c>
      <c r="F977" s="71" t="s">
        <v>39</v>
      </c>
      <c r="G977" s="72">
        <v>279.39999999999998</v>
      </c>
      <c r="H977" s="73">
        <v>2525</v>
      </c>
      <c r="I977" s="73">
        <v>-408</v>
      </c>
      <c r="J977" s="73">
        <v>-30</v>
      </c>
      <c r="K977" s="73">
        <v>-662</v>
      </c>
      <c r="L977" s="73">
        <v>-164</v>
      </c>
      <c r="M977" s="73">
        <v>-99</v>
      </c>
      <c r="N977" s="73">
        <v>-91</v>
      </c>
      <c r="O977" s="73">
        <v>-53</v>
      </c>
      <c r="P977" s="73">
        <v>-103</v>
      </c>
      <c r="Q977" s="73">
        <v>-76</v>
      </c>
      <c r="R977" s="73">
        <v>0</v>
      </c>
      <c r="S977" s="73">
        <v>0</v>
      </c>
      <c r="T977" s="73">
        <v>0</v>
      </c>
      <c r="U977" s="73">
        <v>0</v>
      </c>
      <c r="V977" s="73">
        <v>0</v>
      </c>
      <c r="W977" s="73">
        <v>0</v>
      </c>
      <c r="X977" s="73">
        <v>0</v>
      </c>
      <c r="Y977" s="73">
        <v>0</v>
      </c>
      <c r="Z977" s="73">
        <v>3499</v>
      </c>
      <c r="AA977" s="73">
        <v>2502</v>
      </c>
      <c r="AB977" s="73">
        <v>0</v>
      </c>
      <c r="AC977" s="73">
        <v>0</v>
      </c>
      <c r="AD977" s="73">
        <v>0</v>
      </c>
      <c r="AE977" s="73">
        <v>0</v>
      </c>
      <c r="AF977" s="74">
        <f>tblData[[#This Row],[Gross Sales]]+tblData[[#This Row],[Trade Discounts]]+tblData[[#This Row],[Returns]]</f>
        <v>2087</v>
      </c>
      <c r="AG977" s="74">
        <f>tblData[[#This Row],[Material Cost]]+tblData[[#This Row],[Conversion Cost]]+tblData[[#This Row],[Inbound Freight]]</f>
        <v>-925</v>
      </c>
      <c r="AH977" s="74">
        <f>tblData[[#This Row],[Net Revenue]]+tblData[[#This Row],[COGS]]</f>
        <v>1162</v>
      </c>
      <c r="AI977" s="74">
        <f>tblData[[#This Row],[Advertising]]+tblData[[#This Row],[Promotions]]</f>
        <v>-144</v>
      </c>
      <c r="AJ977" s="74">
        <f>tblData[[#This Row],[Outbound Logistics]]+tblData[[#This Row],[Direct Selling]]</f>
        <v>-179</v>
      </c>
      <c r="AK977" s="74">
        <f>tblData[[#This Row],[Gross Profit]]+tblData[[#This Row],[AP Spend]]+tblData[[#This Row],[Cost to Serve]]</f>
        <v>839</v>
      </c>
    </row>
    <row r="978" spans="2:37" x14ac:dyDescent="0.25">
      <c r="B978" s="71" t="s">
        <v>51</v>
      </c>
      <c r="C978" s="71">
        <v>2026</v>
      </c>
      <c r="D978" s="71">
        <v>2</v>
      </c>
      <c r="E978" s="71" t="s">
        <v>44</v>
      </c>
      <c r="F978" s="71" t="s">
        <v>40</v>
      </c>
      <c r="G978" s="72">
        <v>261.8</v>
      </c>
      <c r="H978" s="73">
        <v>1838</v>
      </c>
      <c r="I978" s="73">
        <v>-297</v>
      </c>
      <c r="J978" s="73">
        <v>-22</v>
      </c>
      <c r="K978" s="73">
        <v>-535</v>
      </c>
      <c r="L978" s="73">
        <v>-132</v>
      </c>
      <c r="M978" s="73">
        <v>-80</v>
      </c>
      <c r="N978" s="73">
        <v>-46</v>
      </c>
      <c r="O978" s="73">
        <v>-26</v>
      </c>
      <c r="P978" s="73">
        <v>-75</v>
      </c>
      <c r="Q978" s="73">
        <v>-55</v>
      </c>
      <c r="R978" s="73">
        <v>0</v>
      </c>
      <c r="S978" s="73">
        <v>0</v>
      </c>
      <c r="T978" s="73">
        <v>0</v>
      </c>
      <c r="U978" s="73">
        <v>0</v>
      </c>
      <c r="V978" s="73">
        <v>0</v>
      </c>
      <c r="W978" s="73">
        <v>0</v>
      </c>
      <c r="X978" s="73">
        <v>0</v>
      </c>
      <c r="Y978" s="73">
        <v>0</v>
      </c>
      <c r="Z978" s="73">
        <v>2576</v>
      </c>
      <c r="AA978" s="73">
        <v>1925</v>
      </c>
      <c r="AB978" s="73">
        <v>0</v>
      </c>
      <c r="AC978" s="73">
        <v>0</v>
      </c>
      <c r="AD978" s="73">
        <v>0</v>
      </c>
      <c r="AE978" s="73">
        <v>0</v>
      </c>
      <c r="AF978" s="74">
        <f>tblData[[#This Row],[Gross Sales]]+tblData[[#This Row],[Trade Discounts]]+tblData[[#This Row],[Returns]]</f>
        <v>1519</v>
      </c>
      <c r="AG978" s="74">
        <f>tblData[[#This Row],[Material Cost]]+tblData[[#This Row],[Conversion Cost]]+tblData[[#This Row],[Inbound Freight]]</f>
        <v>-747</v>
      </c>
      <c r="AH978" s="74">
        <f>tblData[[#This Row],[Net Revenue]]+tblData[[#This Row],[COGS]]</f>
        <v>772</v>
      </c>
      <c r="AI978" s="74">
        <f>tblData[[#This Row],[Advertising]]+tblData[[#This Row],[Promotions]]</f>
        <v>-72</v>
      </c>
      <c r="AJ978" s="74">
        <f>tblData[[#This Row],[Outbound Logistics]]+tblData[[#This Row],[Direct Selling]]</f>
        <v>-130</v>
      </c>
      <c r="AK978" s="74">
        <f>tblData[[#This Row],[Gross Profit]]+tblData[[#This Row],[AP Spend]]+tblData[[#This Row],[Cost to Serve]]</f>
        <v>570</v>
      </c>
    </row>
    <row r="979" spans="2:37" x14ac:dyDescent="0.25">
      <c r="B979" s="71" t="s">
        <v>51</v>
      </c>
      <c r="C979" s="71">
        <v>2026</v>
      </c>
      <c r="D979" s="71">
        <v>2</v>
      </c>
      <c r="E979" s="71" t="s">
        <v>44</v>
      </c>
      <c r="F979" s="71" t="s">
        <v>41</v>
      </c>
      <c r="G979" s="72">
        <v>133.1</v>
      </c>
      <c r="H979" s="73">
        <v>1471</v>
      </c>
      <c r="I979" s="73">
        <v>-238</v>
      </c>
      <c r="J979" s="73">
        <v>-18</v>
      </c>
      <c r="K979" s="73">
        <v>-353</v>
      </c>
      <c r="L979" s="73">
        <v>-87</v>
      </c>
      <c r="M979" s="73">
        <v>-53</v>
      </c>
      <c r="N979" s="73">
        <v>-98</v>
      </c>
      <c r="O979" s="73">
        <v>-56</v>
      </c>
      <c r="P979" s="73">
        <v>-60</v>
      </c>
      <c r="Q979" s="73">
        <v>-44</v>
      </c>
      <c r="R979" s="73">
        <v>0</v>
      </c>
      <c r="S979" s="73">
        <v>0</v>
      </c>
      <c r="T979" s="73">
        <v>0</v>
      </c>
      <c r="U979" s="73">
        <v>0</v>
      </c>
      <c r="V979" s="73">
        <v>0</v>
      </c>
      <c r="W979" s="73">
        <v>0</v>
      </c>
      <c r="X979" s="73">
        <v>0</v>
      </c>
      <c r="Y979" s="73">
        <v>0</v>
      </c>
      <c r="Z979" s="73">
        <v>2049</v>
      </c>
      <c r="AA979" s="73">
        <v>1503</v>
      </c>
      <c r="AB979" s="73">
        <v>0</v>
      </c>
      <c r="AC979" s="73">
        <v>0</v>
      </c>
      <c r="AD979" s="73">
        <v>0</v>
      </c>
      <c r="AE979" s="73">
        <v>0</v>
      </c>
      <c r="AF979" s="74">
        <f>tblData[[#This Row],[Gross Sales]]+tblData[[#This Row],[Trade Discounts]]+tblData[[#This Row],[Returns]]</f>
        <v>1215</v>
      </c>
      <c r="AG979" s="74">
        <f>tblData[[#This Row],[Material Cost]]+tblData[[#This Row],[Conversion Cost]]+tblData[[#This Row],[Inbound Freight]]</f>
        <v>-493</v>
      </c>
      <c r="AH979" s="74">
        <f>tblData[[#This Row],[Net Revenue]]+tblData[[#This Row],[COGS]]</f>
        <v>722</v>
      </c>
      <c r="AI979" s="74">
        <f>tblData[[#This Row],[Advertising]]+tblData[[#This Row],[Promotions]]</f>
        <v>-154</v>
      </c>
      <c r="AJ979" s="74">
        <f>tblData[[#This Row],[Outbound Logistics]]+tblData[[#This Row],[Direct Selling]]</f>
        <v>-104</v>
      </c>
      <c r="AK979" s="74">
        <f>tblData[[#This Row],[Gross Profit]]+tblData[[#This Row],[AP Spend]]+tblData[[#This Row],[Cost to Serve]]</f>
        <v>464</v>
      </c>
    </row>
    <row r="980" spans="2:37" x14ac:dyDescent="0.25">
      <c r="B980" s="71" t="s">
        <v>51</v>
      </c>
      <c r="C980" s="71">
        <v>2026</v>
      </c>
      <c r="D980" s="71">
        <v>2</v>
      </c>
      <c r="E980" s="71" t="s">
        <v>44</v>
      </c>
      <c r="F980" s="71" t="s">
        <v>42</v>
      </c>
      <c r="G980" s="72">
        <v>163.4</v>
      </c>
      <c r="H980" s="73">
        <v>981</v>
      </c>
      <c r="I980" s="73">
        <v>-158</v>
      </c>
      <c r="J980" s="73">
        <v>-12</v>
      </c>
      <c r="K980" s="73">
        <v>-314</v>
      </c>
      <c r="L980" s="73">
        <v>-78</v>
      </c>
      <c r="M980" s="73">
        <v>-47</v>
      </c>
      <c r="N980" s="73">
        <v>-19</v>
      </c>
      <c r="O980" s="73">
        <v>-11</v>
      </c>
      <c r="P980" s="73">
        <v>-40</v>
      </c>
      <c r="Q980" s="73">
        <v>-29</v>
      </c>
      <c r="R980" s="73">
        <v>0</v>
      </c>
      <c r="S980" s="73">
        <v>0</v>
      </c>
      <c r="T980" s="73">
        <v>0</v>
      </c>
      <c r="U980" s="73">
        <v>0</v>
      </c>
      <c r="V980" s="73">
        <v>0</v>
      </c>
      <c r="W980" s="73">
        <v>0</v>
      </c>
      <c r="X980" s="73">
        <v>0</v>
      </c>
      <c r="Y980" s="73">
        <v>0</v>
      </c>
      <c r="Z980" s="73">
        <v>1366</v>
      </c>
      <c r="AA980" s="73">
        <v>1748</v>
      </c>
      <c r="AB980" s="73">
        <v>0</v>
      </c>
      <c r="AC980" s="73">
        <v>0</v>
      </c>
      <c r="AD980" s="73">
        <v>0</v>
      </c>
      <c r="AE980" s="73">
        <v>0</v>
      </c>
      <c r="AF980" s="74">
        <f>tblData[[#This Row],[Gross Sales]]+tblData[[#This Row],[Trade Discounts]]+tblData[[#This Row],[Returns]]</f>
        <v>811</v>
      </c>
      <c r="AG980" s="74">
        <f>tblData[[#This Row],[Material Cost]]+tblData[[#This Row],[Conversion Cost]]+tblData[[#This Row],[Inbound Freight]]</f>
        <v>-439</v>
      </c>
      <c r="AH980" s="74">
        <f>tblData[[#This Row],[Net Revenue]]+tblData[[#This Row],[COGS]]</f>
        <v>372</v>
      </c>
      <c r="AI980" s="74">
        <f>tblData[[#This Row],[Advertising]]+tblData[[#This Row],[Promotions]]</f>
        <v>-30</v>
      </c>
      <c r="AJ980" s="74">
        <f>tblData[[#This Row],[Outbound Logistics]]+tblData[[#This Row],[Direct Selling]]</f>
        <v>-69</v>
      </c>
      <c r="AK980" s="74">
        <f>tblData[[#This Row],[Gross Profit]]+tblData[[#This Row],[AP Spend]]+tblData[[#This Row],[Cost to Serve]]</f>
        <v>273</v>
      </c>
    </row>
    <row r="981" spans="2:37" x14ac:dyDescent="0.25">
      <c r="B981" s="71" t="s">
        <v>51</v>
      </c>
      <c r="C981" s="71">
        <v>2026</v>
      </c>
      <c r="D981" s="71">
        <v>2</v>
      </c>
      <c r="E981" s="71" t="s">
        <v>44</v>
      </c>
      <c r="F981" s="71" t="s">
        <v>43</v>
      </c>
      <c r="G981" s="72">
        <v>31.3</v>
      </c>
      <c r="H981" s="73">
        <v>565</v>
      </c>
      <c r="I981" s="73">
        <v>-91</v>
      </c>
      <c r="J981" s="73">
        <v>-7</v>
      </c>
      <c r="K981" s="73">
        <v>-156</v>
      </c>
      <c r="L981" s="73">
        <v>-39</v>
      </c>
      <c r="M981" s="73">
        <v>-23</v>
      </c>
      <c r="N981" s="73">
        <v>-53</v>
      </c>
      <c r="O981" s="73">
        <v>-31</v>
      </c>
      <c r="P981" s="73">
        <v>-23</v>
      </c>
      <c r="Q981" s="73">
        <v>-17</v>
      </c>
      <c r="R981" s="73">
        <v>0</v>
      </c>
      <c r="S981" s="73">
        <v>0</v>
      </c>
      <c r="T981" s="73">
        <v>0</v>
      </c>
      <c r="U981" s="73">
        <v>0</v>
      </c>
      <c r="V981" s="73">
        <v>0</v>
      </c>
      <c r="W981" s="73">
        <v>0</v>
      </c>
      <c r="X981" s="73">
        <v>0</v>
      </c>
      <c r="Y981" s="73">
        <v>0</v>
      </c>
      <c r="Z981" s="73">
        <v>790</v>
      </c>
      <c r="AA981" s="73">
        <v>880</v>
      </c>
      <c r="AB981" s="73">
        <v>0</v>
      </c>
      <c r="AC981" s="73">
        <v>0</v>
      </c>
      <c r="AD981" s="73">
        <v>0</v>
      </c>
      <c r="AE981" s="73">
        <v>0</v>
      </c>
      <c r="AF981" s="74">
        <f>tblData[[#This Row],[Gross Sales]]+tblData[[#This Row],[Trade Discounts]]+tblData[[#This Row],[Returns]]</f>
        <v>467</v>
      </c>
      <c r="AG981" s="74">
        <f>tblData[[#This Row],[Material Cost]]+tblData[[#This Row],[Conversion Cost]]+tblData[[#This Row],[Inbound Freight]]</f>
        <v>-218</v>
      </c>
      <c r="AH981" s="74">
        <f>tblData[[#This Row],[Net Revenue]]+tblData[[#This Row],[COGS]]</f>
        <v>249</v>
      </c>
      <c r="AI981" s="74">
        <f>tblData[[#This Row],[Advertising]]+tblData[[#This Row],[Promotions]]</f>
        <v>-84</v>
      </c>
      <c r="AJ981" s="74">
        <f>tblData[[#This Row],[Outbound Logistics]]+tblData[[#This Row],[Direct Selling]]</f>
        <v>-40</v>
      </c>
      <c r="AK981" s="74">
        <f>tblData[[#This Row],[Gross Profit]]+tblData[[#This Row],[AP Spend]]+tblData[[#This Row],[Cost to Serve]]</f>
        <v>125</v>
      </c>
    </row>
    <row r="982" spans="2:37" x14ac:dyDescent="0.25">
      <c r="B982" s="71" t="s">
        <v>51</v>
      </c>
      <c r="C982" s="71">
        <v>2026</v>
      </c>
      <c r="D982" s="71">
        <v>2</v>
      </c>
      <c r="E982" s="71" t="s">
        <v>45</v>
      </c>
      <c r="F982" s="71" t="s">
        <v>38</v>
      </c>
      <c r="G982" s="72">
        <v>121.3</v>
      </c>
      <c r="H982" s="73">
        <v>1696</v>
      </c>
      <c r="I982" s="73">
        <v>-388</v>
      </c>
      <c r="J982" s="73">
        <v>-17</v>
      </c>
      <c r="K982" s="73">
        <v>-370</v>
      </c>
      <c r="L982" s="73">
        <v>-92</v>
      </c>
      <c r="M982" s="73">
        <v>-55</v>
      </c>
      <c r="N982" s="73">
        <v>-93</v>
      </c>
      <c r="O982" s="73">
        <v>-54</v>
      </c>
      <c r="P982" s="73">
        <v>-61</v>
      </c>
      <c r="Q982" s="73">
        <v>-34</v>
      </c>
      <c r="R982" s="73">
        <v>0</v>
      </c>
      <c r="S982" s="73">
        <v>0</v>
      </c>
      <c r="T982" s="73">
        <v>0</v>
      </c>
      <c r="U982" s="73">
        <v>0</v>
      </c>
      <c r="V982" s="73">
        <v>0</v>
      </c>
      <c r="W982" s="73">
        <v>0</v>
      </c>
      <c r="X982" s="73">
        <v>0</v>
      </c>
      <c r="Y982" s="73">
        <v>0</v>
      </c>
      <c r="Z982" s="73">
        <v>1960</v>
      </c>
      <c r="AA982" s="73">
        <v>1653</v>
      </c>
      <c r="AB982" s="73">
        <v>0</v>
      </c>
      <c r="AC982" s="73">
        <v>0</v>
      </c>
      <c r="AD982" s="73">
        <v>0</v>
      </c>
      <c r="AE982" s="73">
        <v>0</v>
      </c>
      <c r="AF982" s="74">
        <f>tblData[[#This Row],[Gross Sales]]+tblData[[#This Row],[Trade Discounts]]+tblData[[#This Row],[Returns]]</f>
        <v>1291</v>
      </c>
      <c r="AG982" s="74">
        <f>tblData[[#This Row],[Material Cost]]+tblData[[#This Row],[Conversion Cost]]+tblData[[#This Row],[Inbound Freight]]</f>
        <v>-517</v>
      </c>
      <c r="AH982" s="74">
        <f>tblData[[#This Row],[Net Revenue]]+tblData[[#This Row],[COGS]]</f>
        <v>774</v>
      </c>
      <c r="AI982" s="74">
        <f>tblData[[#This Row],[Advertising]]+tblData[[#This Row],[Promotions]]</f>
        <v>-147</v>
      </c>
      <c r="AJ982" s="74">
        <f>tblData[[#This Row],[Outbound Logistics]]+tblData[[#This Row],[Direct Selling]]</f>
        <v>-95</v>
      </c>
      <c r="AK982" s="74">
        <f>tblData[[#This Row],[Gross Profit]]+tblData[[#This Row],[AP Spend]]+tblData[[#This Row],[Cost to Serve]]</f>
        <v>532</v>
      </c>
    </row>
    <row r="983" spans="2:37" x14ac:dyDescent="0.25">
      <c r="B983" s="71" t="s">
        <v>51</v>
      </c>
      <c r="C983" s="71">
        <v>2026</v>
      </c>
      <c r="D983" s="71">
        <v>2</v>
      </c>
      <c r="E983" s="71" t="s">
        <v>45</v>
      </c>
      <c r="F983" s="71" t="s">
        <v>39</v>
      </c>
      <c r="G983" s="72">
        <v>157.6</v>
      </c>
      <c r="H983" s="73">
        <v>1412</v>
      </c>
      <c r="I983" s="73">
        <v>-323</v>
      </c>
      <c r="J983" s="73">
        <v>-14</v>
      </c>
      <c r="K983" s="73">
        <v>-370</v>
      </c>
      <c r="L983" s="73">
        <v>-91</v>
      </c>
      <c r="M983" s="73">
        <v>-55</v>
      </c>
      <c r="N983" s="73">
        <v>-53</v>
      </c>
      <c r="O983" s="73">
        <v>-31</v>
      </c>
      <c r="P983" s="73">
        <v>-50</v>
      </c>
      <c r="Q983" s="73">
        <v>-28</v>
      </c>
      <c r="R983" s="73">
        <v>0</v>
      </c>
      <c r="S983" s="73">
        <v>0</v>
      </c>
      <c r="T983" s="73">
        <v>0</v>
      </c>
      <c r="U983" s="73">
        <v>0</v>
      </c>
      <c r="V983" s="73">
        <v>0</v>
      </c>
      <c r="W983" s="73">
        <v>0</v>
      </c>
      <c r="X983" s="73">
        <v>0</v>
      </c>
      <c r="Y983" s="73">
        <v>0</v>
      </c>
      <c r="Z983" s="73">
        <v>1630</v>
      </c>
      <c r="AA983" s="73">
        <v>1400</v>
      </c>
      <c r="AB983" s="73">
        <v>0</v>
      </c>
      <c r="AC983" s="73">
        <v>0</v>
      </c>
      <c r="AD983" s="73">
        <v>0</v>
      </c>
      <c r="AE983" s="73">
        <v>0</v>
      </c>
      <c r="AF983" s="74">
        <f>tblData[[#This Row],[Gross Sales]]+tblData[[#This Row],[Trade Discounts]]+tblData[[#This Row],[Returns]]</f>
        <v>1075</v>
      </c>
      <c r="AG983" s="74">
        <f>tblData[[#This Row],[Material Cost]]+tblData[[#This Row],[Conversion Cost]]+tblData[[#This Row],[Inbound Freight]]</f>
        <v>-516</v>
      </c>
      <c r="AH983" s="74">
        <f>tblData[[#This Row],[Net Revenue]]+tblData[[#This Row],[COGS]]</f>
        <v>559</v>
      </c>
      <c r="AI983" s="74">
        <f>tblData[[#This Row],[Advertising]]+tblData[[#This Row],[Promotions]]</f>
        <v>-84</v>
      </c>
      <c r="AJ983" s="74">
        <f>tblData[[#This Row],[Outbound Logistics]]+tblData[[#This Row],[Direct Selling]]</f>
        <v>-78</v>
      </c>
      <c r="AK983" s="74">
        <f>tblData[[#This Row],[Gross Profit]]+tblData[[#This Row],[AP Spend]]+tblData[[#This Row],[Cost to Serve]]</f>
        <v>397</v>
      </c>
    </row>
    <row r="984" spans="2:37" x14ac:dyDescent="0.25">
      <c r="B984" s="71" t="s">
        <v>51</v>
      </c>
      <c r="C984" s="71">
        <v>2026</v>
      </c>
      <c r="D984" s="71">
        <v>2</v>
      </c>
      <c r="E984" s="71" t="s">
        <v>45</v>
      </c>
      <c r="F984" s="71" t="s">
        <v>40</v>
      </c>
      <c r="G984" s="72">
        <v>149.4</v>
      </c>
      <c r="H984" s="73">
        <v>1040</v>
      </c>
      <c r="I984" s="73">
        <v>-238</v>
      </c>
      <c r="J984" s="73">
        <v>-10</v>
      </c>
      <c r="K984" s="73">
        <v>-303</v>
      </c>
      <c r="L984" s="73">
        <v>-75</v>
      </c>
      <c r="M984" s="73">
        <v>-45</v>
      </c>
      <c r="N984" s="73">
        <v>-27</v>
      </c>
      <c r="O984" s="73">
        <v>-15</v>
      </c>
      <c r="P984" s="73">
        <v>-37</v>
      </c>
      <c r="Q984" s="73">
        <v>-21</v>
      </c>
      <c r="R984" s="73">
        <v>0</v>
      </c>
      <c r="S984" s="73">
        <v>0</v>
      </c>
      <c r="T984" s="73">
        <v>0</v>
      </c>
      <c r="U984" s="73">
        <v>0</v>
      </c>
      <c r="V984" s="73">
        <v>0</v>
      </c>
      <c r="W984" s="73">
        <v>0</v>
      </c>
      <c r="X984" s="73">
        <v>0</v>
      </c>
      <c r="Y984" s="73">
        <v>0</v>
      </c>
      <c r="Z984" s="73">
        <v>1208</v>
      </c>
      <c r="AA984" s="73">
        <v>1085</v>
      </c>
      <c r="AB984" s="73">
        <v>0</v>
      </c>
      <c r="AC984" s="73">
        <v>0</v>
      </c>
      <c r="AD984" s="73">
        <v>0</v>
      </c>
      <c r="AE984" s="73">
        <v>0</v>
      </c>
      <c r="AF984" s="74">
        <f>tblData[[#This Row],[Gross Sales]]+tblData[[#This Row],[Trade Discounts]]+tblData[[#This Row],[Returns]]</f>
        <v>792</v>
      </c>
      <c r="AG984" s="74">
        <f>tblData[[#This Row],[Material Cost]]+tblData[[#This Row],[Conversion Cost]]+tblData[[#This Row],[Inbound Freight]]</f>
        <v>-423</v>
      </c>
      <c r="AH984" s="74">
        <f>tblData[[#This Row],[Net Revenue]]+tblData[[#This Row],[COGS]]</f>
        <v>369</v>
      </c>
      <c r="AI984" s="74">
        <f>tblData[[#This Row],[Advertising]]+tblData[[#This Row],[Promotions]]</f>
        <v>-42</v>
      </c>
      <c r="AJ984" s="74">
        <f>tblData[[#This Row],[Outbound Logistics]]+tblData[[#This Row],[Direct Selling]]</f>
        <v>-58</v>
      </c>
      <c r="AK984" s="74">
        <f>tblData[[#This Row],[Gross Profit]]+tblData[[#This Row],[AP Spend]]+tblData[[#This Row],[Cost to Serve]]</f>
        <v>269</v>
      </c>
    </row>
    <row r="985" spans="2:37" x14ac:dyDescent="0.25">
      <c r="B985" s="71" t="s">
        <v>51</v>
      </c>
      <c r="C985" s="71">
        <v>2026</v>
      </c>
      <c r="D985" s="71">
        <v>2</v>
      </c>
      <c r="E985" s="71" t="s">
        <v>45</v>
      </c>
      <c r="F985" s="71" t="s">
        <v>41</v>
      </c>
      <c r="G985" s="72">
        <v>75.900000000000006</v>
      </c>
      <c r="H985" s="73">
        <v>832</v>
      </c>
      <c r="I985" s="73">
        <v>-190</v>
      </c>
      <c r="J985" s="73">
        <v>-8</v>
      </c>
      <c r="K985" s="73">
        <v>-200</v>
      </c>
      <c r="L985" s="73">
        <v>-49</v>
      </c>
      <c r="M985" s="73">
        <v>-30</v>
      </c>
      <c r="N985" s="73">
        <v>-57</v>
      </c>
      <c r="O985" s="73">
        <v>-33</v>
      </c>
      <c r="P985" s="73">
        <v>-30</v>
      </c>
      <c r="Q985" s="73">
        <v>-17</v>
      </c>
      <c r="R985" s="73">
        <v>0</v>
      </c>
      <c r="S985" s="73">
        <v>0</v>
      </c>
      <c r="T985" s="73">
        <v>0</v>
      </c>
      <c r="U985" s="73">
        <v>0</v>
      </c>
      <c r="V985" s="73">
        <v>0</v>
      </c>
      <c r="W985" s="73">
        <v>0</v>
      </c>
      <c r="X985" s="73">
        <v>0</v>
      </c>
      <c r="Y985" s="73">
        <v>0</v>
      </c>
      <c r="Z985" s="73">
        <v>962</v>
      </c>
      <c r="AA985" s="73">
        <v>848</v>
      </c>
      <c r="AB985" s="73">
        <v>0</v>
      </c>
      <c r="AC985" s="73">
        <v>0</v>
      </c>
      <c r="AD985" s="73">
        <v>0</v>
      </c>
      <c r="AE985" s="73">
        <v>0</v>
      </c>
      <c r="AF985" s="74">
        <f>tblData[[#This Row],[Gross Sales]]+tblData[[#This Row],[Trade Discounts]]+tblData[[#This Row],[Returns]]</f>
        <v>634</v>
      </c>
      <c r="AG985" s="74">
        <f>tblData[[#This Row],[Material Cost]]+tblData[[#This Row],[Conversion Cost]]+tblData[[#This Row],[Inbound Freight]]</f>
        <v>-279</v>
      </c>
      <c r="AH985" s="74">
        <f>tblData[[#This Row],[Net Revenue]]+tblData[[#This Row],[COGS]]</f>
        <v>355</v>
      </c>
      <c r="AI985" s="74">
        <f>tblData[[#This Row],[Advertising]]+tblData[[#This Row],[Promotions]]</f>
        <v>-90</v>
      </c>
      <c r="AJ985" s="74">
        <f>tblData[[#This Row],[Outbound Logistics]]+tblData[[#This Row],[Direct Selling]]</f>
        <v>-47</v>
      </c>
      <c r="AK985" s="74">
        <f>tblData[[#This Row],[Gross Profit]]+tblData[[#This Row],[AP Spend]]+tblData[[#This Row],[Cost to Serve]]</f>
        <v>218</v>
      </c>
    </row>
    <row r="986" spans="2:37" x14ac:dyDescent="0.25">
      <c r="B986" s="71" t="s">
        <v>51</v>
      </c>
      <c r="C986" s="71">
        <v>2026</v>
      </c>
      <c r="D986" s="71">
        <v>2</v>
      </c>
      <c r="E986" s="71" t="s">
        <v>45</v>
      </c>
      <c r="F986" s="71" t="s">
        <v>42</v>
      </c>
      <c r="G986" s="72">
        <v>93.1</v>
      </c>
      <c r="H986" s="73">
        <v>554</v>
      </c>
      <c r="I986" s="73">
        <v>-127</v>
      </c>
      <c r="J986" s="73">
        <v>-6</v>
      </c>
      <c r="K986" s="73">
        <v>-177</v>
      </c>
      <c r="L986" s="73">
        <v>-44</v>
      </c>
      <c r="M986" s="73">
        <v>-26</v>
      </c>
      <c r="N986" s="73">
        <v>-11</v>
      </c>
      <c r="O986" s="73">
        <v>-6</v>
      </c>
      <c r="P986" s="73">
        <v>-20</v>
      </c>
      <c r="Q986" s="73">
        <v>-11</v>
      </c>
      <c r="R986" s="73">
        <v>0</v>
      </c>
      <c r="S986" s="73">
        <v>0</v>
      </c>
      <c r="T986" s="73">
        <v>0</v>
      </c>
      <c r="U986" s="73">
        <v>0</v>
      </c>
      <c r="V986" s="73">
        <v>0</v>
      </c>
      <c r="W986" s="73">
        <v>0</v>
      </c>
      <c r="X986" s="73">
        <v>0</v>
      </c>
      <c r="Y986" s="73">
        <v>0</v>
      </c>
      <c r="Z986" s="73">
        <v>641</v>
      </c>
      <c r="AA986" s="73">
        <v>986</v>
      </c>
      <c r="AB986" s="73">
        <v>0</v>
      </c>
      <c r="AC986" s="73">
        <v>0</v>
      </c>
      <c r="AD986" s="73">
        <v>0</v>
      </c>
      <c r="AE986" s="73">
        <v>0</v>
      </c>
      <c r="AF986" s="74">
        <f>tblData[[#This Row],[Gross Sales]]+tblData[[#This Row],[Trade Discounts]]+tblData[[#This Row],[Returns]]</f>
        <v>421</v>
      </c>
      <c r="AG986" s="74">
        <f>tblData[[#This Row],[Material Cost]]+tblData[[#This Row],[Conversion Cost]]+tblData[[#This Row],[Inbound Freight]]</f>
        <v>-247</v>
      </c>
      <c r="AH986" s="74">
        <f>tblData[[#This Row],[Net Revenue]]+tblData[[#This Row],[COGS]]</f>
        <v>174</v>
      </c>
      <c r="AI986" s="74">
        <f>tblData[[#This Row],[Advertising]]+tblData[[#This Row],[Promotions]]</f>
        <v>-17</v>
      </c>
      <c r="AJ986" s="74">
        <f>tblData[[#This Row],[Outbound Logistics]]+tblData[[#This Row],[Direct Selling]]</f>
        <v>-31</v>
      </c>
      <c r="AK986" s="74">
        <f>tblData[[#This Row],[Gross Profit]]+tblData[[#This Row],[AP Spend]]+tblData[[#This Row],[Cost to Serve]]</f>
        <v>126</v>
      </c>
    </row>
    <row r="987" spans="2:37" x14ac:dyDescent="0.25">
      <c r="B987" s="71" t="s">
        <v>51</v>
      </c>
      <c r="C987" s="71">
        <v>2026</v>
      </c>
      <c r="D987" s="71">
        <v>2</v>
      </c>
      <c r="E987" s="71" t="s">
        <v>45</v>
      </c>
      <c r="F987" s="71" t="s">
        <v>43</v>
      </c>
      <c r="G987" s="72">
        <v>17.8</v>
      </c>
      <c r="H987" s="73">
        <v>319</v>
      </c>
      <c r="I987" s="73">
        <v>-73</v>
      </c>
      <c r="J987" s="73">
        <v>-3</v>
      </c>
      <c r="K987" s="73">
        <v>-88</v>
      </c>
      <c r="L987" s="73">
        <v>-22</v>
      </c>
      <c r="M987" s="73">
        <v>-13</v>
      </c>
      <c r="N987" s="73">
        <v>-31</v>
      </c>
      <c r="O987" s="73">
        <v>-18</v>
      </c>
      <c r="P987" s="73">
        <v>-11</v>
      </c>
      <c r="Q987" s="73">
        <v>-6</v>
      </c>
      <c r="R987" s="73">
        <v>0</v>
      </c>
      <c r="S987" s="73">
        <v>0</v>
      </c>
      <c r="T987" s="73">
        <v>0</v>
      </c>
      <c r="U987" s="73">
        <v>0</v>
      </c>
      <c r="V987" s="73">
        <v>0</v>
      </c>
      <c r="W987" s="73">
        <v>0</v>
      </c>
      <c r="X987" s="73">
        <v>0</v>
      </c>
      <c r="Y987" s="73">
        <v>0</v>
      </c>
      <c r="Z987" s="73">
        <v>370</v>
      </c>
      <c r="AA987" s="73">
        <v>495</v>
      </c>
      <c r="AB987" s="73">
        <v>0</v>
      </c>
      <c r="AC987" s="73">
        <v>0</v>
      </c>
      <c r="AD987" s="73">
        <v>0</v>
      </c>
      <c r="AE987" s="73">
        <v>0</v>
      </c>
      <c r="AF987" s="74">
        <f>tblData[[#This Row],[Gross Sales]]+tblData[[#This Row],[Trade Discounts]]+tblData[[#This Row],[Returns]]</f>
        <v>243</v>
      </c>
      <c r="AG987" s="74">
        <f>tblData[[#This Row],[Material Cost]]+tblData[[#This Row],[Conversion Cost]]+tblData[[#This Row],[Inbound Freight]]</f>
        <v>-123</v>
      </c>
      <c r="AH987" s="74">
        <f>tblData[[#This Row],[Net Revenue]]+tblData[[#This Row],[COGS]]</f>
        <v>120</v>
      </c>
      <c r="AI987" s="74">
        <f>tblData[[#This Row],[Advertising]]+tblData[[#This Row],[Promotions]]</f>
        <v>-49</v>
      </c>
      <c r="AJ987" s="74">
        <f>tblData[[#This Row],[Outbound Logistics]]+tblData[[#This Row],[Direct Selling]]</f>
        <v>-17</v>
      </c>
      <c r="AK987" s="74">
        <f>tblData[[#This Row],[Gross Profit]]+tblData[[#This Row],[AP Spend]]+tblData[[#This Row],[Cost to Serve]]</f>
        <v>54</v>
      </c>
    </row>
    <row r="988" spans="2:37" x14ac:dyDescent="0.25">
      <c r="B988" s="71" t="s">
        <v>51</v>
      </c>
      <c r="C988" s="71">
        <v>2026</v>
      </c>
      <c r="D988" s="71">
        <v>2</v>
      </c>
      <c r="E988" s="71" t="s">
        <v>46</v>
      </c>
      <c r="F988" s="71" t="s">
        <v>38</v>
      </c>
      <c r="G988" s="72">
        <v>148.19999999999999</v>
      </c>
      <c r="H988" s="73">
        <v>2087</v>
      </c>
      <c r="I988" s="73">
        <v>-227</v>
      </c>
      <c r="J988" s="73">
        <v>-83</v>
      </c>
      <c r="K988" s="73">
        <v>-456</v>
      </c>
      <c r="L988" s="73">
        <v>-113</v>
      </c>
      <c r="M988" s="73">
        <v>-68</v>
      </c>
      <c r="N988" s="73">
        <v>-107</v>
      </c>
      <c r="O988" s="73">
        <v>-61</v>
      </c>
      <c r="P988" s="73">
        <v>-160</v>
      </c>
      <c r="Q988" s="73">
        <v>-42</v>
      </c>
      <c r="R988" s="73">
        <v>0</v>
      </c>
      <c r="S988" s="73">
        <v>0</v>
      </c>
      <c r="T988" s="73">
        <v>0</v>
      </c>
      <c r="U988" s="73">
        <v>0</v>
      </c>
      <c r="V988" s="73">
        <v>0</v>
      </c>
      <c r="W988" s="73">
        <v>0</v>
      </c>
      <c r="X988" s="73">
        <v>0</v>
      </c>
      <c r="Y988" s="73">
        <v>0</v>
      </c>
      <c r="Z988" s="73">
        <v>1554</v>
      </c>
      <c r="AA988" s="73">
        <v>2040</v>
      </c>
      <c r="AB988" s="73">
        <v>0</v>
      </c>
      <c r="AC988" s="73">
        <v>0</v>
      </c>
      <c r="AD988" s="73">
        <v>0</v>
      </c>
      <c r="AE988" s="73">
        <v>0</v>
      </c>
      <c r="AF988" s="74">
        <f>tblData[[#This Row],[Gross Sales]]+tblData[[#This Row],[Trade Discounts]]+tblData[[#This Row],[Returns]]</f>
        <v>1777</v>
      </c>
      <c r="AG988" s="74">
        <f>tblData[[#This Row],[Material Cost]]+tblData[[#This Row],[Conversion Cost]]+tblData[[#This Row],[Inbound Freight]]</f>
        <v>-637</v>
      </c>
      <c r="AH988" s="74">
        <f>tblData[[#This Row],[Net Revenue]]+tblData[[#This Row],[COGS]]</f>
        <v>1140</v>
      </c>
      <c r="AI988" s="74">
        <f>tblData[[#This Row],[Advertising]]+tblData[[#This Row],[Promotions]]</f>
        <v>-168</v>
      </c>
      <c r="AJ988" s="74">
        <f>tblData[[#This Row],[Outbound Logistics]]+tblData[[#This Row],[Direct Selling]]</f>
        <v>-202</v>
      </c>
      <c r="AK988" s="74">
        <f>tblData[[#This Row],[Gross Profit]]+tblData[[#This Row],[AP Spend]]+tblData[[#This Row],[Cost to Serve]]</f>
        <v>770</v>
      </c>
    </row>
    <row r="989" spans="2:37" x14ac:dyDescent="0.25">
      <c r="B989" s="71" t="s">
        <v>51</v>
      </c>
      <c r="C989" s="71">
        <v>2026</v>
      </c>
      <c r="D989" s="71">
        <v>2</v>
      </c>
      <c r="E989" s="71" t="s">
        <v>46</v>
      </c>
      <c r="F989" s="71" t="s">
        <v>39</v>
      </c>
      <c r="G989" s="72">
        <v>195.8</v>
      </c>
      <c r="H989" s="73">
        <v>1767</v>
      </c>
      <c r="I989" s="73">
        <v>-192</v>
      </c>
      <c r="J989" s="73">
        <v>-71</v>
      </c>
      <c r="K989" s="73">
        <v>-463</v>
      </c>
      <c r="L989" s="73">
        <v>-114</v>
      </c>
      <c r="M989" s="73">
        <v>-69</v>
      </c>
      <c r="N989" s="73">
        <v>-61</v>
      </c>
      <c r="O989" s="73">
        <v>-35</v>
      </c>
      <c r="P989" s="73">
        <v>-135</v>
      </c>
      <c r="Q989" s="73">
        <v>-35</v>
      </c>
      <c r="R989" s="73">
        <v>0</v>
      </c>
      <c r="S989" s="73">
        <v>0</v>
      </c>
      <c r="T989" s="73">
        <v>0</v>
      </c>
      <c r="U989" s="73">
        <v>0</v>
      </c>
      <c r="V989" s="73">
        <v>0</v>
      </c>
      <c r="W989" s="73">
        <v>0</v>
      </c>
      <c r="X989" s="73">
        <v>0</v>
      </c>
      <c r="Y989" s="73">
        <v>0</v>
      </c>
      <c r="Z989" s="73">
        <v>1314</v>
      </c>
      <c r="AA989" s="73">
        <v>1757</v>
      </c>
      <c r="AB989" s="73">
        <v>0</v>
      </c>
      <c r="AC989" s="73">
        <v>0</v>
      </c>
      <c r="AD989" s="73">
        <v>0</v>
      </c>
      <c r="AE989" s="73">
        <v>0</v>
      </c>
      <c r="AF989" s="74">
        <f>tblData[[#This Row],[Gross Sales]]+tblData[[#This Row],[Trade Discounts]]+tblData[[#This Row],[Returns]]</f>
        <v>1504</v>
      </c>
      <c r="AG989" s="74">
        <f>tblData[[#This Row],[Material Cost]]+tblData[[#This Row],[Conversion Cost]]+tblData[[#This Row],[Inbound Freight]]</f>
        <v>-646</v>
      </c>
      <c r="AH989" s="74">
        <f>tblData[[#This Row],[Net Revenue]]+tblData[[#This Row],[COGS]]</f>
        <v>858</v>
      </c>
      <c r="AI989" s="74">
        <f>tblData[[#This Row],[Advertising]]+tblData[[#This Row],[Promotions]]</f>
        <v>-96</v>
      </c>
      <c r="AJ989" s="74">
        <f>tblData[[#This Row],[Outbound Logistics]]+tblData[[#This Row],[Direct Selling]]</f>
        <v>-170</v>
      </c>
      <c r="AK989" s="74">
        <f>tblData[[#This Row],[Gross Profit]]+tblData[[#This Row],[AP Spend]]+tblData[[#This Row],[Cost to Serve]]</f>
        <v>592</v>
      </c>
    </row>
    <row r="990" spans="2:37" x14ac:dyDescent="0.25">
      <c r="B990" s="71" t="s">
        <v>51</v>
      </c>
      <c r="C990" s="71">
        <v>2026</v>
      </c>
      <c r="D990" s="71">
        <v>2</v>
      </c>
      <c r="E990" s="71" t="s">
        <v>46</v>
      </c>
      <c r="F990" s="71" t="s">
        <v>40</v>
      </c>
      <c r="G990" s="72">
        <v>186.6</v>
      </c>
      <c r="H990" s="73">
        <v>1308</v>
      </c>
      <c r="I990" s="73">
        <v>-142</v>
      </c>
      <c r="J990" s="73">
        <v>-52</v>
      </c>
      <c r="K990" s="73">
        <v>-381</v>
      </c>
      <c r="L990" s="73">
        <v>-94</v>
      </c>
      <c r="M990" s="73">
        <v>-57</v>
      </c>
      <c r="N990" s="73">
        <v>-30</v>
      </c>
      <c r="O990" s="73">
        <v>-18</v>
      </c>
      <c r="P990" s="73">
        <v>-100</v>
      </c>
      <c r="Q990" s="73">
        <v>-26</v>
      </c>
      <c r="R990" s="73">
        <v>0</v>
      </c>
      <c r="S990" s="73">
        <v>0</v>
      </c>
      <c r="T990" s="73">
        <v>0</v>
      </c>
      <c r="U990" s="73">
        <v>0</v>
      </c>
      <c r="V990" s="73">
        <v>0</v>
      </c>
      <c r="W990" s="73">
        <v>0</v>
      </c>
      <c r="X990" s="73">
        <v>0</v>
      </c>
      <c r="Y990" s="73">
        <v>0</v>
      </c>
      <c r="Z990" s="73">
        <v>973</v>
      </c>
      <c r="AA990" s="73">
        <v>1360</v>
      </c>
      <c r="AB990" s="73">
        <v>0</v>
      </c>
      <c r="AC990" s="73">
        <v>0</v>
      </c>
      <c r="AD990" s="73">
        <v>0</v>
      </c>
      <c r="AE990" s="73">
        <v>0</v>
      </c>
      <c r="AF990" s="74">
        <f>tblData[[#This Row],[Gross Sales]]+tblData[[#This Row],[Trade Discounts]]+tblData[[#This Row],[Returns]]</f>
        <v>1114</v>
      </c>
      <c r="AG990" s="74">
        <f>tblData[[#This Row],[Material Cost]]+tblData[[#This Row],[Conversion Cost]]+tblData[[#This Row],[Inbound Freight]]</f>
        <v>-532</v>
      </c>
      <c r="AH990" s="74">
        <f>tblData[[#This Row],[Net Revenue]]+tblData[[#This Row],[COGS]]</f>
        <v>582</v>
      </c>
      <c r="AI990" s="74">
        <f>tblData[[#This Row],[Advertising]]+tblData[[#This Row],[Promotions]]</f>
        <v>-48</v>
      </c>
      <c r="AJ990" s="74">
        <f>tblData[[#This Row],[Outbound Logistics]]+tblData[[#This Row],[Direct Selling]]</f>
        <v>-126</v>
      </c>
      <c r="AK990" s="74">
        <f>tblData[[#This Row],[Gross Profit]]+tblData[[#This Row],[AP Spend]]+tblData[[#This Row],[Cost to Serve]]</f>
        <v>408</v>
      </c>
    </row>
    <row r="991" spans="2:37" x14ac:dyDescent="0.25">
      <c r="B991" s="71" t="s">
        <v>51</v>
      </c>
      <c r="C991" s="71">
        <v>2026</v>
      </c>
      <c r="D991" s="71">
        <v>2</v>
      </c>
      <c r="E991" s="71" t="s">
        <v>46</v>
      </c>
      <c r="F991" s="71" t="s">
        <v>41</v>
      </c>
      <c r="G991" s="72">
        <v>94.5</v>
      </c>
      <c r="H991" s="73">
        <v>1043</v>
      </c>
      <c r="I991" s="73">
        <v>-113</v>
      </c>
      <c r="J991" s="73">
        <v>-42</v>
      </c>
      <c r="K991" s="73">
        <v>-250</v>
      </c>
      <c r="L991" s="73">
        <v>-62</v>
      </c>
      <c r="M991" s="73">
        <v>-37</v>
      </c>
      <c r="N991" s="73">
        <v>-65</v>
      </c>
      <c r="O991" s="73">
        <v>-37</v>
      </c>
      <c r="P991" s="73">
        <v>-80</v>
      </c>
      <c r="Q991" s="73">
        <v>-21</v>
      </c>
      <c r="R991" s="73">
        <v>0</v>
      </c>
      <c r="S991" s="73">
        <v>0</v>
      </c>
      <c r="T991" s="73">
        <v>0</v>
      </c>
      <c r="U991" s="73">
        <v>0</v>
      </c>
      <c r="V991" s="73">
        <v>0</v>
      </c>
      <c r="W991" s="73">
        <v>0</v>
      </c>
      <c r="X991" s="73">
        <v>0</v>
      </c>
      <c r="Y991" s="73">
        <v>0</v>
      </c>
      <c r="Z991" s="73">
        <v>775</v>
      </c>
      <c r="AA991" s="73">
        <v>1063</v>
      </c>
      <c r="AB991" s="73">
        <v>0</v>
      </c>
      <c r="AC991" s="73">
        <v>0</v>
      </c>
      <c r="AD991" s="73">
        <v>0</v>
      </c>
      <c r="AE991" s="73">
        <v>0</v>
      </c>
      <c r="AF991" s="74">
        <f>tblData[[#This Row],[Gross Sales]]+tblData[[#This Row],[Trade Discounts]]+tblData[[#This Row],[Returns]]</f>
        <v>888</v>
      </c>
      <c r="AG991" s="74">
        <f>tblData[[#This Row],[Material Cost]]+tblData[[#This Row],[Conversion Cost]]+tblData[[#This Row],[Inbound Freight]]</f>
        <v>-349</v>
      </c>
      <c r="AH991" s="74">
        <f>tblData[[#This Row],[Net Revenue]]+tblData[[#This Row],[COGS]]</f>
        <v>539</v>
      </c>
      <c r="AI991" s="74">
        <f>tblData[[#This Row],[Advertising]]+tblData[[#This Row],[Promotions]]</f>
        <v>-102</v>
      </c>
      <c r="AJ991" s="74">
        <f>tblData[[#This Row],[Outbound Logistics]]+tblData[[#This Row],[Direct Selling]]</f>
        <v>-101</v>
      </c>
      <c r="AK991" s="74">
        <f>tblData[[#This Row],[Gross Profit]]+tblData[[#This Row],[AP Spend]]+tblData[[#This Row],[Cost to Serve]]</f>
        <v>336</v>
      </c>
    </row>
    <row r="992" spans="2:37" x14ac:dyDescent="0.25">
      <c r="B992" s="71" t="s">
        <v>51</v>
      </c>
      <c r="C992" s="71">
        <v>2026</v>
      </c>
      <c r="D992" s="71">
        <v>2</v>
      </c>
      <c r="E992" s="71" t="s">
        <v>46</v>
      </c>
      <c r="F992" s="71" t="s">
        <v>42</v>
      </c>
      <c r="G992" s="72">
        <v>115.1</v>
      </c>
      <c r="H992" s="73">
        <v>689</v>
      </c>
      <c r="I992" s="73">
        <v>-75</v>
      </c>
      <c r="J992" s="73">
        <v>-28</v>
      </c>
      <c r="K992" s="73">
        <v>-221</v>
      </c>
      <c r="L992" s="73">
        <v>-55</v>
      </c>
      <c r="M992" s="73">
        <v>-33</v>
      </c>
      <c r="N992" s="73">
        <v>-13</v>
      </c>
      <c r="O992" s="73">
        <v>-7</v>
      </c>
      <c r="P992" s="73">
        <v>-53</v>
      </c>
      <c r="Q992" s="73">
        <v>-14</v>
      </c>
      <c r="R992" s="73">
        <v>0</v>
      </c>
      <c r="S992" s="73">
        <v>0</v>
      </c>
      <c r="T992" s="73">
        <v>0</v>
      </c>
      <c r="U992" s="73">
        <v>0</v>
      </c>
      <c r="V992" s="73">
        <v>0</v>
      </c>
      <c r="W992" s="73">
        <v>0</v>
      </c>
      <c r="X992" s="73">
        <v>0</v>
      </c>
      <c r="Y992" s="73">
        <v>0</v>
      </c>
      <c r="Z992" s="73">
        <v>514</v>
      </c>
      <c r="AA992" s="73">
        <v>1230</v>
      </c>
      <c r="AB992" s="73">
        <v>0</v>
      </c>
      <c r="AC992" s="73">
        <v>0</v>
      </c>
      <c r="AD992" s="73">
        <v>0</v>
      </c>
      <c r="AE992" s="73">
        <v>0</v>
      </c>
      <c r="AF992" s="74">
        <f>tblData[[#This Row],[Gross Sales]]+tblData[[#This Row],[Trade Discounts]]+tblData[[#This Row],[Returns]]</f>
        <v>586</v>
      </c>
      <c r="AG992" s="74">
        <f>tblData[[#This Row],[Material Cost]]+tblData[[#This Row],[Conversion Cost]]+tblData[[#This Row],[Inbound Freight]]</f>
        <v>-309</v>
      </c>
      <c r="AH992" s="74">
        <f>tblData[[#This Row],[Net Revenue]]+tblData[[#This Row],[COGS]]</f>
        <v>277</v>
      </c>
      <c r="AI992" s="74">
        <f>tblData[[#This Row],[Advertising]]+tblData[[#This Row],[Promotions]]</f>
        <v>-20</v>
      </c>
      <c r="AJ992" s="74">
        <f>tblData[[#This Row],[Outbound Logistics]]+tblData[[#This Row],[Direct Selling]]</f>
        <v>-67</v>
      </c>
      <c r="AK992" s="74">
        <f>tblData[[#This Row],[Gross Profit]]+tblData[[#This Row],[AP Spend]]+tblData[[#This Row],[Cost to Serve]]</f>
        <v>190</v>
      </c>
    </row>
    <row r="993" spans="2:37" x14ac:dyDescent="0.25">
      <c r="B993" s="71" t="s">
        <v>51</v>
      </c>
      <c r="C993" s="71">
        <v>2026</v>
      </c>
      <c r="D993" s="71">
        <v>2</v>
      </c>
      <c r="E993" s="71" t="s">
        <v>46</v>
      </c>
      <c r="F993" s="71" t="s">
        <v>43</v>
      </c>
      <c r="G993" s="72">
        <v>22</v>
      </c>
      <c r="H993" s="73">
        <v>397</v>
      </c>
      <c r="I993" s="73">
        <v>-43</v>
      </c>
      <c r="J993" s="73">
        <v>-16</v>
      </c>
      <c r="K993" s="73">
        <v>-110</v>
      </c>
      <c r="L993" s="73">
        <v>-27</v>
      </c>
      <c r="M993" s="73">
        <v>-16</v>
      </c>
      <c r="N993" s="73">
        <v>-36</v>
      </c>
      <c r="O993" s="73">
        <v>-20</v>
      </c>
      <c r="P993" s="73">
        <v>-30</v>
      </c>
      <c r="Q993" s="73">
        <v>-8</v>
      </c>
      <c r="R993" s="73">
        <v>0</v>
      </c>
      <c r="S993" s="73">
        <v>0</v>
      </c>
      <c r="T993" s="73">
        <v>0</v>
      </c>
      <c r="U993" s="73">
        <v>0</v>
      </c>
      <c r="V993" s="73">
        <v>0</v>
      </c>
      <c r="W993" s="73">
        <v>0</v>
      </c>
      <c r="X993" s="73">
        <v>0</v>
      </c>
      <c r="Y993" s="73">
        <v>0</v>
      </c>
      <c r="Z993" s="73">
        <v>297</v>
      </c>
      <c r="AA993" s="73">
        <v>619</v>
      </c>
      <c r="AB993" s="73">
        <v>0</v>
      </c>
      <c r="AC993" s="73">
        <v>0</v>
      </c>
      <c r="AD993" s="73">
        <v>0</v>
      </c>
      <c r="AE993" s="73">
        <v>0</v>
      </c>
      <c r="AF993" s="74">
        <f>tblData[[#This Row],[Gross Sales]]+tblData[[#This Row],[Trade Discounts]]+tblData[[#This Row],[Returns]]</f>
        <v>338</v>
      </c>
      <c r="AG993" s="74">
        <f>tblData[[#This Row],[Material Cost]]+tblData[[#This Row],[Conversion Cost]]+tblData[[#This Row],[Inbound Freight]]</f>
        <v>-153</v>
      </c>
      <c r="AH993" s="74">
        <f>tblData[[#This Row],[Net Revenue]]+tblData[[#This Row],[COGS]]</f>
        <v>185</v>
      </c>
      <c r="AI993" s="74">
        <f>tblData[[#This Row],[Advertising]]+tblData[[#This Row],[Promotions]]</f>
        <v>-56</v>
      </c>
      <c r="AJ993" s="74">
        <f>tblData[[#This Row],[Outbound Logistics]]+tblData[[#This Row],[Direct Selling]]</f>
        <v>-38</v>
      </c>
      <c r="AK993" s="74">
        <f>tblData[[#This Row],[Gross Profit]]+tblData[[#This Row],[AP Spend]]+tblData[[#This Row],[Cost to Serve]]</f>
        <v>91</v>
      </c>
    </row>
    <row r="994" spans="2:37" x14ac:dyDescent="0.25">
      <c r="B994" s="71" t="s">
        <v>51</v>
      </c>
      <c r="C994" s="71">
        <v>2026</v>
      </c>
      <c r="D994" s="71">
        <v>2</v>
      </c>
      <c r="E994" s="71" t="s">
        <v>47</v>
      </c>
      <c r="F994" s="71" t="s">
        <v>38</v>
      </c>
      <c r="G994" s="72">
        <v>54.4</v>
      </c>
      <c r="H994" s="73">
        <v>768</v>
      </c>
      <c r="I994" s="73">
        <v>-23</v>
      </c>
      <c r="J994" s="73">
        <v>-38</v>
      </c>
      <c r="K994" s="73">
        <v>-168</v>
      </c>
      <c r="L994" s="73">
        <v>-41</v>
      </c>
      <c r="M994" s="73">
        <v>-25</v>
      </c>
      <c r="N994" s="73">
        <v>-40</v>
      </c>
      <c r="O994" s="73">
        <v>-23</v>
      </c>
      <c r="P994" s="73">
        <v>-94</v>
      </c>
      <c r="Q994" s="73">
        <v>-31</v>
      </c>
      <c r="R994" s="73">
        <v>0</v>
      </c>
      <c r="S994" s="73">
        <v>0</v>
      </c>
      <c r="T994" s="73">
        <v>0</v>
      </c>
      <c r="U994" s="73">
        <v>0</v>
      </c>
      <c r="V994" s="73">
        <v>0</v>
      </c>
      <c r="W994" s="73">
        <v>0</v>
      </c>
      <c r="X994" s="73">
        <v>0</v>
      </c>
      <c r="Y994" s="73">
        <v>0</v>
      </c>
      <c r="Z994" s="73">
        <v>115</v>
      </c>
      <c r="AA994" s="73">
        <v>755</v>
      </c>
      <c r="AB994" s="73">
        <v>0</v>
      </c>
      <c r="AC994" s="73">
        <v>0</v>
      </c>
      <c r="AD994" s="73">
        <v>0</v>
      </c>
      <c r="AE994" s="73">
        <v>0</v>
      </c>
      <c r="AF994" s="74">
        <f>tblData[[#This Row],[Gross Sales]]+tblData[[#This Row],[Trade Discounts]]+tblData[[#This Row],[Returns]]</f>
        <v>707</v>
      </c>
      <c r="AG994" s="74">
        <f>tblData[[#This Row],[Material Cost]]+tblData[[#This Row],[Conversion Cost]]+tblData[[#This Row],[Inbound Freight]]</f>
        <v>-234</v>
      </c>
      <c r="AH994" s="74">
        <f>tblData[[#This Row],[Net Revenue]]+tblData[[#This Row],[COGS]]</f>
        <v>473</v>
      </c>
      <c r="AI994" s="74">
        <f>tblData[[#This Row],[Advertising]]+tblData[[#This Row],[Promotions]]</f>
        <v>-63</v>
      </c>
      <c r="AJ994" s="74">
        <f>tblData[[#This Row],[Outbound Logistics]]+tblData[[#This Row],[Direct Selling]]</f>
        <v>-125</v>
      </c>
      <c r="AK994" s="74">
        <f>tblData[[#This Row],[Gross Profit]]+tblData[[#This Row],[AP Spend]]+tblData[[#This Row],[Cost to Serve]]</f>
        <v>285</v>
      </c>
    </row>
    <row r="995" spans="2:37" x14ac:dyDescent="0.25">
      <c r="B995" s="71" t="s">
        <v>51</v>
      </c>
      <c r="C995" s="71">
        <v>2026</v>
      </c>
      <c r="D995" s="71">
        <v>2</v>
      </c>
      <c r="E995" s="71" t="s">
        <v>47</v>
      </c>
      <c r="F995" s="71" t="s">
        <v>39</v>
      </c>
      <c r="G995" s="72">
        <v>72</v>
      </c>
      <c r="H995" s="73">
        <v>652</v>
      </c>
      <c r="I995" s="73">
        <v>-20</v>
      </c>
      <c r="J995" s="73">
        <v>-33</v>
      </c>
      <c r="K995" s="73">
        <v>-171</v>
      </c>
      <c r="L995" s="73">
        <v>-42</v>
      </c>
      <c r="M995" s="73">
        <v>-25</v>
      </c>
      <c r="N995" s="73">
        <v>-23</v>
      </c>
      <c r="O995" s="73">
        <v>-13</v>
      </c>
      <c r="P995" s="73">
        <v>-80</v>
      </c>
      <c r="Q995" s="73">
        <v>-26</v>
      </c>
      <c r="R995" s="73">
        <v>0</v>
      </c>
      <c r="S995" s="73">
        <v>0</v>
      </c>
      <c r="T995" s="73">
        <v>0</v>
      </c>
      <c r="U995" s="73">
        <v>0</v>
      </c>
      <c r="V995" s="73">
        <v>0</v>
      </c>
      <c r="W995" s="73">
        <v>0</v>
      </c>
      <c r="X995" s="73">
        <v>0</v>
      </c>
      <c r="Y995" s="73">
        <v>0</v>
      </c>
      <c r="Z995" s="73">
        <v>97</v>
      </c>
      <c r="AA995" s="73">
        <v>648</v>
      </c>
      <c r="AB995" s="73">
        <v>0</v>
      </c>
      <c r="AC995" s="73">
        <v>0</v>
      </c>
      <c r="AD995" s="73">
        <v>0</v>
      </c>
      <c r="AE995" s="73">
        <v>0</v>
      </c>
      <c r="AF995" s="74">
        <f>tblData[[#This Row],[Gross Sales]]+tblData[[#This Row],[Trade Discounts]]+tblData[[#This Row],[Returns]]</f>
        <v>599</v>
      </c>
      <c r="AG995" s="74">
        <f>tblData[[#This Row],[Material Cost]]+tblData[[#This Row],[Conversion Cost]]+tblData[[#This Row],[Inbound Freight]]</f>
        <v>-238</v>
      </c>
      <c r="AH995" s="74">
        <f>tblData[[#This Row],[Net Revenue]]+tblData[[#This Row],[COGS]]</f>
        <v>361</v>
      </c>
      <c r="AI995" s="74">
        <f>tblData[[#This Row],[Advertising]]+tblData[[#This Row],[Promotions]]</f>
        <v>-36</v>
      </c>
      <c r="AJ995" s="74">
        <f>tblData[[#This Row],[Outbound Logistics]]+tblData[[#This Row],[Direct Selling]]</f>
        <v>-106</v>
      </c>
      <c r="AK995" s="74">
        <f>tblData[[#This Row],[Gross Profit]]+tblData[[#This Row],[AP Spend]]+tblData[[#This Row],[Cost to Serve]]</f>
        <v>219</v>
      </c>
    </row>
    <row r="996" spans="2:37" x14ac:dyDescent="0.25">
      <c r="B996" s="71" t="s">
        <v>51</v>
      </c>
      <c r="C996" s="71">
        <v>2026</v>
      </c>
      <c r="D996" s="71">
        <v>2</v>
      </c>
      <c r="E996" s="71" t="s">
        <v>47</v>
      </c>
      <c r="F996" s="71" t="s">
        <v>40</v>
      </c>
      <c r="G996" s="72">
        <v>67.900000000000006</v>
      </c>
      <c r="H996" s="73">
        <v>478</v>
      </c>
      <c r="I996" s="73">
        <v>-14</v>
      </c>
      <c r="J996" s="73">
        <v>-24</v>
      </c>
      <c r="K996" s="73">
        <v>-139</v>
      </c>
      <c r="L996" s="73">
        <v>-34</v>
      </c>
      <c r="M996" s="73">
        <v>-21</v>
      </c>
      <c r="N996" s="73">
        <v>-11</v>
      </c>
      <c r="O996" s="73">
        <v>-7</v>
      </c>
      <c r="P996" s="73">
        <v>-59</v>
      </c>
      <c r="Q996" s="73">
        <v>-19</v>
      </c>
      <c r="R996" s="73">
        <v>0</v>
      </c>
      <c r="S996" s="73">
        <v>0</v>
      </c>
      <c r="T996" s="73">
        <v>0</v>
      </c>
      <c r="U996" s="73">
        <v>0</v>
      </c>
      <c r="V996" s="73">
        <v>0</v>
      </c>
      <c r="W996" s="73">
        <v>0</v>
      </c>
      <c r="X996" s="73">
        <v>0</v>
      </c>
      <c r="Y996" s="73">
        <v>0</v>
      </c>
      <c r="Z996" s="73">
        <v>71</v>
      </c>
      <c r="AA996" s="73">
        <v>498</v>
      </c>
      <c r="AB996" s="73">
        <v>0</v>
      </c>
      <c r="AC996" s="73">
        <v>0</v>
      </c>
      <c r="AD996" s="73">
        <v>0</v>
      </c>
      <c r="AE996" s="73">
        <v>0</v>
      </c>
      <c r="AF996" s="74">
        <f>tblData[[#This Row],[Gross Sales]]+tblData[[#This Row],[Trade Discounts]]+tblData[[#This Row],[Returns]]</f>
        <v>440</v>
      </c>
      <c r="AG996" s="74">
        <f>tblData[[#This Row],[Material Cost]]+tblData[[#This Row],[Conversion Cost]]+tblData[[#This Row],[Inbound Freight]]</f>
        <v>-194</v>
      </c>
      <c r="AH996" s="74">
        <f>tblData[[#This Row],[Net Revenue]]+tblData[[#This Row],[COGS]]</f>
        <v>246</v>
      </c>
      <c r="AI996" s="74">
        <f>tblData[[#This Row],[Advertising]]+tblData[[#This Row],[Promotions]]</f>
        <v>-18</v>
      </c>
      <c r="AJ996" s="74">
        <f>tblData[[#This Row],[Outbound Logistics]]+tblData[[#This Row],[Direct Selling]]</f>
        <v>-78</v>
      </c>
      <c r="AK996" s="74">
        <f>tblData[[#This Row],[Gross Profit]]+tblData[[#This Row],[AP Spend]]+tblData[[#This Row],[Cost to Serve]]</f>
        <v>150</v>
      </c>
    </row>
    <row r="997" spans="2:37" x14ac:dyDescent="0.25">
      <c r="B997" s="71" t="s">
        <v>51</v>
      </c>
      <c r="C997" s="71">
        <v>2026</v>
      </c>
      <c r="D997" s="71">
        <v>2</v>
      </c>
      <c r="E997" s="71" t="s">
        <v>47</v>
      </c>
      <c r="F997" s="71" t="s">
        <v>41</v>
      </c>
      <c r="G997" s="72">
        <v>34.799999999999997</v>
      </c>
      <c r="H997" s="73">
        <v>385</v>
      </c>
      <c r="I997" s="73">
        <v>-12</v>
      </c>
      <c r="J997" s="73">
        <v>-19</v>
      </c>
      <c r="K997" s="73">
        <v>-92</v>
      </c>
      <c r="L997" s="73">
        <v>-23</v>
      </c>
      <c r="M997" s="73">
        <v>-14</v>
      </c>
      <c r="N997" s="73">
        <v>-24</v>
      </c>
      <c r="O997" s="73">
        <v>-14</v>
      </c>
      <c r="P997" s="73">
        <v>-47</v>
      </c>
      <c r="Q997" s="73">
        <v>-15</v>
      </c>
      <c r="R997" s="73">
        <v>0</v>
      </c>
      <c r="S997" s="73">
        <v>0</v>
      </c>
      <c r="T997" s="73">
        <v>0</v>
      </c>
      <c r="U997" s="73">
        <v>0</v>
      </c>
      <c r="V997" s="73">
        <v>0</v>
      </c>
      <c r="W997" s="73">
        <v>0</v>
      </c>
      <c r="X997" s="73">
        <v>0</v>
      </c>
      <c r="Y997" s="73">
        <v>0</v>
      </c>
      <c r="Z997" s="73">
        <v>57</v>
      </c>
      <c r="AA997" s="73">
        <v>392</v>
      </c>
      <c r="AB997" s="73">
        <v>0</v>
      </c>
      <c r="AC997" s="73">
        <v>0</v>
      </c>
      <c r="AD997" s="73">
        <v>0</v>
      </c>
      <c r="AE997" s="73">
        <v>0</v>
      </c>
      <c r="AF997" s="74">
        <f>tblData[[#This Row],[Gross Sales]]+tblData[[#This Row],[Trade Discounts]]+tblData[[#This Row],[Returns]]</f>
        <v>354</v>
      </c>
      <c r="AG997" s="74">
        <f>tblData[[#This Row],[Material Cost]]+tblData[[#This Row],[Conversion Cost]]+tblData[[#This Row],[Inbound Freight]]</f>
        <v>-129</v>
      </c>
      <c r="AH997" s="74">
        <f>tblData[[#This Row],[Net Revenue]]+tblData[[#This Row],[COGS]]</f>
        <v>225</v>
      </c>
      <c r="AI997" s="74">
        <f>tblData[[#This Row],[Advertising]]+tblData[[#This Row],[Promotions]]</f>
        <v>-38</v>
      </c>
      <c r="AJ997" s="74">
        <f>tblData[[#This Row],[Outbound Logistics]]+tblData[[#This Row],[Direct Selling]]</f>
        <v>-62</v>
      </c>
      <c r="AK997" s="74">
        <f>tblData[[#This Row],[Gross Profit]]+tblData[[#This Row],[AP Spend]]+tblData[[#This Row],[Cost to Serve]]</f>
        <v>125</v>
      </c>
    </row>
    <row r="998" spans="2:37" x14ac:dyDescent="0.25">
      <c r="B998" s="71" t="s">
        <v>51</v>
      </c>
      <c r="C998" s="71">
        <v>2026</v>
      </c>
      <c r="D998" s="71">
        <v>2</v>
      </c>
      <c r="E998" s="71" t="s">
        <v>47</v>
      </c>
      <c r="F998" s="71" t="s">
        <v>42</v>
      </c>
      <c r="G998" s="72">
        <v>42.2</v>
      </c>
      <c r="H998" s="73">
        <v>254</v>
      </c>
      <c r="I998" s="73">
        <v>-8</v>
      </c>
      <c r="J998" s="73">
        <v>-13</v>
      </c>
      <c r="K998" s="73">
        <v>-81</v>
      </c>
      <c r="L998" s="73">
        <v>-20</v>
      </c>
      <c r="M998" s="73">
        <v>-12</v>
      </c>
      <c r="N998" s="73">
        <v>-5</v>
      </c>
      <c r="O998" s="73">
        <v>-3</v>
      </c>
      <c r="P998" s="73">
        <v>-31</v>
      </c>
      <c r="Q998" s="73">
        <v>-10</v>
      </c>
      <c r="R998" s="73">
        <v>0</v>
      </c>
      <c r="S998" s="73">
        <v>0</v>
      </c>
      <c r="T998" s="73">
        <v>0</v>
      </c>
      <c r="U998" s="73">
        <v>0</v>
      </c>
      <c r="V998" s="73">
        <v>0</v>
      </c>
      <c r="W998" s="73">
        <v>0</v>
      </c>
      <c r="X998" s="73">
        <v>0</v>
      </c>
      <c r="Y998" s="73">
        <v>0</v>
      </c>
      <c r="Z998" s="73">
        <v>38</v>
      </c>
      <c r="AA998" s="73">
        <v>453</v>
      </c>
      <c r="AB998" s="73">
        <v>0</v>
      </c>
      <c r="AC998" s="73">
        <v>0</v>
      </c>
      <c r="AD998" s="73">
        <v>0</v>
      </c>
      <c r="AE998" s="73">
        <v>0</v>
      </c>
      <c r="AF998" s="74">
        <f>tblData[[#This Row],[Gross Sales]]+tblData[[#This Row],[Trade Discounts]]+tblData[[#This Row],[Returns]]</f>
        <v>233</v>
      </c>
      <c r="AG998" s="74">
        <f>tblData[[#This Row],[Material Cost]]+tblData[[#This Row],[Conversion Cost]]+tblData[[#This Row],[Inbound Freight]]</f>
        <v>-113</v>
      </c>
      <c r="AH998" s="74">
        <f>tblData[[#This Row],[Net Revenue]]+tblData[[#This Row],[COGS]]</f>
        <v>120</v>
      </c>
      <c r="AI998" s="74">
        <f>tblData[[#This Row],[Advertising]]+tblData[[#This Row],[Promotions]]</f>
        <v>-8</v>
      </c>
      <c r="AJ998" s="74">
        <f>tblData[[#This Row],[Outbound Logistics]]+tblData[[#This Row],[Direct Selling]]</f>
        <v>-41</v>
      </c>
      <c r="AK998" s="74">
        <f>tblData[[#This Row],[Gross Profit]]+tblData[[#This Row],[AP Spend]]+tblData[[#This Row],[Cost to Serve]]</f>
        <v>71</v>
      </c>
    </row>
    <row r="999" spans="2:37" x14ac:dyDescent="0.25">
      <c r="B999" s="71" t="s">
        <v>51</v>
      </c>
      <c r="C999" s="71">
        <v>2026</v>
      </c>
      <c r="D999" s="71">
        <v>2</v>
      </c>
      <c r="E999" s="71" t="s">
        <v>47</v>
      </c>
      <c r="F999" s="71" t="s">
        <v>43</v>
      </c>
      <c r="G999" s="72">
        <v>8.1999999999999993</v>
      </c>
      <c r="H999" s="73">
        <v>148</v>
      </c>
      <c r="I999" s="73">
        <v>-4</v>
      </c>
      <c r="J999" s="73">
        <v>-7</v>
      </c>
      <c r="K999" s="73">
        <v>-41</v>
      </c>
      <c r="L999" s="73">
        <v>-10</v>
      </c>
      <c r="M999" s="73">
        <v>-6</v>
      </c>
      <c r="N999" s="73">
        <v>-13</v>
      </c>
      <c r="O999" s="73">
        <v>-8</v>
      </c>
      <c r="P999" s="73">
        <v>-18</v>
      </c>
      <c r="Q999" s="73">
        <v>-6</v>
      </c>
      <c r="R999" s="73">
        <v>0</v>
      </c>
      <c r="S999" s="73">
        <v>0</v>
      </c>
      <c r="T999" s="73">
        <v>0</v>
      </c>
      <c r="U999" s="73">
        <v>0</v>
      </c>
      <c r="V999" s="73">
        <v>0</v>
      </c>
      <c r="W999" s="73">
        <v>0</v>
      </c>
      <c r="X999" s="73">
        <v>0</v>
      </c>
      <c r="Y999" s="73">
        <v>0</v>
      </c>
      <c r="Z999" s="73">
        <v>22</v>
      </c>
      <c r="AA999" s="73">
        <v>228</v>
      </c>
      <c r="AB999" s="73">
        <v>0</v>
      </c>
      <c r="AC999" s="73">
        <v>0</v>
      </c>
      <c r="AD999" s="73">
        <v>0</v>
      </c>
      <c r="AE999" s="73">
        <v>0</v>
      </c>
      <c r="AF999" s="74">
        <f>tblData[[#This Row],[Gross Sales]]+tblData[[#This Row],[Trade Discounts]]+tblData[[#This Row],[Returns]]</f>
        <v>137</v>
      </c>
      <c r="AG999" s="74">
        <f>tblData[[#This Row],[Material Cost]]+tblData[[#This Row],[Conversion Cost]]+tblData[[#This Row],[Inbound Freight]]</f>
        <v>-57</v>
      </c>
      <c r="AH999" s="74">
        <f>tblData[[#This Row],[Net Revenue]]+tblData[[#This Row],[COGS]]</f>
        <v>80</v>
      </c>
      <c r="AI999" s="74">
        <f>tblData[[#This Row],[Advertising]]+tblData[[#This Row],[Promotions]]</f>
        <v>-21</v>
      </c>
      <c r="AJ999" s="74">
        <f>tblData[[#This Row],[Outbound Logistics]]+tblData[[#This Row],[Direct Selling]]</f>
        <v>-24</v>
      </c>
      <c r="AK999" s="74">
        <f>tblData[[#This Row],[Gross Profit]]+tblData[[#This Row],[AP Spend]]+tblData[[#This Row],[Cost to Serve]]</f>
        <v>35</v>
      </c>
    </row>
    <row r="1000" spans="2:37" x14ac:dyDescent="0.25">
      <c r="B1000" s="71" t="s">
        <v>51</v>
      </c>
      <c r="C1000" s="71">
        <v>2026</v>
      </c>
      <c r="D1000" s="71">
        <v>2</v>
      </c>
      <c r="E1000" s="71" t="s">
        <v>48</v>
      </c>
      <c r="F1000" s="71" t="s">
        <v>38</v>
      </c>
      <c r="G1000" s="72">
        <v>87.9</v>
      </c>
      <c r="H1000" s="73">
        <v>1236</v>
      </c>
      <c r="I1000" s="73">
        <v>-111</v>
      </c>
      <c r="J1000" s="73">
        <v>-12</v>
      </c>
      <c r="K1000" s="73">
        <v>-270</v>
      </c>
      <c r="L1000" s="73">
        <v>-67</v>
      </c>
      <c r="M1000" s="73">
        <v>-40</v>
      </c>
      <c r="N1000" s="73">
        <v>-67</v>
      </c>
      <c r="O1000" s="73">
        <v>-38</v>
      </c>
      <c r="P1000" s="73">
        <v>-38</v>
      </c>
      <c r="Q1000" s="73">
        <v>-19</v>
      </c>
      <c r="R1000" s="73">
        <v>0</v>
      </c>
      <c r="S1000" s="73">
        <v>0</v>
      </c>
      <c r="T1000" s="73">
        <v>0</v>
      </c>
      <c r="U1000" s="73">
        <v>0</v>
      </c>
      <c r="V1000" s="73">
        <v>0</v>
      </c>
      <c r="W1000" s="73">
        <v>0</v>
      </c>
      <c r="X1000" s="73">
        <v>0</v>
      </c>
      <c r="Y1000" s="73">
        <v>0</v>
      </c>
      <c r="Z1000" s="73">
        <v>2601</v>
      </c>
      <c r="AA1000" s="73">
        <v>1212</v>
      </c>
      <c r="AB1000" s="73">
        <v>0</v>
      </c>
      <c r="AC1000" s="73">
        <v>0</v>
      </c>
      <c r="AD1000" s="73">
        <v>0</v>
      </c>
      <c r="AE1000" s="73">
        <v>0</v>
      </c>
      <c r="AF1000" s="74">
        <f>tblData[[#This Row],[Gross Sales]]+tblData[[#This Row],[Trade Discounts]]+tblData[[#This Row],[Returns]]</f>
        <v>1113</v>
      </c>
      <c r="AG1000" s="74">
        <f>tblData[[#This Row],[Material Cost]]+tblData[[#This Row],[Conversion Cost]]+tblData[[#This Row],[Inbound Freight]]</f>
        <v>-377</v>
      </c>
      <c r="AH1000" s="74">
        <f>tblData[[#This Row],[Net Revenue]]+tblData[[#This Row],[COGS]]</f>
        <v>736</v>
      </c>
      <c r="AI1000" s="74">
        <f>tblData[[#This Row],[Advertising]]+tblData[[#This Row],[Promotions]]</f>
        <v>-105</v>
      </c>
      <c r="AJ1000" s="74">
        <f>tblData[[#This Row],[Outbound Logistics]]+tblData[[#This Row],[Direct Selling]]</f>
        <v>-57</v>
      </c>
      <c r="AK1000" s="74">
        <f>tblData[[#This Row],[Gross Profit]]+tblData[[#This Row],[AP Spend]]+tblData[[#This Row],[Cost to Serve]]</f>
        <v>574</v>
      </c>
    </row>
    <row r="1001" spans="2:37" x14ac:dyDescent="0.25">
      <c r="B1001" s="71" t="s">
        <v>51</v>
      </c>
      <c r="C1001" s="71">
        <v>2026</v>
      </c>
      <c r="D1001" s="71">
        <v>2</v>
      </c>
      <c r="E1001" s="71" t="s">
        <v>48</v>
      </c>
      <c r="F1001" s="71" t="s">
        <v>39</v>
      </c>
      <c r="G1001" s="72">
        <v>115.5</v>
      </c>
      <c r="H1001" s="73">
        <v>1041</v>
      </c>
      <c r="I1001" s="73">
        <v>-94</v>
      </c>
      <c r="J1001" s="73">
        <v>-10</v>
      </c>
      <c r="K1001" s="73">
        <v>-273</v>
      </c>
      <c r="L1001" s="73">
        <v>-67</v>
      </c>
      <c r="M1001" s="73">
        <v>-41</v>
      </c>
      <c r="N1001" s="73">
        <v>-38</v>
      </c>
      <c r="O1001" s="73">
        <v>-22</v>
      </c>
      <c r="P1001" s="73">
        <v>-32</v>
      </c>
      <c r="Q1001" s="73">
        <v>-16</v>
      </c>
      <c r="R1001" s="73">
        <v>0</v>
      </c>
      <c r="S1001" s="73">
        <v>0</v>
      </c>
      <c r="T1001" s="73">
        <v>0</v>
      </c>
      <c r="U1001" s="73">
        <v>0</v>
      </c>
      <c r="V1001" s="73">
        <v>0</v>
      </c>
      <c r="W1001" s="73">
        <v>0</v>
      </c>
      <c r="X1001" s="73">
        <v>0</v>
      </c>
      <c r="Y1001" s="73">
        <v>0</v>
      </c>
      <c r="Z1001" s="73">
        <v>2185</v>
      </c>
      <c r="AA1001" s="73">
        <v>1036</v>
      </c>
      <c r="AB1001" s="73">
        <v>0</v>
      </c>
      <c r="AC1001" s="73">
        <v>0</v>
      </c>
      <c r="AD1001" s="73">
        <v>0</v>
      </c>
      <c r="AE1001" s="73">
        <v>0</v>
      </c>
      <c r="AF1001" s="74">
        <f>tblData[[#This Row],[Gross Sales]]+tblData[[#This Row],[Trade Discounts]]+tblData[[#This Row],[Returns]]</f>
        <v>937</v>
      </c>
      <c r="AG1001" s="74">
        <f>tblData[[#This Row],[Material Cost]]+tblData[[#This Row],[Conversion Cost]]+tblData[[#This Row],[Inbound Freight]]</f>
        <v>-381</v>
      </c>
      <c r="AH1001" s="74">
        <f>tblData[[#This Row],[Net Revenue]]+tblData[[#This Row],[COGS]]</f>
        <v>556</v>
      </c>
      <c r="AI1001" s="74">
        <f>tblData[[#This Row],[Advertising]]+tblData[[#This Row],[Promotions]]</f>
        <v>-60</v>
      </c>
      <c r="AJ1001" s="74">
        <f>tblData[[#This Row],[Outbound Logistics]]+tblData[[#This Row],[Direct Selling]]</f>
        <v>-48</v>
      </c>
      <c r="AK1001" s="74">
        <f>tblData[[#This Row],[Gross Profit]]+tblData[[#This Row],[AP Spend]]+tblData[[#This Row],[Cost to Serve]]</f>
        <v>448</v>
      </c>
    </row>
    <row r="1002" spans="2:37" x14ac:dyDescent="0.25">
      <c r="B1002" s="71" t="s">
        <v>51</v>
      </c>
      <c r="C1002" s="71">
        <v>2026</v>
      </c>
      <c r="D1002" s="71">
        <v>2</v>
      </c>
      <c r="E1002" s="71" t="s">
        <v>48</v>
      </c>
      <c r="F1002" s="71" t="s">
        <v>40</v>
      </c>
      <c r="G1002" s="72">
        <v>110.1</v>
      </c>
      <c r="H1002" s="73">
        <v>770</v>
      </c>
      <c r="I1002" s="73">
        <v>-69</v>
      </c>
      <c r="J1002" s="73">
        <v>-8</v>
      </c>
      <c r="K1002" s="73">
        <v>-224</v>
      </c>
      <c r="L1002" s="73">
        <v>-55</v>
      </c>
      <c r="M1002" s="73">
        <v>-33</v>
      </c>
      <c r="N1002" s="73">
        <v>-19</v>
      </c>
      <c r="O1002" s="73">
        <v>-11</v>
      </c>
      <c r="P1002" s="73">
        <v>-24</v>
      </c>
      <c r="Q1002" s="73">
        <v>-12</v>
      </c>
      <c r="R1002" s="73">
        <v>0</v>
      </c>
      <c r="S1002" s="73">
        <v>0</v>
      </c>
      <c r="T1002" s="73">
        <v>0</v>
      </c>
      <c r="U1002" s="73">
        <v>0</v>
      </c>
      <c r="V1002" s="73">
        <v>0</v>
      </c>
      <c r="W1002" s="73">
        <v>0</v>
      </c>
      <c r="X1002" s="73">
        <v>0</v>
      </c>
      <c r="Y1002" s="73">
        <v>0</v>
      </c>
      <c r="Z1002" s="73">
        <v>1618</v>
      </c>
      <c r="AA1002" s="73">
        <v>802</v>
      </c>
      <c r="AB1002" s="73">
        <v>0</v>
      </c>
      <c r="AC1002" s="73">
        <v>0</v>
      </c>
      <c r="AD1002" s="73">
        <v>0</v>
      </c>
      <c r="AE1002" s="73">
        <v>0</v>
      </c>
      <c r="AF1002" s="74">
        <f>tblData[[#This Row],[Gross Sales]]+tblData[[#This Row],[Trade Discounts]]+tblData[[#This Row],[Returns]]</f>
        <v>693</v>
      </c>
      <c r="AG1002" s="74">
        <f>tblData[[#This Row],[Material Cost]]+tblData[[#This Row],[Conversion Cost]]+tblData[[#This Row],[Inbound Freight]]</f>
        <v>-312</v>
      </c>
      <c r="AH1002" s="74">
        <f>tblData[[#This Row],[Net Revenue]]+tblData[[#This Row],[COGS]]</f>
        <v>381</v>
      </c>
      <c r="AI1002" s="74">
        <f>tblData[[#This Row],[Advertising]]+tblData[[#This Row],[Promotions]]</f>
        <v>-30</v>
      </c>
      <c r="AJ1002" s="74">
        <f>tblData[[#This Row],[Outbound Logistics]]+tblData[[#This Row],[Direct Selling]]</f>
        <v>-36</v>
      </c>
      <c r="AK1002" s="74">
        <f>tblData[[#This Row],[Gross Profit]]+tblData[[#This Row],[AP Spend]]+tblData[[#This Row],[Cost to Serve]]</f>
        <v>315</v>
      </c>
    </row>
    <row r="1003" spans="2:37" x14ac:dyDescent="0.25">
      <c r="B1003" s="71" t="s">
        <v>51</v>
      </c>
      <c r="C1003" s="71">
        <v>2026</v>
      </c>
      <c r="D1003" s="71">
        <v>2</v>
      </c>
      <c r="E1003" s="71" t="s">
        <v>48</v>
      </c>
      <c r="F1003" s="71" t="s">
        <v>41</v>
      </c>
      <c r="G1003" s="72">
        <v>55.4</v>
      </c>
      <c r="H1003" s="73">
        <v>611</v>
      </c>
      <c r="I1003" s="73">
        <v>-55</v>
      </c>
      <c r="J1003" s="73">
        <v>-6</v>
      </c>
      <c r="K1003" s="73">
        <v>-147</v>
      </c>
      <c r="L1003" s="73">
        <v>-36</v>
      </c>
      <c r="M1003" s="73">
        <v>-22</v>
      </c>
      <c r="N1003" s="73">
        <v>-41</v>
      </c>
      <c r="O1003" s="73">
        <v>-23</v>
      </c>
      <c r="P1003" s="73">
        <v>-19</v>
      </c>
      <c r="Q1003" s="73">
        <v>-9</v>
      </c>
      <c r="R1003" s="73">
        <v>0</v>
      </c>
      <c r="S1003" s="73">
        <v>0</v>
      </c>
      <c r="T1003" s="73">
        <v>0</v>
      </c>
      <c r="U1003" s="73">
        <v>0</v>
      </c>
      <c r="V1003" s="73">
        <v>0</v>
      </c>
      <c r="W1003" s="73">
        <v>0</v>
      </c>
      <c r="X1003" s="73">
        <v>0</v>
      </c>
      <c r="Y1003" s="73">
        <v>0</v>
      </c>
      <c r="Z1003" s="73">
        <v>1284</v>
      </c>
      <c r="AA1003" s="73">
        <v>625</v>
      </c>
      <c r="AB1003" s="73">
        <v>0</v>
      </c>
      <c r="AC1003" s="73">
        <v>0</v>
      </c>
      <c r="AD1003" s="73">
        <v>0</v>
      </c>
      <c r="AE1003" s="73">
        <v>0</v>
      </c>
      <c r="AF1003" s="74">
        <f>tblData[[#This Row],[Gross Sales]]+tblData[[#This Row],[Trade Discounts]]+tblData[[#This Row],[Returns]]</f>
        <v>550</v>
      </c>
      <c r="AG1003" s="74">
        <f>tblData[[#This Row],[Material Cost]]+tblData[[#This Row],[Conversion Cost]]+tblData[[#This Row],[Inbound Freight]]</f>
        <v>-205</v>
      </c>
      <c r="AH1003" s="74">
        <f>tblData[[#This Row],[Net Revenue]]+tblData[[#This Row],[COGS]]</f>
        <v>345</v>
      </c>
      <c r="AI1003" s="74">
        <f>tblData[[#This Row],[Advertising]]+tblData[[#This Row],[Promotions]]</f>
        <v>-64</v>
      </c>
      <c r="AJ1003" s="74">
        <f>tblData[[#This Row],[Outbound Logistics]]+tblData[[#This Row],[Direct Selling]]</f>
        <v>-28</v>
      </c>
      <c r="AK1003" s="74">
        <f>tblData[[#This Row],[Gross Profit]]+tblData[[#This Row],[AP Spend]]+tblData[[#This Row],[Cost to Serve]]</f>
        <v>253</v>
      </c>
    </row>
    <row r="1004" spans="2:37" x14ac:dyDescent="0.25">
      <c r="B1004" s="71" t="s">
        <v>51</v>
      </c>
      <c r="C1004" s="71">
        <v>2026</v>
      </c>
      <c r="D1004" s="71">
        <v>2</v>
      </c>
      <c r="E1004" s="71" t="s">
        <v>48</v>
      </c>
      <c r="F1004" s="71" t="s">
        <v>42</v>
      </c>
      <c r="G1004" s="72">
        <v>68.2</v>
      </c>
      <c r="H1004" s="73">
        <v>408</v>
      </c>
      <c r="I1004" s="73">
        <v>-37</v>
      </c>
      <c r="J1004" s="73">
        <v>-4</v>
      </c>
      <c r="K1004" s="73">
        <v>-131</v>
      </c>
      <c r="L1004" s="73">
        <v>-32</v>
      </c>
      <c r="M1004" s="73">
        <v>-20</v>
      </c>
      <c r="N1004" s="73">
        <v>-8</v>
      </c>
      <c r="O1004" s="73">
        <v>-5</v>
      </c>
      <c r="P1004" s="73">
        <v>-13</v>
      </c>
      <c r="Q1004" s="73">
        <v>-6</v>
      </c>
      <c r="R1004" s="73">
        <v>0</v>
      </c>
      <c r="S1004" s="73">
        <v>0</v>
      </c>
      <c r="T1004" s="73">
        <v>0</v>
      </c>
      <c r="U1004" s="73">
        <v>0</v>
      </c>
      <c r="V1004" s="73">
        <v>0</v>
      </c>
      <c r="W1004" s="73">
        <v>0</v>
      </c>
      <c r="X1004" s="73">
        <v>0</v>
      </c>
      <c r="Y1004" s="73">
        <v>0</v>
      </c>
      <c r="Z1004" s="73">
        <v>856</v>
      </c>
      <c r="AA1004" s="73">
        <v>727</v>
      </c>
      <c r="AB1004" s="73">
        <v>0</v>
      </c>
      <c r="AC1004" s="73">
        <v>0</v>
      </c>
      <c r="AD1004" s="73">
        <v>0</v>
      </c>
      <c r="AE1004" s="73">
        <v>0</v>
      </c>
      <c r="AF1004" s="74">
        <f>tblData[[#This Row],[Gross Sales]]+tblData[[#This Row],[Trade Discounts]]+tblData[[#This Row],[Returns]]</f>
        <v>367</v>
      </c>
      <c r="AG1004" s="74">
        <f>tblData[[#This Row],[Material Cost]]+tblData[[#This Row],[Conversion Cost]]+tblData[[#This Row],[Inbound Freight]]</f>
        <v>-183</v>
      </c>
      <c r="AH1004" s="74">
        <f>tblData[[#This Row],[Net Revenue]]+tblData[[#This Row],[COGS]]</f>
        <v>184</v>
      </c>
      <c r="AI1004" s="74">
        <f>tblData[[#This Row],[Advertising]]+tblData[[#This Row],[Promotions]]</f>
        <v>-13</v>
      </c>
      <c r="AJ1004" s="74">
        <f>tblData[[#This Row],[Outbound Logistics]]+tblData[[#This Row],[Direct Selling]]</f>
        <v>-19</v>
      </c>
      <c r="AK1004" s="74">
        <f>tblData[[#This Row],[Gross Profit]]+tblData[[#This Row],[AP Spend]]+tblData[[#This Row],[Cost to Serve]]</f>
        <v>152</v>
      </c>
    </row>
    <row r="1005" spans="2:37" x14ac:dyDescent="0.25">
      <c r="B1005" s="71" t="s">
        <v>51</v>
      </c>
      <c r="C1005" s="71">
        <v>2026</v>
      </c>
      <c r="D1005" s="71">
        <v>2</v>
      </c>
      <c r="E1005" s="71" t="s">
        <v>48</v>
      </c>
      <c r="F1005" s="71" t="s">
        <v>43</v>
      </c>
      <c r="G1005" s="72">
        <v>13.2</v>
      </c>
      <c r="H1005" s="73">
        <v>237</v>
      </c>
      <c r="I1005" s="73">
        <v>-21</v>
      </c>
      <c r="J1005" s="73">
        <v>-2</v>
      </c>
      <c r="K1005" s="73">
        <v>-66</v>
      </c>
      <c r="L1005" s="73">
        <v>-16</v>
      </c>
      <c r="M1005" s="73">
        <v>-10</v>
      </c>
      <c r="N1005" s="73">
        <v>-22</v>
      </c>
      <c r="O1005" s="73">
        <v>-13</v>
      </c>
      <c r="P1005" s="73">
        <v>-7</v>
      </c>
      <c r="Q1005" s="73">
        <v>-4</v>
      </c>
      <c r="R1005" s="73">
        <v>0</v>
      </c>
      <c r="S1005" s="73">
        <v>0</v>
      </c>
      <c r="T1005" s="73">
        <v>0</v>
      </c>
      <c r="U1005" s="73">
        <v>0</v>
      </c>
      <c r="V1005" s="73">
        <v>0</v>
      </c>
      <c r="W1005" s="73">
        <v>0</v>
      </c>
      <c r="X1005" s="73">
        <v>0</v>
      </c>
      <c r="Y1005" s="73">
        <v>0</v>
      </c>
      <c r="Z1005" s="73">
        <v>498</v>
      </c>
      <c r="AA1005" s="73">
        <v>368</v>
      </c>
      <c r="AB1005" s="73">
        <v>0</v>
      </c>
      <c r="AC1005" s="73">
        <v>0</v>
      </c>
      <c r="AD1005" s="73">
        <v>0</v>
      </c>
      <c r="AE1005" s="73">
        <v>0</v>
      </c>
      <c r="AF1005" s="74">
        <f>tblData[[#This Row],[Gross Sales]]+tblData[[#This Row],[Trade Discounts]]+tblData[[#This Row],[Returns]]</f>
        <v>214</v>
      </c>
      <c r="AG1005" s="74">
        <f>tblData[[#This Row],[Material Cost]]+tblData[[#This Row],[Conversion Cost]]+tblData[[#This Row],[Inbound Freight]]</f>
        <v>-92</v>
      </c>
      <c r="AH1005" s="74">
        <f>tblData[[#This Row],[Net Revenue]]+tblData[[#This Row],[COGS]]</f>
        <v>122</v>
      </c>
      <c r="AI1005" s="74">
        <f>tblData[[#This Row],[Advertising]]+tblData[[#This Row],[Promotions]]</f>
        <v>-35</v>
      </c>
      <c r="AJ1005" s="74">
        <f>tblData[[#This Row],[Outbound Logistics]]+tblData[[#This Row],[Direct Selling]]</f>
        <v>-11</v>
      </c>
      <c r="AK1005" s="74">
        <f>tblData[[#This Row],[Gross Profit]]+tblData[[#This Row],[AP Spend]]+tblData[[#This Row],[Cost to Serve]]</f>
        <v>76</v>
      </c>
    </row>
    <row r="1006" spans="2:37" x14ac:dyDescent="0.25">
      <c r="B1006" s="71" t="s">
        <v>51</v>
      </c>
      <c r="C1006" s="71">
        <v>2026</v>
      </c>
      <c r="D1006" s="71">
        <v>2</v>
      </c>
      <c r="E1006" s="71" t="s">
        <v>49</v>
      </c>
      <c r="F1006" s="71" t="s">
        <v>49</v>
      </c>
      <c r="G1006" s="72">
        <v>0</v>
      </c>
      <c r="H1006" s="73">
        <v>0</v>
      </c>
      <c r="I1006" s="73">
        <v>0</v>
      </c>
      <c r="J1006" s="73">
        <v>0</v>
      </c>
      <c r="K1006" s="73">
        <v>0</v>
      </c>
      <c r="L1006" s="73">
        <v>0</v>
      </c>
      <c r="M1006" s="73">
        <v>0</v>
      </c>
      <c r="N1006" s="73">
        <v>0</v>
      </c>
      <c r="O1006" s="73">
        <v>0</v>
      </c>
      <c r="P1006" s="73">
        <v>0</v>
      </c>
      <c r="Q1006" s="73">
        <v>0</v>
      </c>
      <c r="R1006" s="73">
        <v>-4237</v>
      </c>
      <c r="S1006" s="73">
        <v>-1004</v>
      </c>
      <c r="T1006" s="73">
        <v>-1288</v>
      </c>
      <c r="U1006" s="73">
        <v>-1094</v>
      </c>
      <c r="V1006" s="73">
        <v>-1480</v>
      </c>
      <c r="W1006" s="73">
        <v>-712</v>
      </c>
      <c r="X1006" s="73">
        <v>-945</v>
      </c>
      <c r="Y1006" s="73">
        <v>-1154</v>
      </c>
      <c r="Z1006" s="73">
        <v>0</v>
      </c>
      <c r="AA1006" s="73">
        <v>0</v>
      </c>
      <c r="AB1006" s="73">
        <v>28667</v>
      </c>
      <c r="AC1006" s="73">
        <v>66918</v>
      </c>
      <c r="AD1006" s="73">
        <v>190000</v>
      </c>
      <c r="AE1006" s="73">
        <v>1177</v>
      </c>
      <c r="AF1006" s="74">
        <f>tblData[[#This Row],[Gross Sales]]+tblData[[#This Row],[Trade Discounts]]+tblData[[#This Row],[Returns]]</f>
        <v>0</v>
      </c>
      <c r="AG1006" s="74">
        <f>tblData[[#This Row],[Material Cost]]+tblData[[#This Row],[Conversion Cost]]+tblData[[#This Row],[Inbound Freight]]</f>
        <v>0</v>
      </c>
      <c r="AH1006" s="74">
        <f>tblData[[#This Row],[Net Revenue]]+tblData[[#This Row],[COGS]]</f>
        <v>0</v>
      </c>
      <c r="AI1006" s="74">
        <f>tblData[[#This Row],[Advertising]]+tblData[[#This Row],[Promotions]]</f>
        <v>0</v>
      </c>
      <c r="AJ1006" s="74">
        <f>tblData[[#This Row],[Outbound Logistics]]+tblData[[#This Row],[Direct Selling]]</f>
        <v>0</v>
      </c>
      <c r="AK1006" s="74">
        <f>tblData[[#This Row],[Gross Profit]]+tblData[[#This Row],[AP Spend]]+tblData[[#This Row],[Cost to Serve]]</f>
        <v>0</v>
      </c>
    </row>
    <row r="1007" spans="2:37" x14ac:dyDescent="0.25">
      <c r="B1007" s="71" t="s">
        <v>51</v>
      </c>
      <c r="C1007" s="71">
        <v>2026</v>
      </c>
      <c r="D1007" s="71">
        <v>3</v>
      </c>
      <c r="E1007" s="71" t="s">
        <v>37</v>
      </c>
      <c r="F1007" s="71" t="s">
        <v>38</v>
      </c>
      <c r="G1007" s="72">
        <v>284.7</v>
      </c>
      <c r="H1007" s="73">
        <v>4003</v>
      </c>
      <c r="I1007" s="73">
        <v>-778</v>
      </c>
      <c r="J1007" s="73">
        <v>-60</v>
      </c>
      <c r="K1007" s="73">
        <v>-874</v>
      </c>
      <c r="L1007" s="73">
        <v>-216</v>
      </c>
      <c r="M1007" s="73">
        <v>-130</v>
      </c>
      <c r="N1007" s="73">
        <v>-223</v>
      </c>
      <c r="O1007" s="73">
        <v>-129</v>
      </c>
      <c r="P1007" s="73">
        <v>-164</v>
      </c>
      <c r="Q1007" s="73">
        <v>-120</v>
      </c>
      <c r="R1007" s="73">
        <v>0</v>
      </c>
      <c r="S1007" s="73">
        <v>0</v>
      </c>
      <c r="T1007" s="73">
        <v>0</v>
      </c>
      <c r="U1007" s="73">
        <v>0</v>
      </c>
      <c r="V1007" s="73">
        <v>0</v>
      </c>
      <c r="W1007" s="73">
        <v>0</v>
      </c>
      <c r="X1007" s="73">
        <v>0</v>
      </c>
      <c r="Y1007" s="73">
        <v>0</v>
      </c>
      <c r="Z1007" s="73">
        <v>5480</v>
      </c>
      <c r="AA1007" s="73">
        <v>3671</v>
      </c>
      <c r="AB1007" s="73">
        <v>0</v>
      </c>
      <c r="AC1007" s="73">
        <v>0</v>
      </c>
      <c r="AD1007" s="73">
        <v>0</v>
      </c>
      <c r="AE1007" s="73">
        <v>0</v>
      </c>
      <c r="AF1007" s="74">
        <f>tblData[[#This Row],[Gross Sales]]+tblData[[#This Row],[Trade Discounts]]+tblData[[#This Row],[Returns]]</f>
        <v>3165</v>
      </c>
      <c r="AG1007" s="74">
        <f>tblData[[#This Row],[Material Cost]]+tblData[[#This Row],[Conversion Cost]]+tblData[[#This Row],[Inbound Freight]]</f>
        <v>-1220</v>
      </c>
      <c r="AH1007" s="74">
        <f>tblData[[#This Row],[Net Revenue]]+tblData[[#This Row],[COGS]]</f>
        <v>1945</v>
      </c>
      <c r="AI1007" s="74">
        <f>tblData[[#This Row],[Advertising]]+tblData[[#This Row],[Promotions]]</f>
        <v>-352</v>
      </c>
      <c r="AJ1007" s="74">
        <f>tblData[[#This Row],[Outbound Logistics]]+tblData[[#This Row],[Direct Selling]]</f>
        <v>-284</v>
      </c>
      <c r="AK1007" s="74">
        <f>tblData[[#This Row],[Gross Profit]]+tblData[[#This Row],[AP Spend]]+tblData[[#This Row],[Cost to Serve]]</f>
        <v>1309</v>
      </c>
    </row>
    <row r="1008" spans="2:37" x14ac:dyDescent="0.25">
      <c r="B1008" s="71" t="s">
        <v>51</v>
      </c>
      <c r="C1008" s="71">
        <v>2026</v>
      </c>
      <c r="D1008" s="71">
        <v>3</v>
      </c>
      <c r="E1008" s="71" t="s">
        <v>37</v>
      </c>
      <c r="F1008" s="71" t="s">
        <v>39</v>
      </c>
      <c r="G1008" s="72">
        <v>373.9</v>
      </c>
      <c r="H1008" s="73">
        <v>3370</v>
      </c>
      <c r="I1008" s="73">
        <v>-655</v>
      </c>
      <c r="J1008" s="73">
        <v>-51</v>
      </c>
      <c r="K1008" s="73">
        <v>-883</v>
      </c>
      <c r="L1008" s="73">
        <v>-218</v>
      </c>
      <c r="M1008" s="73">
        <v>-132</v>
      </c>
      <c r="N1008" s="73">
        <v>-128</v>
      </c>
      <c r="O1008" s="73">
        <v>-73</v>
      </c>
      <c r="P1008" s="73">
        <v>-138</v>
      </c>
      <c r="Q1008" s="73">
        <v>-101</v>
      </c>
      <c r="R1008" s="73">
        <v>0</v>
      </c>
      <c r="S1008" s="73">
        <v>0</v>
      </c>
      <c r="T1008" s="73">
        <v>0</v>
      </c>
      <c r="U1008" s="73">
        <v>0</v>
      </c>
      <c r="V1008" s="73">
        <v>0</v>
      </c>
      <c r="W1008" s="73">
        <v>0</v>
      </c>
      <c r="X1008" s="73">
        <v>0</v>
      </c>
      <c r="Y1008" s="73">
        <v>0</v>
      </c>
      <c r="Z1008" s="73">
        <v>4589</v>
      </c>
      <c r="AA1008" s="73">
        <v>3130</v>
      </c>
      <c r="AB1008" s="73">
        <v>0</v>
      </c>
      <c r="AC1008" s="73">
        <v>0</v>
      </c>
      <c r="AD1008" s="73">
        <v>0</v>
      </c>
      <c r="AE1008" s="73">
        <v>0</v>
      </c>
      <c r="AF1008" s="74">
        <f>tblData[[#This Row],[Gross Sales]]+tblData[[#This Row],[Trade Discounts]]+tblData[[#This Row],[Returns]]</f>
        <v>2664</v>
      </c>
      <c r="AG1008" s="74">
        <f>tblData[[#This Row],[Material Cost]]+tblData[[#This Row],[Conversion Cost]]+tblData[[#This Row],[Inbound Freight]]</f>
        <v>-1233</v>
      </c>
      <c r="AH1008" s="74">
        <f>tblData[[#This Row],[Net Revenue]]+tblData[[#This Row],[COGS]]</f>
        <v>1431</v>
      </c>
      <c r="AI1008" s="74">
        <f>tblData[[#This Row],[Advertising]]+tblData[[#This Row],[Promotions]]</f>
        <v>-201</v>
      </c>
      <c r="AJ1008" s="74">
        <f>tblData[[#This Row],[Outbound Logistics]]+tblData[[#This Row],[Direct Selling]]</f>
        <v>-239</v>
      </c>
      <c r="AK1008" s="74">
        <f>tblData[[#This Row],[Gross Profit]]+tblData[[#This Row],[AP Spend]]+tblData[[#This Row],[Cost to Serve]]</f>
        <v>991</v>
      </c>
    </row>
    <row r="1009" spans="2:37" x14ac:dyDescent="0.25">
      <c r="B1009" s="71" t="s">
        <v>51</v>
      </c>
      <c r="C1009" s="71">
        <v>2026</v>
      </c>
      <c r="D1009" s="71">
        <v>3</v>
      </c>
      <c r="E1009" s="71" t="s">
        <v>37</v>
      </c>
      <c r="F1009" s="71" t="s">
        <v>40</v>
      </c>
      <c r="G1009" s="72">
        <v>354.9</v>
      </c>
      <c r="H1009" s="73">
        <v>2484</v>
      </c>
      <c r="I1009" s="73">
        <v>-483</v>
      </c>
      <c r="J1009" s="73">
        <v>-37</v>
      </c>
      <c r="K1009" s="73">
        <v>-723</v>
      </c>
      <c r="L1009" s="73">
        <v>-179</v>
      </c>
      <c r="M1009" s="73">
        <v>-108</v>
      </c>
      <c r="N1009" s="73">
        <v>-64</v>
      </c>
      <c r="O1009" s="73">
        <v>-37</v>
      </c>
      <c r="P1009" s="73">
        <v>-102</v>
      </c>
      <c r="Q1009" s="73">
        <v>-75</v>
      </c>
      <c r="R1009" s="73">
        <v>0</v>
      </c>
      <c r="S1009" s="73">
        <v>0</v>
      </c>
      <c r="T1009" s="73">
        <v>0</v>
      </c>
      <c r="U1009" s="73">
        <v>0</v>
      </c>
      <c r="V1009" s="73">
        <v>0</v>
      </c>
      <c r="W1009" s="73">
        <v>0</v>
      </c>
      <c r="X1009" s="73">
        <v>0</v>
      </c>
      <c r="Y1009" s="73">
        <v>0</v>
      </c>
      <c r="Z1009" s="73">
        <v>3391</v>
      </c>
      <c r="AA1009" s="73">
        <v>2417</v>
      </c>
      <c r="AB1009" s="73">
        <v>0</v>
      </c>
      <c r="AC1009" s="73">
        <v>0</v>
      </c>
      <c r="AD1009" s="73">
        <v>0</v>
      </c>
      <c r="AE1009" s="73">
        <v>0</v>
      </c>
      <c r="AF1009" s="74">
        <f>tblData[[#This Row],[Gross Sales]]+tblData[[#This Row],[Trade Discounts]]+tblData[[#This Row],[Returns]]</f>
        <v>1964</v>
      </c>
      <c r="AG1009" s="74">
        <f>tblData[[#This Row],[Material Cost]]+tblData[[#This Row],[Conversion Cost]]+tblData[[#This Row],[Inbound Freight]]</f>
        <v>-1010</v>
      </c>
      <c r="AH1009" s="74">
        <f>tblData[[#This Row],[Net Revenue]]+tblData[[#This Row],[COGS]]</f>
        <v>954</v>
      </c>
      <c r="AI1009" s="74">
        <f>tblData[[#This Row],[Advertising]]+tblData[[#This Row],[Promotions]]</f>
        <v>-101</v>
      </c>
      <c r="AJ1009" s="74">
        <f>tblData[[#This Row],[Outbound Logistics]]+tblData[[#This Row],[Direct Selling]]</f>
        <v>-177</v>
      </c>
      <c r="AK1009" s="74">
        <f>tblData[[#This Row],[Gross Profit]]+tblData[[#This Row],[AP Spend]]+tblData[[#This Row],[Cost to Serve]]</f>
        <v>676</v>
      </c>
    </row>
    <row r="1010" spans="2:37" x14ac:dyDescent="0.25">
      <c r="B1010" s="71" t="s">
        <v>51</v>
      </c>
      <c r="C1010" s="71">
        <v>2026</v>
      </c>
      <c r="D1010" s="71">
        <v>3</v>
      </c>
      <c r="E1010" s="71" t="s">
        <v>37</v>
      </c>
      <c r="F1010" s="71" t="s">
        <v>41</v>
      </c>
      <c r="G1010" s="72">
        <v>178.1</v>
      </c>
      <c r="H1010" s="73">
        <v>1963</v>
      </c>
      <c r="I1010" s="73">
        <v>-381</v>
      </c>
      <c r="J1010" s="73">
        <v>-29</v>
      </c>
      <c r="K1010" s="73">
        <v>-471</v>
      </c>
      <c r="L1010" s="73">
        <v>-117</v>
      </c>
      <c r="M1010" s="73">
        <v>-70</v>
      </c>
      <c r="N1010" s="73">
        <v>-137</v>
      </c>
      <c r="O1010" s="73">
        <v>-79</v>
      </c>
      <c r="P1010" s="73">
        <v>-80</v>
      </c>
      <c r="Q1010" s="73">
        <v>-59</v>
      </c>
      <c r="R1010" s="73">
        <v>0</v>
      </c>
      <c r="S1010" s="73">
        <v>0</v>
      </c>
      <c r="T1010" s="73">
        <v>0</v>
      </c>
      <c r="U1010" s="73">
        <v>0</v>
      </c>
      <c r="V1010" s="73">
        <v>0</v>
      </c>
      <c r="W1010" s="73">
        <v>0</v>
      </c>
      <c r="X1010" s="73">
        <v>0</v>
      </c>
      <c r="Y1010" s="73">
        <v>0</v>
      </c>
      <c r="Z1010" s="73">
        <v>2689</v>
      </c>
      <c r="AA1010" s="73">
        <v>1881</v>
      </c>
      <c r="AB1010" s="73">
        <v>0</v>
      </c>
      <c r="AC1010" s="73">
        <v>0</v>
      </c>
      <c r="AD1010" s="73">
        <v>0</v>
      </c>
      <c r="AE1010" s="73">
        <v>0</v>
      </c>
      <c r="AF1010" s="74">
        <f>tblData[[#This Row],[Gross Sales]]+tblData[[#This Row],[Trade Discounts]]+tblData[[#This Row],[Returns]]</f>
        <v>1553</v>
      </c>
      <c r="AG1010" s="74">
        <f>tblData[[#This Row],[Material Cost]]+tblData[[#This Row],[Conversion Cost]]+tblData[[#This Row],[Inbound Freight]]</f>
        <v>-658</v>
      </c>
      <c r="AH1010" s="74">
        <f>tblData[[#This Row],[Net Revenue]]+tblData[[#This Row],[COGS]]</f>
        <v>895</v>
      </c>
      <c r="AI1010" s="74">
        <f>tblData[[#This Row],[Advertising]]+tblData[[#This Row],[Promotions]]</f>
        <v>-216</v>
      </c>
      <c r="AJ1010" s="74">
        <f>tblData[[#This Row],[Outbound Logistics]]+tblData[[#This Row],[Direct Selling]]</f>
        <v>-139</v>
      </c>
      <c r="AK1010" s="74">
        <f>tblData[[#This Row],[Gross Profit]]+tblData[[#This Row],[AP Spend]]+tblData[[#This Row],[Cost to Serve]]</f>
        <v>540</v>
      </c>
    </row>
    <row r="1011" spans="2:37" x14ac:dyDescent="0.25">
      <c r="B1011" s="71" t="s">
        <v>51</v>
      </c>
      <c r="C1011" s="71">
        <v>2026</v>
      </c>
      <c r="D1011" s="71">
        <v>3</v>
      </c>
      <c r="E1011" s="71" t="s">
        <v>37</v>
      </c>
      <c r="F1011" s="71" t="s">
        <v>42</v>
      </c>
      <c r="G1011" s="72">
        <v>220.3</v>
      </c>
      <c r="H1011" s="73">
        <v>1318</v>
      </c>
      <c r="I1011" s="73">
        <v>-256</v>
      </c>
      <c r="J1011" s="73">
        <v>-20</v>
      </c>
      <c r="K1011" s="73">
        <v>-422</v>
      </c>
      <c r="L1011" s="73">
        <v>-104</v>
      </c>
      <c r="M1011" s="73">
        <v>-63</v>
      </c>
      <c r="N1011" s="73">
        <v>-27</v>
      </c>
      <c r="O1011" s="73">
        <v>-15</v>
      </c>
      <c r="P1011" s="73">
        <v>-54</v>
      </c>
      <c r="Q1011" s="73">
        <v>-40</v>
      </c>
      <c r="R1011" s="73">
        <v>0</v>
      </c>
      <c r="S1011" s="73">
        <v>0</v>
      </c>
      <c r="T1011" s="73">
        <v>0</v>
      </c>
      <c r="U1011" s="73">
        <v>0</v>
      </c>
      <c r="V1011" s="73">
        <v>0</v>
      </c>
      <c r="W1011" s="73">
        <v>0</v>
      </c>
      <c r="X1011" s="73">
        <v>0</v>
      </c>
      <c r="Y1011" s="73">
        <v>0</v>
      </c>
      <c r="Z1011" s="73">
        <v>1799</v>
      </c>
      <c r="AA1011" s="73">
        <v>2196</v>
      </c>
      <c r="AB1011" s="73">
        <v>0</v>
      </c>
      <c r="AC1011" s="73">
        <v>0</v>
      </c>
      <c r="AD1011" s="73">
        <v>0</v>
      </c>
      <c r="AE1011" s="73">
        <v>0</v>
      </c>
      <c r="AF1011" s="74">
        <f>tblData[[#This Row],[Gross Sales]]+tblData[[#This Row],[Trade Discounts]]+tblData[[#This Row],[Returns]]</f>
        <v>1042</v>
      </c>
      <c r="AG1011" s="74">
        <f>tblData[[#This Row],[Material Cost]]+tblData[[#This Row],[Conversion Cost]]+tblData[[#This Row],[Inbound Freight]]</f>
        <v>-589</v>
      </c>
      <c r="AH1011" s="74">
        <f>tblData[[#This Row],[Net Revenue]]+tblData[[#This Row],[COGS]]</f>
        <v>453</v>
      </c>
      <c r="AI1011" s="74">
        <f>tblData[[#This Row],[Advertising]]+tblData[[#This Row],[Promotions]]</f>
        <v>-42</v>
      </c>
      <c r="AJ1011" s="74">
        <f>tblData[[#This Row],[Outbound Logistics]]+tblData[[#This Row],[Direct Selling]]</f>
        <v>-94</v>
      </c>
      <c r="AK1011" s="74">
        <f>tblData[[#This Row],[Gross Profit]]+tblData[[#This Row],[AP Spend]]+tblData[[#This Row],[Cost to Serve]]</f>
        <v>317</v>
      </c>
    </row>
    <row r="1012" spans="2:37" x14ac:dyDescent="0.25">
      <c r="B1012" s="71" t="s">
        <v>51</v>
      </c>
      <c r="C1012" s="71">
        <v>2026</v>
      </c>
      <c r="D1012" s="71">
        <v>3</v>
      </c>
      <c r="E1012" s="71" t="s">
        <v>37</v>
      </c>
      <c r="F1012" s="71" t="s">
        <v>43</v>
      </c>
      <c r="G1012" s="72">
        <v>42.2</v>
      </c>
      <c r="H1012" s="73">
        <v>760</v>
      </c>
      <c r="I1012" s="73">
        <v>-148</v>
      </c>
      <c r="J1012" s="73">
        <v>-11</v>
      </c>
      <c r="K1012" s="73">
        <v>-210</v>
      </c>
      <c r="L1012" s="73">
        <v>-52</v>
      </c>
      <c r="M1012" s="73">
        <v>-31</v>
      </c>
      <c r="N1012" s="73">
        <v>-74</v>
      </c>
      <c r="O1012" s="73">
        <v>-43</v>
      </c>
      <c r="P1012" s="73">
        <v>-31</v>
      </c>
      <c r="Q1012" s="73">
        <v>-23</v>
      </c>
      <c r="R1012" s="73">
        <v>0</v>
      </c>
      <c r="S1012" s="73">
        <v>0</v>
      </c>
      <c r="T1012" s="73">
        <v>0</v>
      </c>
      <c r="U1012" s="73">
        <v>0</v>
      </c>
      <c r="V1012" s="73">
        <v>0</v>
      </c>
      <c r="W1012" s="73">
        <v>0</v>
      </c>
      <c r="X1012" s="73">
        <v>0</v>
      </c>
      <c r="Y1012" s="73">
        <v>0</v>
      </c>
      <c r="Z1012" s="73">
        <v>1041</v>
      </c>
      <c r="AA1012" s="73">
        <v>1106</v>
      </c>
      <c r="AB1012" s="73">
        <v>0</v>
      </c>
      <c r="AC1012" s="73">
        <v>0</v>
      </c>
      <c r="AD1012" s="73">
        <v>0</v>
      </c>
      <c r="AE1012" s="73">
        <v>0</v>
      </c>
      <c r="AF1012" s="74">
        <f>tblData[[#This Row],[Gross Sales]]+tblData[[#This Row],[Trade Discounts]]+tblData[[#This Row],[Returns]]</f>
        <v>601</v>
      </c>
      <c r="AG1012" s="74">
        <f>tblData[[#This Row],[Material Cost]]+tblData[[#This Row],[Conversion Cost]]+tblData[[#This Row],[Inbound Freight]]</f>
        <v>-293</v>
      </c>
      <c r="AH1012" s="74">
        <f>tblData[[#This Row],[Net Revenue]]+tblData[[#This Row],[COGS]]</f>
        <v>308</v>
      </c>
      <c r="AI1012" s="74">
        <f>tblData[[#This Row],[Advertising]]+tblData[[#This Row],[Promotions]]</f>
        <v>-117</v>
      </c>
      <c r="AJ1012" s="74">
        <f>tblData[[#This Row],[Outbound Logistics]]+tblData[[#This Row],[Direct Selling]]</f>
        <v>-54</v>
      </c>
      <c r="AK1012" s="74">
        <f>tblData[[#This Row],[Gross Profit]]+tblData[[#This Row],[AP Spend]]+tblData[[#This Row],[Cost to Serve]]</f>
        <v>137</v>
      </c>
    </row>
    <row r="1013" spans="2:37" x14ac:dyDescent="0.25">
      <c r="B1013" s="71" t="s">
        <v>51</v>
      </c>
      <c r="C1013" s="71">
        <v>2026</v>
      </c>
      <c r="D1013" s="71">
        <v>3</v>
      </c>
      <c r="E1013" s="71" t="s">
        <v>44</v>
      </c>
      <c r="F1013" s="71" t="s">
        <v>38</v>
      </c>
      <c r="G1013" s="72">
        <v>235.7</v>
      </c>
      <c r="H1013" s="73">
        <v>3324</v>
      </c>
      <c r="I1013" s="73">
        <v>-537</v>
      </c>
      <c r="J1013" s="73">
        <v>-40</v>
      </c>
      <c r="K1013" s="73">
        <v>-726</v>
      </c>
      <c r="L1013" s="73">
        <v>-179</v>
      </c>
      <c r="M1013" s="73">
        <v>-108</v>
      </c>
      <c r="N1013" s="73">
        <v>-179</v>
      </c>
      <c r="O1013" s="73">
        <v>-103</v>
      </c>
      <c r="P1013" s="73">
        <v>-136</v>
      </c>
      <c r="Q1013" s="73">
        <v>-100</v>
      </c>
      <c r="R1013" s="73">
        <v>0</v>
      </c>
      <c r="S1013" s="73">
        <v>0</v>
      </c>
      <c r="T1013" s="73">
        <v>0</v>
      </c>
      <c r="U1013" s="73">
        <v>0</v>
      </c>
      <c r="V1013" s="73">
        <v>0</v>
      </c>
      <c r="W1013" s="73">
        <v>0</v>
      </c>
      <c r="X1013" s="73">
        <v>0</v>
      </c>
      <c r="Y1013" s="73">
        <v>0</v>
      </c>
      <c r="Z1013" s="73">
        <v>4313</v>
      </c>
      <c r="AA1013" s="73">
        <v>3029</v>
      </c>
      <c r="AB1013" s="73">
        <v>0</v>
      </c>
      <c r="AC1013" s="73">
        <v>0</v>
      </c>
      <c r="AD1013" s="73">
        <v>0</v>
      </c>
      <c r="AE1013" s="73">
        <v>0</v>
      </c>
      <c r="AF1013" s="74">
        <f>tblData[[#This Row],[Gross Sales]]+tblData[[#This Row],[Trade Discounts]]+tblData[[#This Row],[Returns]]</f>
        <v>2747</v>
      </c>
      <c r="AG1013" s="74">
        <f>tblData[[#This Row],[Material Cost]]+tblData[[#This Row],[Conversion Cost]]+tblData[[#This Row],[Inbound Freight]]</f>
        <v>-1013</v>
      </c>
      <c r="AH1013" s="74">
        <f>tblData[[#This Row],[Net Revenue]]+tblData[[#This Row],[COGS]]</f>
        <v>1734</v>
      </c>
      <c r="AI1013" s="74">
        <f>tblData[[#This Row],[Advertising]]+tblData[[#This Row],[Promotions]]</f>
        <v>-282</v>
      </c>
      <c r="AJ1013" s="74">
        <f>tblData[[#This Row],[Outbound Logistics]]+tblData[[#This Row],[Direct Selling]]</f>
        <v>-236</v>
      </c>
      <c r="AK1013" s="74">
        <f>tblData[[#This Row],[Gross Profit]]+tblData[[#This Row],[AP Spend]]+tblData[[#This Row],[Cost to Serve]]</f>
        <v>1216</v>
      </c>
    </row>
    <row r="1014" spans="2:37" x14ac:dyDescent="0.25">
      <c r="B1014" s="71" t="s">
        <v>51</v>
      </c>
      <c r="C1014" s="71">
        <v>2026</v>
      </c>
      <c r="D1014" s="71">
        <v>3</v>
      </c>
      <c r="E1014" s="71" t="s">
        <v>44</v>
      </c>
      <c r="F1014" s="71" t="s">
        <v>39</v>
      </c>
      <c r="G1014" s="72">
        <v>308.60000000000002</v>
      </c>
      <c r="H1014" s="73">
        <v>2789</v>
      </c>
      <c r="I1014" s="73">
        <v>-450</v>
      </c>
      <c r="J1014" s="73">
        <v>-33</v>
      </c>
      <c r="K1014" s="73">
        <v>-731</v>
      </c>
      <c r="L1014" s="73">
        <v>-181</v>
      </c>
      <c r="M1014" s="73">
        <v>-109</v>
      </c>
      <c r="N1014" s="73">
        <v>-102</v>
      </c>
      <c r="O1014" s="73">
        <v>-59</v>
      </c>
      <c r="P1014" s="73">
        <v>-114</v>
      </c>
      <c r="Q1014" s="73">
        <v>-84</v>
      </c>
      <c r="R1014" s="73">
        <v>0</v>
      </c>
      <c r="S1014" s="73">
        <v>0</v>
      </c>
      <c r="T1014" s="73">
        <v>0</v>
      </c>
      <c r="U1014" s="73">
        <v>0</v>
      </c>
      <c r="V1014" s="73">
        <v>0</v>
      </c>
      <c r="W1014" s="73">
        <v>0</v>
      </c>
      <c r="X1014" s="73">
        <v>0</v>
      </c>
      <c r="Y1014" s="73">
        <v>0</v>
      </c>
      <c r="Z1014" s="73">
        <v>3647</v>
      </c>
      <c r="AA1014" s="73">
        <v>2608</v>
      </c>
      <c r="AB1014" s="73">
        <v>0</v>
      </c>
      <c r="AC1014" s="73">
        <v>0</v>
      </c>
      <c r="AD1014" s="73">
        <v>0</v>
      </c>
      <c r="AE1014" s="73">
        <v>0</v>
      </c>
      <c r="AF1014" s="74">
        <f>tblData[[#This Row],[Gross Sales]]+tblData[[#This Row],[Trade Discounts]]+tblData[[#This Row],[Returns]]</f>
        <v>2306</v>
      </c>
      <c r="AG1014" s="74">
        <f>tblData[[#This Row],[Material Cost]]+tblData[[#This Row],[Conversion Cost]]+tblData[[#This Row],[Inbound Freight]]</f>
        <v>-1021</v>
      </c>
      <c r="AH1014" s="74">
        <f>tblData[[#This Row],[Net Revenue]]+tblData[[#This Row],[COGS]]</f>
        <v>1285</v>
      </c>
      <c r="AI1014" s="74">
        <f>tblData[[#This Row],[Advertising]]+tblData[[#This Row],[Promotions]]</f>
        <v>-161</v>
      </c>
      <c r="AJ1014" s="74">
        <f>tblData[[#This Row],[Outbound Logistics]]+tblData[[#This Row],[Direct Selling]]</f>
        <v>-198</v>
      </c>
      <c r="AK1014" s="74">
        <f>tblData[[#This Row],[Gross Profit]]+tblData[[#This Row],[AP Spend]]+tblData[[#This Row],[Cost to Serve]]</f>
        <v>926</v>
      </c>
    </row>
    <row r="1015" spans="2:37" x14ac:dyDescent="0.25">
      <c r="B1015" s="71" t="s">
        <v>51</v>
      </c>
      <c r="C1015" s="71">
        <v>2026</v>
      </c>
      <c r="D1015" s="71">
        <v>3</v>
      </c>
      <c r="E1015" s="71" t="s">
        <v>44</v>
      </c>
      <c r="F1015" s="71" t="s">
        <v>40</v>
      </c>
      <c r="G1015" s="72">
        <v>292.10000000000002</v>
      </c>
      <c r="H1015" s="73">
        <v>2050</v>
      </c>
      <c r="I1015" s="73">
        <v>-331</v>
      </c>
      <c r="J1015" s="73">
        <v>-25</v>
      </c>
      <c r="K1015" s="73">
        <v>-597</v>
      </c>
      <c r="L1015" s="73">
        <v>-148</v>
      </c>
      <c r="M1015" s="73">
        <v>-89</v>
      </c>
      <c r="N1015" s="73">
        <v>-51</v>
      </c>
      <c r="O1015" s="73">
        <v>-29</v>
      </c>
      <c r="P1015" s="73">
        <v>-84</v>
      </c>
      <c r="Q1015" s="73">
        <v>-62</v>
      </c>
      <c r="R1015" s="73">
        <v>0</v>
      </c>
      <c r="S1015" s="73">
        <v>0</v>
      </c>
      <c r="T1015" s="73">
        <v>0</v>
      </c>
      <c r="U1015" s="73">
        <v>0</v>
      </c>
      <c r="V1015" s="73">
        <v>0</v>
      </c>
      <c r="W1015" s="73">
        <v>0</v>
      </c>
      <c r="X1015" s="73">
        <v>0</v>
      </c>
      <c r="Y1015" s="73">
        <v>0</v>
      </c>
      <c r="Z1015" s="73">
        <v>2683</v>
      </c>
      <c r="AA1015" s="73">
        <v>2005</v>
      </c>
      <c r="AB1015" s="73">
        <v>0</v>
      </c>
      <c r="AC1015" s="73">
        <v>0</v>
      </c>
      <c r="AD1015" s="73">
        <v>0</v>
      </c>
      <c r="AE1015" s="73">
        <v>0</v>
      </c>
      <c r="AF1015" s="74">
        <f>tblData[[#This Row],[Gross Sales]]+tblData[[#This Row],[Trade Discounts]]+tblData[[#This Row],[Returns]]</f>
        <v>1694</v>
      </c>
      <c r="AG1015" s="74">
        <f>tblData[[#This Row],[Material Cost]]+tblData[[#This Row],[Conversion Cost]]+tblData[[#This Row],[Inbound Freight]]</f>
        <v>-834</v>
      </c>
      <c r="AH1015" s="74">
        <f>tblData[[#This Row],[Net Revenue]]+tblData[[#This Row],[COGS]]</f>
        <v>860</v>
      </c>
      <c r="AI1015" s="74">
        <f>tblData[[#This Row],[Advertising]]+tblData[[#This Row],[Promotions]]</f>
        <v>-80</v>
      </c>
      <c r="AJ1015" s="74">
        <f>tblData[[#This Row],[Outbound Logistics]]+tblData[[#This Row],[Direct Selling]]</f>
        <v>-146</v>
      </c>
      <c r="AK1015" s="74">
        <f>tblData[[#This Row],[Gross Profit]]+tblData[[#This Row],[AP Spend]]+tblData[[#This Row],[Cost to Serve]]</f>
        <v>634</v>
      </c>
    </row>
    <row r="1016" spans="2:37" x14ac:dyDescent="0.25">
      <c r="B1016" s="71" t="s">
        <v>51</v>
      </c>
      <c r="C1016" s="71">
        <v>2026</v>
      </c>
      <c r="D1016" s="71">
        <v>3</v>
      </c>
      <c r="E1016" s="71" t="s">
        <v>44</v>
      </c>
      <c r="F1016" s="71" t="s">
        <v>41</v>
      </c>
      <c r="G1016" s="72">
        <v>148.19999999999999</v>
      </c>
      <c r="H1016" s="73">
        <v>1639</v>
      </c>
      <c r="I1016" s="73">
        <v>-265</v>
      </c>
      <c r="J1016" s="73">
        <v>-20</v>
      </c>
      <c r="K1016" s="73">
        <v>-394</v>
      </c>
      <c r="L1016" s="73">
        <v>-97</v>
      </c>
      <c r="M1016" s="73">
        <v>-59</v>
      </c>
      <c r="N1016" s="73">
        <v>-109</v>
      </c>
      <c r="O1016" s="73">
        <v>-63</v>
      </c>
      <c r="P1016" s="73">
        <v>-67</v>
      </c>
      <c r="Q1016" s="73">
        <v>-49</v>
      </c>
      <c r="R1016" s="73">
        <v>0</v>
      </c>
      <c r="S1016" s="73">
        <v>0</v>
      </c>
      <c r="T1016" s="73">
        <v>0</v>
      </c>
      <c r="U1016" s="73">
        <v>0</v>
      </c>
      <c r="V1016" s="73">
        <v>0</v>
      </c>
      <c r="W1016" s="73">
        <v>0</v>
      </c>
      <c r="X1016" s="73">
        <v>0</v>
      </c>
      <c r="Y1016" s="73">
        <v>0</v>
      </c>
      <c r="Z1016" s="73">
        <v>2138</v>
      </c>
      <c r="AA1016" s="73">
        <v>1569</v>
      </c>
      <c r="AB1016" s="73">
        <v>0</v>
      </c>
      <c r="AC1016" s="73">
        <v>0</v>
      </c>
      <c r="AD1016" s="73">
        <v>0</v>
      </c>
      <c r="AE1016" s="73">
        <v>0</v>
      </c>
      <c r="AF1016" s="74">
        <f>tblData[[#This Row],[Gross Sales]]+tblData[[#This Row],[Trade Discounts]]+tblData[[#This Row],[Returns]]</f>
        <v>1354</v>
      </c>
      <c r="AG1016" s="74">
        <f>tblData[[#This Row],[Material Cost]]+tblData[[#This Row],[Conversion Cost]]+tblData[[#This Row],[Inbound Freight]]</f>
        <v>-550</v>
      </c>
      <c r="AH1016" s="74">
        <f>tblData[[#This Row],[Net Revenue]]+tblData[[#This Row],[COGS]]</f>
        <v>804</v>
      </c>
      <c r="AI1016" s="74">
        <f>tblData[[#This Row],[Advertising]]+tblData[[#This Row],[Promotions]]</f>
        <v>-172</v>
      </c>
      <c r="AJ1016" s="74">
        <f>tblData[[#This Row],[Outbound Logistics]]+tblData[[#This Row],[Direct Selling]]</f>
        <v>-116</v>
      </c>
      <c r="AK1016" s="74">
        <f>tblData[[#This Row],[Gross Profit]]+tblData[[#This Row],[AP Spend]]+tblData[[#This Row],[Cost to Serve]]</f>
        <v>516</v>
      </c>
    </row>
    <row r="1017" spans="2:37" x14ac:dyDescent="0.25">
      <c r="B1017" s="71" t="s">
        <v>51</v>
      </c>
      <c r="C1017" s="71">
        <v>2026</v>
      </c>
      <c r="D1017" s="71">
        <v>3</v>
      </c>
      <c r="E1017" s="71" t="s">
        <v>44</v>
      </c>
      <c r="F1017" s="71" t="s">
        <v>42</v>
      </c>
      <c r="G1017" s="72">
        <v>181.6</v>
      </c>
      <c r="H1017" s="73">
        <v>1090</v>
      </c>
      <c r="I1017" s="73">
        <v>-176</v>
      </c>
      <c r="J1017" s="73">
        <v>-13</v>
      </c>
      <c r="K1017" s="73">
        <v>-349</v>
      </c>
      <c r="L1017" s="73">
        <v>-86</v>
      </c>
      <c r="M1017" s="73">
        <v>-52</v>
      </c>
      <c r="N1017" s="73">
        <v>-21</v>
      </c>
      <c r="O1017" s="73">
        <v>-12</v>
      </c>
      <c r="P1017" s="73">
        <v>-45</v>
      </c>
      <c r="Q1017" s="73">
        <v>-33</v>
      </c>
      <c r="R1017" s="73">
        <v>0</v>
      </c>
      <c r="S1017" s="73">
        <v>0</v>
      </c>
      <c r="T1017" s="73">
        <v>0</v>
      </c>
      <c r="U1017" s="73">
        <v>0</v>
      </c>
      <c r="V1017" s="73">
        <v>0</v>
      </c>
      <c r="W1017" s="73">
        <v>0</v>
      </c>
      <c r="X1017" s="73">
        <v>0</v>
      </c>
      <c r="Y1017" s="73">
        <v>0</v>
      </c>
      <c r="Z1017" s="73">
        <v>1424</v>
      </c>
      <c r="AA1017" s="73">
        <v>1823</v>
      </c>
      <c r="AB1017" s="73">
        <v>0</v>
      </c>
      <c r="AC1017" s="73">
        <v>0</v>
      </c>
      <c r="AD1017" s="73">
        <v>0</v>
      </c>
      <c r="AE1017" s="73">
        <v>0</v>
      </c>
      <c r="AF1017" s="74">
        <f>tblData[[#This Row],[Gross Sales]]+tblData[[#This Row],[Trade Discounts]]+tblData[[#This Row],[Returns]]</f>
        <v>901</v>
      </c>
      <c r="AG1017" s="74">
        <f>tblData[[#This Row],[Material Cost]]+tblData[[#This Row],[Conversion Cost]]+tblData[[#This Row],[Inbound Freight]]</f>
        <v>-487</v>
      </c>
      <c r="AH1017" s="74">
        <f>tblData[[#This Row],[Net Revenue]]+tblData[[#This Row],[COGS]]</f>
        <v>414</v>
      </c>
      <c r="AI1017" s="74">
        <f>tblData[[#This Row],[Advertising]]+tblData[[#This Row],[Promotions]]</f>
        <v>-33</v>
      </c>
      <c r="AJ1017" s="74">
        <f>tblData[[#This Row],[Outbound Logistics]]+tblData[[#This Row],[Direct Selling]]</f>
        <v>-78</v>
      </c>
      <c r="AK1017" s="74">
        <f>tblData[[#This Row],[Gross Profit]]+tblData[[#This Row],[AP Spend]]+tblData[[#This Row],[Cost to Serve]]</f>
        <v>303</v>
      </c>
    </row>
    <row r="1018" spans="2:37" x14ac:dyDescent="0.25">
      <c r="B1018" s="71" t="s">
        <v>51</v>
      </c>
      <c r="C1018" s="71">
        <v>2026</v>
      </c>
      <c r="D1018" s="71">
        <v>3</v>
      </c>
      <c r="E1018" s="71" t="s">
        <v>44</v>
      </c>
      <c r="F1018" s="71" t="s">
        <v>43</v>
      </c>
      <c r="G1018" s="72">
        <v>34.9</v>
      </c>
      <c r="H1018" s="73">
        <v>630</v>
      </c>
      <c r="I1018" s="73">
        <v>-102</v>
      </c>
      <c r="J1018" s="73">
        <v>-8</v>
      </c>
      <c r="K1018" s="73">
        <v>-174</v>
      </c>
      <c r="L1018" s="73">
        <v>-43</v>
      </c>
      <c r="M1018" s="73">
        <v>-26</v>
      </c>
      <c r="N1018" s="73">
        <v>-60</v>
      </c>
      <c r="O1018" s="73">
        <v>-34</v>
      </c>
      <c r="P1018" s="73">
        <v>-26</v>
      </c>
      <c r="Q1018" s="73">
        <v>-19</v>
      </c>
      <c r="R1018" s="73">
        <v>0</v>
      </c>
      <c r="S1018" s="73">
        <v>0</v>
      </c>
      <c r="T1018" s="73">
        <v>0</v>
      </c>
      <c r="U1018" s="73">
        <v>0</v>
      </c>
      <c r="V1018" s="73">
        <v>0</v>
      </c>
      <c r="W1018" s="73">
        <v>0</v>
      </c>
      <c r="X1018" s="73">
        <v>0</v>
      </c>
      <c r="Y1018" s="73">
        <v>0</v>
      </c>
      <c r="Z1018" s="73">
        <v>824</v>
      </c>
      <c r="AA1018" s="73">
        <v>918</v>
      </c>
      <c r="AB1018" s="73">
        <v>0</v>
      </c>
      <c r="AC1018" s="73">
        <v>0</v>
      </c>
      <c r="AD1018" s="73">
        <v>0</v>
      </c>
      <c r="AE1018" s="73">
        <v>0</v>
      </c>
      <c r="AF1018" s="74">
        <f>tblData[[#This Row],[Gross Sales]]+tblData[[#This Row],[Trade Discounts]]+tblData[[#This Row],[Returns]]</f>
        <v>520</v>
      </c>
      <c r="AG1018" s="74">
        <f>tblData[[#This Row],[Material Cost]]+tblData[[#This Row],[Conversion Cost]]+tblData[[#This Row],[Inbound Freight]]</f>
        <v>-243</v>
      </c>
      <c r="AH1018" s="74">
        <f>tblData[[#This Row],[Net Revenue]]+tblData[[#This Row],[COGS]]</f>
        <v>277</v>
      </c>
      <c r="AI1018" s="74">
        <f>tblData[[#This Row],[Advertising]]+tblData[[#This Row],[Promotions]]</f>
        <v>-94</v>
      </c>
      <c r="AJ1018" s="74">
        <f>tblData[[#This Row],[Outbound Logistics]]+tblData[[#This Row],[Direct Selling]]</f>
        <v>-45</v>
      </c>
      <c r="AK1018" s="74">
        <f>tblData[[#This Row],[Gross Profit]]+tblData[[#This Row],[AP Spend]]+tblData[[#This Row],[Cost to Serve]]</f>
        <v>138</v>
      </c>
    </row>
    <row r="1019" spans="2:37" x14ac:dyDescent="0.25">
      <c r="B1019" s="71" t="s">
        <v>51</v>
      </c>
      <c r="C1019" s="71">
        <v>2026</v>
      </c>
      <c r="D1019" s="71">
        <v>3</v>
      </c>
      <c r="E1019" s="71" t="s">
        <v>45</v>
      </c>
      <c r="F1019" s="71" t="s">
        <v>38</v>
      </c>
      <c r="G1019" s="72">
        <v>135.1</v>
      </c>
      <c r="H1019" s="73">
        <v>1889</v>
      </c>
      <c r="I1019" s="73">
        <v>-432</v>
      </c>
      <c r="J1019" s="73">
        <v>-19</v>
      </c>
      <c r="K1019" s="73">
        <v>-412</v>
      </c>
      <c r="L1019" s="73">
        <v>-102</v>
      </c>
      <c r="M1019" s="73">
        <v>-62</v>
      </c>
      <c r="N1019" s="73">
        <v>-104</v>
      </c>
      <c r="O1019" s="73">
        <v>-60</v>
      </c>
      <c r="P1019" s="73">
        <v>-68</v>
      </c>
      <c r="Q1019" s="73">
        <v>-38</v>
      </c>
      <c r="R1019" s="73">
        <v>0</v>
      </c>
      <c r="S1019" s="73">
        <v>0</v>
      </c>
      <c r="T1019" s="73">
        <v>0</v>
      </c>
      <c r="U1019" s="73">
        <v>0</v>
      </c>
      <c r="V1019" s="73">
        <v>0</v>
      </c>
      <c r="W1019" s="73">
        <v>0</v>
      </c>
      <c r="X1019" s="73">
        <v>0</v>
      </c>
      <c r="Y1019" s="73">
        <v>0</v>
      </c>
      <c r="Z1019" s="73">
        <v>2048</v>
      </c>
      <c r="AA1019" s="73">
        <v>1727</v>
      </c>
      <c r="AB1019" s="73">
        <v>0</v>
      </c>
      <c r="AC1019" s="73">
        <v>0</v>
      </c>
      <c r="AD1019" s="73">
        <v>0</v>
      </c>
      <c r="AE1019" s="73">
        <v>0</v>
      </c>
      <c r="AF1019" s="74">
        <f>tblData[[#This Row],[Gross Sales]]+tblData[[#This Row],[Trade Discounts]]+tblData[[#This Row],[Returns]]</f>
        <v>1438</v>
      </c>
      <c r="AG1019" s="74">
        <f>tblData[[#This Row],[Material Cost]]+tblData[[#This Row],[Conversion Cost]]+tblData[[#This Row],[Inbound Freight]]</f>
        <v>-576</v>
      </c>
      <c r="AH1019" s="74">
        <f>tblData[[#This Row],[Net Revenue]]+tblData[[#This Row],[COGS]]</f>
        <v>862</v>
      </c>
      <c r="AI1019" s="74">
        <f>tblData[[#This Row],[Advertising]]+tblData[[#This Row],[Promotions]]</f>
        <v>-164</v>
      </c>
      <c r="AJ1019" s="74">
        <f>tblData[[#This Row],[Outbound Logistics]]+tblData[[#This Row],[Direct Selling]]</f>
        <v>-106</v>
      </c>
      <c r="AK1019" s="74">
        <f>tblData[[#This Row],[Gross Profit]]+tblData[[#This Row],[AP Spend]]+tblData[[#This Row],[Cost to Serve]]</f>
        <v>592</v>
      </c>
    </row>
    <row r="1020" spans="2:37" x14ac:dyDescent="0.25">
      <c r="B1020" s="71" t="s">
        <v>51</v>
      </c>
      <c r="C1020" s="71">
        <v>2026</v>
      </c>
      <c r="D1020" s="71">
        <v>3</v>
      </c>
      <c r="E1020" s="71" t="s">
        <v>45</v>
      </c>
      <c r="F1020" s="71" t="s">
        <v>39</v>
      </c>
      <c r="G1020" s="72">
        <v>175.1</v>
      </c>
      <c r="H1020" s="73">
        <v>1569</v>
      </c>
      <c r="I1020" s="73">
        <v>-359</v>
      </c>
      <c r="J1020" s="73">
        <v>-16</v>
      </c>
      <c r="K1020" s="73">
        <v>-411</v>
      </c>
      <c r="L1020" s="73">
        <v>-102</v>
      </c>
      <c r="M1020" s="73">
        <v>-61</v>
      </c>
      <c r="N1020" s="73">
        <v>-60</v>
      </c>
      <c r="O1020" s="73">
        <v>-34</v>
      </c>
      <c r="P1020" s="73">
        <v>-56</v>
      </c>
      <c r="Q1020" s="73">
        <v>-31</v>
      </c>
      <c r="R1020" s="73">
        <v>0</v>
      </c>
      <c r="S1020" s="73">
        <v>0</v>
      </c>
      <c r="T1020" s="73">
        <v>0</v>
      </c>
      <c r="U1020" s="73">
        <v>0</v>
      </c>
      <c r="V1020" s="73">
        <v>0</v>
      </c>
      <c r="W1020" s="73">
        <v>0</v>
      </c>
      <c r="X1020" s="73">
        <v>0</v>
      </c>
      <c r="Y1020" s="73">
        <v>0</v>
      </c>
      <c r="Z1020" s="73">
        <v>1702</v>
      </c>
      <c r="AA1020" s="73">
        <v>1462</v>
      </c>
      <c r="AB1020" s="73">
        <v>0</v>
      </c>
      <c r="AC1020" s="73">
        <v>0</v>
      </c>
      <c r="AD1020" s="73">
        <v>0</v>
      </c>
      <c r="AE1020" s="73">
        <v>0</v>
      </c>
      <c r="AF1020" s="74">
        <f>tblData[[#This Row],[Gross Sales]]+tblData[[#This Row],[Trade Discounts]]+tblData[[#This Row],[Returns]]</f>
        <v>1194</v>
      </c>
      <c r="AG1020" s="74">
        <f>tblData[[#This Row],[Material Cost]]+tblData[[#This Row],[Conversion Cost]]+tblData[[#This Row],[Inbound Freight]]</f>
        <v>-574</v>
      </c>
      <c r="AH1020" s="74">
        <f>tblData[[#This Row],[Net Revenue]]+tblData[[#This Row],[COGS]]</f>
        <v>620</v>
      </c>
      <c r="AI1020" s="74">
        <f>tblData[[#This Row],[Advertising]]+tblData[[#This Row],[Promotions]]</f>
        <v>-94</v>
      </c>
      <c r="AJ1020" s="74">
        <f>tblData[[#This Row],[Outbound Logistics]]+tblData[[#This Row],[Direct Selling]]</f>
        <v>-87</v>
      </c>
      <c r="AK1020" s="74">
        <f>tblData[[#This Row],[Gross Profit]]+tblData[[#This Row],[AP Spend]]+tblData[[#This Row],[Cost to Serve]]</f>
        <v>439</v>
      </c>
    </row>
    <row r="1021" spans="2:37" x14ac:dyDescent="0.25">
      <c r="B1021" s="71" t="s">
        <v>51</v>
      </c>
      <c r="C1021" s="71">
        <v>2026</v>
      </c>
      <c r="D1021" s="71">
        <v>3</v>
      </c>
      <c r="E1021" s="71" t="s">
        <v>45</v>
      </c>
      <c r="F1021" s="71" t="s">
        <v>40</v>
      </c>
      <c r="G1021" s="72">
        <v>167.9</v>
      </c>
      <c r="H1021" s="73">
        <v>1169</v>
      </c>
      <c r="I1021" s="73">
        <v>-267</v>
      </c>
      <c r="J1021" s="73">
        <v>-12</v>
      </c>
      <c r="K1021" s="73">
        <v>-340</v>
      </c>
      <c r="L1021" s="73">
        <v>-84</v>
      </c>
      <c r="M1021" s="73">
        <v>-51</v>
      </c>
      <c r="N1021" s="73">
        <v>-30</v>
      </c>
      <c r="O1021" s="73">
        <v>-17</v>
      </c>
      <c r="P1021" s="73">
        <v>-42</v>
      </c>
      <c r="Q1021" s="73">
        <v>-23</v>
      </c>
      <c r="R1021" s="73">
        <v>0</v>
      </c>
      <c r="S1021" s="73">
        <v>0</v>
      </c>
      <c r="T1021" s="73">
        <v>0</v>
      </c>
      <c r="U1021" s="73">
        <v>0</v>
      </c>
      <c r="V1021" s="73">
        <v>0</v>
      </c>
      <c r="W1021" s="73">
        <v>0</v>
      </c>
      <c r="X1021" s="73">
        <v>0</v>
      </c>
      <c r="Y1021" s="73">
        <v>0</v>
      </c>
      <c r="Z1021" s="73">
        <v>1264</v>
      </c>
      <c r="AA1021" s="73">
        <v>1135</v>
      </c>
      <c r="AB1021" s="73">
        <v>0</v>
      </c>
      <c r="AC1021" s="73">
        <v>0</v>
      </c>
      <c r="AD1021" s="73">
        <v>0</v>
      </c>
      <c r="AE1021" s="73">
        <v>0</v>
      </c>
      <c r="AF1021" s="74">
        <f>tblData[[#This Row],[Gross Sales]]+tblData[[#This Row],[Trade Discounts]]+tblData[[#This Row],[Returns]]</f>
        <v>890</v>
      </c>
      <c r="AG1021" s="74">
        <f>tblData[[#This Row],[Material Cost]]+tblData[[#This Row],[Conversion Cost]]+tblData[[#This Row],[Inbound Freight]]</f>
        <v>-475</v>
      </c>
      <c r="AH1021" s="74">
        <f>tblData[[#This Row],[Net Revenue]]+tblData[[#This Row],[COGS]]</f>
        <v>415</v>
      </c>
      <c r="AI1021" s="74">
        <f>tblData[[#This Row],[Advertising]]+tblData[[#This Row],[Promotions]]</f>
        <v>-47</v>
      </c>
      <c r="AJ1021" s="74">
        <f>tblData[[#This Row],[Outbound Logistics]]+tblData[[#This Row],[Direct Selling]]</f>
        <v>-65</v>
      </c>
      <c r="AK1021" s="74">
        <f>tblData[[#This Row],[Gross Profit]]+tblData[[#This Row],[AP Spend]]+tblData[[#This Row],[Cost to Serve]]</f>
        <v>303</v>
      </c>
    </row>
    <row r="1022" spans="2:37" x14ac:dyDescent="0.25">
      <c r="B1022" s="71" t="s">
        <v>51</v>
      </c>
      <c r="C1022" s="71">
        <v>2026</v>
      </c>
      <c r="D1022" s="71">
        <v>3</v>
      </c>
      <c r="E1022" s="71" t="s">
        <v>45</v>
      </c>
      <c r="F1022" s="71" t="s">
        <v>41</v>
      </c>
      <c r="G1022" s="72">
        <v>84.9</v>
      </c>
      <c r="H1022" s="73">
        <v>931</v>
      </c>
      <c r="I1022" s="73">
        <v>-213</v>
      </c>
      <c r="J1022" s="73">
        <v>-9</v>
      </c>
      <c r="K1022" s="73">
        <v>-223</v>
      </c>
      <c r="L1022" s="73">
        <v>-55</v>
      </c>
      <c r="M1022" s="73">
        <v>-33</v>
      </c>
      <c r="N1022" s="73">
        <v>-64</v>
      </c>
      <c r="O1022" s="73">
        <v>-37</v>
      </c>
      <c r="P1022" s="73">
        <v>-33</v>
      </c>
      <c r="Q1022" s="73">
        <v>-19</v>
      </c>
      <c r="R1022" s="73">
        <v>0</v>
      </c>
      <c r="S1022" s="73">
        <v>0</v>
      </c>
      <c r="T1022" s="73">
        <v>0</v>
      </c>
      <c r="U1022" s="73">
        <v>0</v>
      </c>
      <c r="V1022" s="73">
        <v>0</v>
      </c>
      <c r="W1022" s="73">
        <v>0</v>
      </c>
      <c r="X1022" s="73">
        <v>0</v>
      </c>
      <c r="Y1022" s="73">
        <v>0</v>
      </c>
      <c r="Z1022" s="73">
        <v>1007</v>
      </c>
      <c r="AA1022" s="73">
        <v>887</v>
      </c>
      <c r="AB1022" s="73">
        <v>0</v>
      </c>
      <c r="AC1022" s="73">
        <v>0</v>
      </c>
      <c r="AD1022" s="73">
        <v>0</v>
      </c>
      <c r="AE1022" s="73">
        <v>0</v>
      </c>
      <c r="AF1022" s="74">
        <f>tblData[[#This Row],[Gross Sales]]+tblData[[#This Row],[Trade Discounts]]+tblData[[#This Row],[Returns]]</f>
        <v>709</v>
      </c>
      <c r="AG1022" s="74">
        <f>tblData[[#This Row],[Material Cost]]+tblData[[#This Row],[Conversion Cost]]+tblData[[#This Row],[Inbound Freight]]</f>
        <v>-311</v>
      </c>
      <c r="AH1022" s="74">
        <f>tblData[[#This Row],[Net Revenue]]+tblData[[#This Row],[COGS]]</f>
        <v>398</v>
      </c>
      <c r="AI1022" s="74">
        <f>tblData[[#This Row],[Advertising]]+tblData[[#This Row],[Promotions]]</f>
        <v>-101</v>
      </c>
      <c r="AJ1022" s="74">
        <f>tblData[[#This Row],[Outbound Logistics]]+tblData[[#This Row],[Direct Selling]]</f>
        <v>-52</v>
      </c>
      <c r="AK1022" s="74">
        <f>tblData[[#This Row],[Gross Profit]]+tblData[[#This Row],[AP Spend]]+tblData[[#This Row],[Cost to Serve]]</f>
        <v>245</v>
      </c>
    </row>
    <row r="1023" spans="2:37" x14ac:dyDescent="0.25">
      <c r="B1023" s="71" t="s">
        <v>51</v>
      </c>
      <c r="C1023" s="71">
        <v>2026</v>
      </c>
      <c r="D1023" s="71">
        <v>3</v>
      </c>
      <c r="E1023" s="71" t="s">
        <v>45</v>
      </c>
      <c r="F1023" s="71" t="s">
        <v>42</v>
      </c>
      <c r="G1023" s="72">
        <v>104.1</v>
      </c>
      <c r="H1023" s="73">
        <v>619</v>
      </c>
      <c r="I1023" s="73">
        <v>-142</v>
      </c>
      <c r="J1023" s="73">
        <v>-6</v>
      </c>
      <c r="K1023" s="73">
        <v>-198</v>
      </c>
      <c r="L1023" s="73">
        <v>-49</v>
      </c>
      <c r="M1023" s="73">
        <v>-30</v>
      </c>
      <c r="N1023" s="73">
        <v>-12</v>
      </c>
      <c r="O1023" s="73">
        <v>-7</v>
      </c>
      <c r="P1023" s="73">
        <v>-22</v>
      </c>
      <c r="Q1023" s="73">
        <v>-12</v>
      </c>
      <c r="R1023" s="73">
        <v>0</v>
      </c>
      <c r="S1023" s="73">
        <v>0</v>
      </c>
      <c r="T1023" s="73">
        <v>0</v>
      </c>
      <c r="U1023" s="73">
        <v>0</v>
      </c>
      <c r="V1023" s="73">
        <v>0</v>
      </c>
      <c r="W1023" s="73">
        <v>0</v>
      </c>
      <c r="X1023" s="73">
        <v>0</v>
      </c>
      <c r="Y1023" s="73">
        <v>0</v>
      </c>
      <c r="Z1023" s="73">
        <v>670</v>
      </c>
      <c r="AA1023" s="73">
        <v>1031</v>
      </c>
      <c r="AB1023" s="73">
        <v>0</v>
      </c>
      <c r="AC1023" s="73">
        <v>0</v>
      </c>
      <c r="AD1023" s="73">
        <v>0</v>
      </c>
      <c r="AE1023" s="73">
        <v>0</v>
      </c>
      <c r="AF1023" s="74">
        <f>tblData[[#This Row],[Gross Sales]]+tblData[[#This Row],[Trade Discounts]]+tblData[[#This Row],[Returns]]</f>
        <v>471</v>
      </c>
      <c r="AG1023" s="74">
        <f>tblData[[#This Row],[Material Cost]]+tblData[[#This Row],[Conversion Cost]]+tblData[[#This Row],[Inbound Freight]]</f>
        <v>-277</v>
      </c>
      <c r="AH1023" s="74">
        <f>tblData[[#This Row],[Net Revenue]]+tblData[[#This Row],[COGS]]</f>
        <v>194</v>
      </c>
      <c r="AI1023" s="74">
        <f>tblData[[#This Row],[Advertising]]+tblData[[#This Row],[Promotions]]</f>
        <v>-19</v>
      </c>
      <c r="AJ1023" s="74">
        <f>tblData[[#This Row],[Outbound Logistics]]+tblData[[#This Row],[Direct Selling]]</f>
        <v>-34</v>
      </c>
      <c r="AK1023" s="74">
        <f>tblData[[#This Row],[Gross Profit]]+tblData[[#This Row],[AP Spend]]+tblData[[#This Row],[Cost to Serve]]</f>
        <v>141</v>
      </c>
    </row>
    <row r="1024" spans="2:37" x14ac:dyDescent="0.25">
      <c r="B1024" s="71" t="s">
        <v>51</v>
      </c>
      <c r="C1024" s="71">
        <v>2026</v>
      </c>
      <c r="D1024" s="71">
        <v>3</v>
      </c>
      <c r="E1024" s="71" t="s">
        <v>45</v>
      </c>
      <c r="F1024" s="71" t="s">
        <v>43</v>
      </c>
      <c r="G1024" s="72">
        <v>19.899999999999999</v>
      </c>
      <c r="H1024" s="73">
        <v>356</v>
      </c>
      <c r="I1024" s="73">
        <v>-81</v>
      </c>
      <c r="J1024" s="73">
        <v>-4</v>
      </c>
      <c r="K1024" s="73">
        <v>-98</v>
      </c>
      <c r="L1024" s="73">
        <v>-24</v>
      </c>
      <c r="M1024" s="73">
        <v>-15</v>
      </c>
      <c r="N1024" s="73">
        <v>-35</v>
      </c>
      <c r="O1024" s="73">
        <v>-20</v>
      </c>
      <c r="P1024" s="73">
        <v>-13</v>
      </c>
      <c r="Q1024" s="73">
        <v>-7</v>
      </c>
      <c r="R1024" s="73">
        <v>0</v>
      </c>
      <c r="S1024" s="73">
        <v>0</v>
      </c>
      <c r="T1024" s="73">
        <v>0</v>
      </c>
      <c r="U1024" s="73">
        <v>0</v>
      </c>
      <c r="V1024" s="73">
        <v>0</v>
      </c>
      <c r="W1024" s="73">
        <v>0</v>
      </c>
      <c r="X1024" s="73">
        <v>0</v>
      </c>
      <c r="Y1024" s="73">
        <v>0</v>
      </c>
      <c r="Z1024" s="73">
        <v>386</v>
      </c>
      <c r="AA1024" s="73">
        <v>517</v>
      </c>
      <c r="AB1024" s="73">
        <v>0</v>
      </c>
      <c r="AC1024" s="73">
        <v>0</v>
      </c>
      <c r="AD1024" s="73">
        <v>0</v>
      </c>
      <c r="AE1024" s="73">
        <v>0</v>
      </c>
      <c r="AF1024" s="74">
        <f>tblData[[#This Row],[Gross Sales]]+tblData[[#This Row],[Trade Discounts]]+tblData[[#This Row],[Returns]]</f>
        <v>271</v>
      </c>
      <c r="AG1024" s="74">
        <f>tblData[[#This Row],[Material Cost]]+tblData[[#This Row],[Conversion Cost]]+tblData[[#This Row],[Inbound Freight]]</f>
        <v>-137</v>
      </c>
      <c r="AH1024" s="74">
        <f>tblData[[#This Row],[Net Revenue]]+tblData[[#This Row],[COGS]]</f>
        <v>134</v>
      </c>
      <c r="AI1024" s="74">
        <f>tblData[[#This Row],[Advertising]]+tblData[[#This Row],[Promotions]]</f>
        <v>-55</v>
      </c>
      <c r="AJ1024" s="74">
        <f>tblData[[#This Row],[Outbound Logistics]]+tblData[[#This Row],[Direct Selling]]</f>
        <v>-20</v>
      </c>
      <c r="AK1024" s="74">
        <f>tblData[[#This Row],[Gross Profit]]+tblData[[#This Row],[AP Spend]]+tblData[[#This Row],[Cost to Serve]]</f>
        <v>59</v>
      </c>
    </row>
    <row r="1025" spans="2:37" x14ac:dyDescent="0.25">
      <c r="B1025" s="71" t="s">
        <v>51</v>
      </c>
      <c r="C1025" s="71">
        <v>2026</v>
      </c>
      <c r="D1025" s="71">
        <v>3</v>
      </c>
      <c r="E1025" s="71" t="s">
        <v>46</v>
      </c>
      <c r="F1025" s="71" t="s">
        <v>38</v>
      </c>
      <c r="G1025" s="72">
        <v>166.9</v>
      </c>
      <c r="H1025" s="73">
        <v>2350</v>
      </c>
      <c r="I1025" s="73">
        <v>-255</v>
      </c>
      <c r="J1025" s="73">
        <v>-94</v>
      </c>
      <c r="K1025" s="73">
        <v>-513</v>
      </c>
      <c r="L1025" s="73">
        <v>-127</v>
      </c>
      <c r="M1025" s="73">
        <v>-77</v>
      </c>
      <c r="N1025" s="73">
        <v>-119</v>
      </c>
      <c r="O1025" s="73">
        <v>-69</v>
      </c>
      <c r="P1025" s="73">
        <v>-180</v>
      </c>
      <c r="Q1025" s="73">
        <v>-47</v>
      </c>
      <c r="R1025" s="73">
        <v>0</v>
      </c>
      <c r="S1025" s="73">
        <v>0</v>
      </c>
      <c r="T1025" s="73">
        <v>0</v>
      </c>
      <c r="U1025" s="73">
        <v>0</v>
      </c>
      <c r="V1025" s="73">
        <v>0</v>
      </c>
      <c r="W1025" s="73">
        <v>0</v>
      </c>
      <c r="X1025" s="73">
        <v>0</v>
      </c>
      <c r="Y1025" s="73">
        <v>0</v>
      </c>
      <c r="Z1025" s="73">
        <v>1628</v>
      </c>
      <c r="AA1025" s="73">
        <v>2138</v>
      </c>
      <c r="AB1025" s="73">
        <v>0</v>
      </c>
      <c r="AC1025" s="73">
        <v>0</v>
      </c>
      <c r="AD1025" s="73">
        <v>0</v>
      </c>
      <c r="AE1025" s="73">
        <v>0</v>
      </c>
      <c r="AF1025" s="74">
        <f>tblData[[#This Row],[Gross Sales]]+tblData[[#This Row],[Trade Discounts]]+tblData[[#This Row],[Returns]]</f>
        <v>2001</v>
      </c>
      <c r="AG1025" s="74">
        <f>tblData[[#This Row],[Material Cost]]+tblData[[#This Row],[Conversion Cost]]+tblData[[#This Row],[Inbound Freight]]</f>
        <v>-717</v>
      </c>
      <c r="AH1025" s="74">
        <f>tblData[[#This Row],[Net Revenue]]+tblData[[#This Row],[COGS]]</f>
        <v>1284</v>
      </c>
      <c r="AI1025" s="74">
        <f>tblData[[#This Row],[Advertising]]+tblData[[#This Row],[Promotions]]</f>
        <v>-188</v>
      </c>
      <c r="AJ1025" s="74">
        <f>tblData[[#This Row],[Outbound Logistics]]+tblData[[#This Row],[Direct Selling]]</f>
        <v>-227</v>
      </c>
      <c r="AK1025" s="74">
        <f>tblData[[#This Row],[Gross Profit]]+tblData[[#This Row],[AP Spend]]+tblData[[#This Row],[Cost to Serve]]</f>
        <v>869</v>
      </c>
    </row>
    <row r="1026" spans="2:37" x14ac:dyDescent="0.25">
      <c r="B1026" s="71" t="s">
        <v>51</v>
      </c>
      <c r="C1026" s="71">
        <v>2026</v>
      </c>
      <c r="D1026" s="71">
        <v>3</v>
      </c>
      <c r="E1026" s="71" t="s">
        <v>46</v>
      </c>
      <c r="F1026" s="71" t="s">
        <v>39</v>
      </c>
      <c r="G1026" s="72">
        <v>218.1</v>
      </c>
      <c r="H1026" s="73">
        <v>1968</v>
      </c>
      <c r="I1026" s="73">
        <v>-214</v>
      </c>
      <c r="J1026" s="73">
        <v>-79</v>
      </c>
      <c r="K1026" s="73">
        <v>-516</v>
      </c>
      <c r="L1026" s="73">
        <v>-128</v>
      </c>
      <c r="M1026" s="73">
        <v>-77</v>
      </c>
      <c r="N1026" s="73">
        <v>-68</v>
      </c>
      <c r="O1026" s="73">
        <v>-39</v>
      </c>
      <c r="P1026" s="73">
        <v>-151</v>
      </c>
      <c r="Q1026" s="73">
        <v>-39</v>
      </c>
      <c r="R1026" s="73">
        <v>0</v>
      </c>
      <c r="S1026" s="73">
        <v>0</v>
      </c>
      <c r="T1026" s="73">
        <v>0</v>
      </c>
      <c r="U1026" s="73">
        <v>0</v>
      </c>
      <c r="V1026" s="73">
        <v>0</v>
      </c>
      <c r="W1026" s="73">
        <v>0</v>
      </c>
      <c r="X1026" s="73">
        <v>0</v>
      </c>
      <c r="Y1026" s="73">
        <v>0</v>
      </c>
      <c r="Z1026" s="73">
        <v>1372</v>
      </c>
      <c r="AA1026" s="73">
        <v>1835</v>
      </c>
      <c r="AB1026" s="73">
        <v>0</v>
      </c>
      <c r="AC1026" s="73">
        <v>0</v>
      </c>
      <c r="AD1026" s="73">
        <v>0</v>
      </c>
      <c r="AE1026" s="73">
        <v>0</v>
      </c>
      <c r="AF1026" s="74">
        <f>tblData[[#This Row],[Gross Sales]]+tblData[[#This Row],[Trade Discounts]]+tblData[[#This Row],[Returns]]</f>
        <v>1675</v>
      </c>
      <c r="AG1026" s="74">
        <f>tblData[[#This Row],[Material Cost]]+tblData[[#This Row],[Conversion Cost]]+tblData[[#This Row],[Inbound Freight]]</f>
        <v>-721</v>
      </c>
      <c r="AH1026" s="74">
        <f>tblData[[#This Row],[Net Revenue]]+tblData[[#This Row],[COGS]]</f>
        <v>954</v>
      </c>
      <c r="AI1026" s="74">
        <f>tblData[[#This Row],[Advertising]]+tblData[[#This Row],[Promotions]]</f>
        <v>-107</v>
      </c>
      <c r="AJ1026" s="74">
        <f>tblData[[#This Row],[Outbound Logistics]]+tblData[[#This Row],[Direct Selling]]</f>
        <v>-190</v>
      </c>
      <c r="AK1026" s="74">
        <f>tblData[[#This Row],[Gross Profit]]+tblData[[#This Row],[AP Spend]]+tblData[[#This Row],[Cost to Serve]]</f>
        <v>657</v>
      </c>
    </row>
    <row r="1027" spans="2:37" x14ac:dyDescent="0.25">
      <c r="B1027" s="71" t="s">
        <v>51</v>
      </c>
      <c r="C1027" s="71">
        <v>2026</v>
      </c>
      <c r="D1027" s="71">
        <v>3</v>
      </c>
      <c r="E1027" s="71" t="s">
        <v>46</v>
      </c>
      <c r="F1027" s="71" t="s">
        <v>40</v>
      </c>
      <c r="G1027" s="72">
        <v>208.4</v>
      </c>
      <c r="H1027" s="73">
        <v>1461</v>
      </c>
      <c r="I1027" s="73">
        <v>-159</v>
      </c>
      <c r="J1027" s="73">
        <v>-58</v>
      </c>
      <c r="K1027" s="73">
        <v>-425</v>
      </c>
      <c r="L1027" s="73">
        <v>-105</v>
      </c>
      <c r="M1027" s="73">
        <v>-63</v>
      </c>
      <c r="N1027" s="73">
        <v>-34</v>
      </c>
      <c r="O1027" s="73">
        <v>-20</v>
      </c>
      <c r="P1027" s="73">
        <v>-112</v>
      </c>
      <c r="Q1027" s="73">
        <v>-29</v>
      </c>
      <c r="R1027" s="73">
        <v>0</v>
      </c>
      <c r="S1027" s="73">
        <v>0</v>
      </c>
      <c r="T1027" s="73">
        <v>0</v>
      </c>
      <c r="U1027" s="73">
        <v>0</v>
      </c>
      <c r="V1027" s="73">
        <v>0</v>
      </c>
      <c r="W1027" s="73">
        <v>0</v>
      </c>
      <c r="X1027" s="73">
        <v>0</v>
      </c>
      <c r="Y1027" s="73">
        <v>0</v>
      </c>
      <c r="Z1027" s="73">
        <v>1017</v>
      </c>
      <c r="AA1027" s="73">
        <v>1421</v>
      </c>
      <c r="AB1027" s="73">
        <v>0</v>
      </c>
      <c r="AC1027" s="73">
        <v>0</v>
      </c>
      <c r="AD1027" s="73">
        <v>0</v>
      </c>
      <c r="AE1027" s="73">
        <v>0</v>
      </c>
      <c r="AF1027" s="74">
        <f>tblData[[#This Row],[Gross Sales]]+tblData[[#This Row],[Trade Discounts]]+tblData[[#This Row],[Returns]]</f>
        <v>1244</v>
      </c>
      <c r="AG1027" s="74">
        <f>tblData[[#This Row],[Material Cost]]+tblData[[#This Row],[Conversion Cost]]+tblData[[#This Row],[Inbound Freight]]</f>
        <v>-593</v>
      </c>
      <c r="AH1027" s="74">
        <f>tblData[[#This Row],[Net Revenue]]+tblData[[#This Row],[COGS]]</f>
        <v>651</v>
      </c>
      <c r="AI1027" s="74">
        <f>tblData[[#This Row],[Advertising]]+tblData[[#This Row],[Promotions]]</f>
        <v>-54</v>
      </c>
      <c r="AJ1027" s="74">
        <f>tblData[[#This Row],[Outbound Logistics]]+tblData[[#This Row],[Direct Selling]]</f>
        <v>-141</v>
      </c>
      <c r="AK1027" s="74">
        <f>tblData[[#This Row],[Gross Profit]]+tblData[[#This Row],[AP Spend]]+tblData[[#This Row],[Cost to Serve]]</f>
        <v>456</v>
      </c>
    </row>
    <row r="1028" spans="2:37" x14ac:dyDescent="0.25">
      <c r="B1028" s="71" t="s">
        <v>51</v>
      </c>
      <c r="C1028" s="71">
        <v>2026</v>
      </c>
      <c r="D1028" s="71">
        <v>3</v>
      </c>
      <c r="E1028" s="71" t="s">
        <v>46</v>
      </c>
      <c r="F1028" s="71" t="s">
        <v>41</v>
      </c>
      <c r="G1028" s="72">
        <v>104.5</v>
      </c>
      <c r="H1028" s="73">
        <v>1154</v>
      </c>
      <c r="I1028" s="73">
        <v>-125</v>
      </c>
      <c r="J1028" s="73">
        <v>-46</v>
      </c>
      <c r="K1028" s="73">
        <v>-277</v>
      </c>
      <c r="L1028" s="73">
        <v>-69</v>
      </c>
      <c r="M1028" s="73">
        <v>-41</v>
      </c>
      <c r="N1028" s="73">
        <v>-73</v>
      </c>
      <c r="O1028" s="73">
        <v>-42</v>
      </c>
      <c r="P1028" s="73">
        <v>-88</v>
      </c>
      <c r="Q1028" s="73">
        <v>-23</v>
      </c>
      <c r="R1028" s="73">
        <v>0</v>
      </c>
      <c r="S1028" s="73">
        <v>0</v>
      </c>
      <c r="T1028" s="73">
        <v>0</v>
      </c>
      <c r="U1028" s="73">
        <v>0</v>
      </c>
      <c r="V1028" s="73">
        <v>0</v>
      </c>
      <c r="W1028" s="73">
        <v>0</v>
      </c>
      <c r="X1028" s="73">
        <v>0</v>
      </c>
      <c r="Y1028" s="73">
        <v>0</v>
      </c>
      <c r="Z1028" s="73">
        <v>808</v>
      </c>
      <c r="AA1028" s="73">
        <v>1108</v>
      </c>
      <c r="AB1028" s="73">
        <v>0</v>
      </c>
      <c r="AC1028" s="73">
        <v>0</v>
      </c>
      <c r="AD1028" s="73">
        <v>0</v>
      </c>
      <c r="AE1028" s="73">
        <v>0</v>
      </c>
      <c r="AF1028" s="74">
        <f>tblData[[#This Row],[Gross Sales]]+tblData[[#This Row],[Trade Discounts]]+tblData[[#This Row],[Returns]]</f>
        <v>983</v>
      </c>
      <c r="AG1028" s="74">
        <f>tblData[[#This Row],[Material Cost]]+tblData[[#This Row],[Conversion Cost]]+tblData[[#This Row],[Inbound Freight]]</f>
        <v>-387</v>
      </c>
      <c r="AH1028" s="74">
        <f>tblData[[#This Row],[Net Revenue]]+tblData[[#This Row],[COGS]]</f>
        <v>596</v>
      </c>
      <c r="AI1028" s="74">
        <f>tblData[[#This Row],[Advertising]]+tblData[[#This Row],[Promotions]]</f>
        <v>-115</v>
      </c>
      <c r="AJ1028" s="74">
        <f>tblData[[#This Row],[Outbound Logistics]]+tblData[[#This Row],[Direct Selling]]</f>
        <v>-111</v>
      </c>
      <c r="AK1028" s="74">
        <f>tblData[[#This Row],[Gross Profit]]+tblData[[#This Row],[AP Spend]]+tblData[[#This Row],[Cost to Serve]]</f>
        <v>370</v>
      </c>
    </row>
    <row r="1029" spans="2:37" x14ac:dyDescent="0.25">
      <c r="B1029" s="71" t="s">
        <v>51</v>
      </c>
      <c r="C1029" s="71">
        <v>2026</v>
      </c>
      <c r="D1029" s="71">
        <v>3</v>
      </c>
      <c r="E1029" s="71" t="s">
        <v>46</v>
      </c>
      <c r="F1029" s="71" t="s">
        <v>42</v>
      </c>
      <c r="G1029" s="72">
        <v>129.1</v>
      </c>
      <c r="H1029" s="73">
        <v>773</v>
      </c>
      <c r="I1029" s="73">
        <v>-84</v>
      </c>
      <c r="J1029" s="73">
        <v>-31</v>
      </c>
      <c r="K1029" s="73">
        <v>-248</v>
      </c>
      <c r="L1029" s="73">
        <v>-61</v>
      </c>
      <c r="M1029" s="73">
        <v>-37</v>
      </c>
      <c r="N1029" s="73">
        <v>-14</v>
      </c>
      <c r="O1029" s="73">
        <v>-8</v>
      </c>
      <c r="P1029" s="73">
        <v>-59</v>
      </c>
      <c r="Q1029" s="73">
        <v>-15</v>
      </c>
      <c r="R1029" s="73">
        <v>0</v>
      </c>
      <c r="S1029" s="73">
        <v>0</v>
      </c>
      <c r="T1029" s="73">
        <v>0</v>
      </c>
      <c r="U1029" s="73">
        <v>0</v>
      </c>
      <c r="V1029" s="73">
        <v>0</v>
      </c>
      <c r="W1029" s="73">
        <v>0</v>
      </c>
      <c r="X1029" s="73">
        <v>0</v>
      </c>
      <c r="Y1029" s="73">
        <v>0</v>
      </c>
      <c r="Z1029" s="73">
        <v>538</v>
      </c>
      <c r="AA1029" s="73">
        <v>1286</v>
      </c>
      <c r="AB1029" s="73">
        <v>0</v>
      </c>
      <c r="AC1029" s="73">
        <v>0</v>
      </c>
      <c r="AD1029" s="73">
        <v>0</v>
      </c>
      <c r="AE1029" s="73">
        <v>0</v>
      </c>
      <c r="AF1029" s="74">
        <f>tblData[[#This Row],[Gross Sales]]+tblData[[#This Row],[Trade Discounts]]+tblData[[#This Row],[Returns]]</f>
        <v>658</v>
      </c>
      <c r="AG1029" s="74">
        <f>tblData[[#This Row],[Material Cost]]+tblData[[#This Row],[Conversion Cost]]+tblData[[#This Row],[Inbound Freight]]</f>
        <v>-346</v>
      </c>
      <c r="AH1029" s="74">
        <f>tblData[[#This Row],[Net Revenue]]+tblData[[#This Row],[COGS]]</f>
        <v>312</v>
      </c>
      <c r="AI1029" s="74">
        <f>tblData[[#This Row],[Advertising]]+tblData[[#This Row],[Promotions]]</f>
        <v>-22</v>
      </c>
      <c r="AJ1029" s="74">
        <f>tblData[[#This Row],[Outbound Logistics]]+tblData[[#This Row],[Direct Selling]]</f>
        <v>-74</v>
      </c>
      <c r="AK1029" s="74">
        <f>tblData[[#This Row],[Gross Profit]]+tblData[[#This Row],[AP Spend]]+tblData[[#This Row],[Cost to Serve]]</f>
        <v>216</v>
      </c>
    </row>
    <row r="1030" spans="2:37" x14ac:dyDescent="0.25">
      <c r="B1030" s="71" t="s">
        <v>51</v>
      </c>
      <c r="C1030" s="71">
        <v>2026</v>
      </c>
      <c r="D1030" s="71">
        <v>3</v>
      </c>
      <c r="E1030" s="71" t="s">
        <v>46</v>
      </c>
      <c r="F1030" s="71" t="s">
        <v>43</v>
      </c>
      <c r="G1030" s="72">
        <v>24.7</v>
      </c>
      <c r="H1030" s="73">
        <v>445</v>
      </c>
      <c r="I1030" s="73">
        <v>-48</v>
      </c>
      <c r="J1030" s="73">
        <v>-18</v>
      </c>
      <c r="K1030" s="73">
        <v>-123</v>
      </c>
      <c r="L1030" s="73">
        <v>-30</v>
      </c>
      <c r="M1030" s="73">
        <v>-18</v>
      </c>
      <c r="N1030" s="73">
        <v>-40</v>
      </c>
      <c r="O1030" s="73">
        <v>-23</v>
      </c>
      <c r="P1030" s="73">
        <v>-34</v>
      </c>
      <c r="Q1030" s="73">
        <v>-9</v>
      </c>
      <c r="R1030" s="73">
        <v>0</v>
      </c>
      <c r="S1030" s="73">
        <v>0</v>
      </c>
      <c r="T1030" s="73">
        <v>0</v>
      </c>
      <c r="U1030" s="73">
        <v>0</v>
      </c>
      <c r="V1030" s="73">
        <v>0</v>
      </c>
      <c r="W1030" s="73">
        <v>0</v>
      </c>
      <c r="X1030" s="73">
        <v>0</v>
      </c>
      <c r="Y1030" s="73">
        <v>0</v>
      </c>
      <c r="Z1030" s="73">
        <v>310</v>
      </c>
      <c r="AA1030" s="73">
        <v>646</v>
      </c>
      <c r="AB1030" s="73">
        <v>0</v>
      </c>
      <c r="AC1030" s="73">
        <v>0</v>
      </c>
      <c r="AD1030" s="73">
        <v>0</v>
      </c>
      <c r="AE1030" s="73">
        <v>0</v>
      </c>
      <c r="AF1030" s="74">
        <f>tblData[[#This Row],[Gross Sales]]+tblData[[#This Row],[Trade Discounts]]+tblData[[#This Row],[Returns]]</f>
        <v>379</v>
      </c>
      <c r="AG1030" s="74">
        <f>tblData[[#This Row],[Material Cost]]+tblData[[#This Row],[Conversion Cost]]+tblData[[#This Row],[Inbound Freight]]</f>
        <v>-171</v>
      </c>
      <c r="AH1030" s="74">
        <f>tblData[[#This Row],[Net Revenue]]+tblData[[#This Row],[COGS]]</f>
        <v>208</v>
      </c>
      <c r="AI1030" s="74">
        <f>tblData[[#This Row],[Advertising]]+tblData[[#This Row],[Promotions]]</f>
        <v>-63</v>
      </c>
      <c r="AJ1030" s="74">
        <f>tblData[[#This Row],[Outbound Logistics]]+tblData[[#This Row],[Direct Selling]]</f>
        <v>-43</v>
      </c>
      <c r="AK1030" s="74">
        <f>tblData[[#This Row],[Gross Profit]]+tblData[[#This Row],[AP Spend]]+tblData[[#This Row],[Cost to Serve]]</f>
        <v>102</v>
      </c>
    </row>
    <row r="1031" spans="2:37" x14ac:dyDescent="0.25">
      <c r="B1031" s="71" t="s">
        <v>51</v>
      </c>
      <c r="C1031" s="71">
        <v>2026</v>
      </c>
      <c r="D1031" s="71">
        <v>3</v>
      </c>
      <c r="E1031" s="71" t="s">
        <v>47</v>
      </c>
      <c r="F1031" s="71" t="s">
        <v>38</v>
      </c>
      <c r="G1031" s="72">
        <v>60.9</v>
      </c>
      <c r="H1031" s="73">
        <v>860</v>
      </c>
      <c r="I1031" s="73">
        <v>-26</v>
      </c>
      <c r="J1031" s="73">
        <v>-43</v>
      </c>
      <c r="K1031" s="73">
        <v>-188</v>
      </c>
      <c r="L1031" s="73">
        <v>-46</v>
      </c>
      <c r="M1031" s="73">
        <v>-28</v>
      </c>
      <c r="N1031" s="73">
        <v>-45</v>
      </c>
      <c r="O1031" s="73">
        <v>-26</v>
      </c>
      <c r="P1031" s="73">
        <v>-105</v>
      </c>
      <c r="Q1031" s="73">
        <v>-34</v>
      </c>
      <c r="R1031" s="73">
        <v>0</v>
      </c>
      <c r="S1031" s="73">
        <v>0</v>
      </c>
      <c r="T1031" s="73">
        <v>0</v>
      </c>
      <c r="U1031" s="73">
        <v>0</v>
      </c>
      <c r="V1031" s="73">
        <v>0</v>
      </c>
      <c r="W1031" s="73">
        <v>0</v>
      </c>
      <c r="X1031" s="73">
        <v>0</v>
      </c>
      <c r="Y1031" s="73">
        <v>0</v>
      </c>
      <c r="Z1031" s="73">
        <v>120</v>
      </c>
      <c r="AA1031" s="73">
        <v>788</v>
      </c>
      <c r="AB1031" s="73">
        <v>0</v>
      </c>
      <c r="AC1031" s="73">
        <v>0</v>
      </c>
      <c r="AD1031" s="73">
        <v>0</v>
      </c>
      <c r="AE1031" s="73">
        <v>0</v>
      </c>
      <c r="AF1031" s="74">
        <f>tblData[[#This Row],[Gross Sales]]+tblData[[#This Row],[Trade Discounts]]+tblData[[#This Row],[Returns]]</f>
        <v>791</v>
      </c>
      <c r="AG1031" s="74">
        <f>tblData[[#This Row],[Material Cost]]+tblData[[#This Row],[Conversion Cost]]+tblData[[#This Row],[Inbound Freight]]</f>
        <v>-262</v>
      </c>
      <c r="AH1031" s="74">
        <f>tblData[[#This Row],[Net Revenue]]+tblData[[#This Row],[COGS]]</f>
        <v>529</v>
      </c>
      <c r="AI1031" s="74">
        <f>tblData[[#This Row],[Advertising]]+tblData[[#This Row],[Promotions]]</f>
        <v>-71</v>
      </c>
      <c r="AJ1031" s="74">
        <f>tblData[[#This Row],[Outbound Logistics]]+tblData[[#This Row],[Direct Selling]]</f>
        <v>-139</v>
      </c>
      <c r="AK1031" s="74">
        <f>tblData[[#This Row],[Gross Profit]]+tblData[[#This Row],[AP Spend]]+tblData[[#This Row],[Cost to Serve]]</f>
        <v>319</v>
      </c>
    </row>
    <row r="1032" spans="2:37" x14ac:dyDescent="0.25">
      <c r="B1032" s="71" t="s">
        <v>51</v>
      </c>
      <c r="C1032" s="71">
        <v>2026</v>
      </c>
      <c r="D1032" s="71">
        <v>3</v>
      </c>
      <c r="E1032" s="71" t="s">
        <v>47</v>
      </c>
      <c r="F1032" s="71" t="s">
        <v>39</v>
      </c>
      <c r="G1032" s="72">
        <v>80.2</v>
      </c>
      <c r="H1032" s="73">
        <v>726</v>
      </c>
      <c r="I1032" s="73">
        <v>-22</v>
      </c>
      <c r="J1032" s="73">
        <v>-36</v>
      </c>
      <c r="K1032" s="73">
        <v>-190</v>
      </c>
      <c r="L1032" s="73">
        <v>-47</v>
      </c>
      <c r="M1032" s="73">
        <v>-28</v>
      </c>
      <c r="N1032" s="73">
        <v>-26</v>
      </c>
      <c r="O1032" s="73">
        <v>-15</v>
      </c>
      <c r="P1032" s="73">
        <v>-89</v>
      </c>
      <c r="Q1032" s="73">
        <v>-29</v>
      </c>
      <c r="R1032" s="73">
        <v>0</v>
      </c>
      <c r="S1032" s="73">
        <v>0</v>
      </c>
      <c r="T1032" s="73">
        <v>0</v>
      </c>
      <c r="U1032" s="73">
        <v>0</v>
      </c>
      <c r="V1032" s="73">
        <v>0</v>
      </c>
      <c r="W1032" s="73">
        <v>0</v>
      </c>
      <c r="X1032" s="73">
        <v>0</v>
      </c>
      <c r="Y1032" s="73">
        <v>0</v>
      </c>
      <c r="Z1032" s="73">
        <v>101</v>
      </c>
      <c r="AA1032" s="73">
        <v>677</v>
      </c>
      <c r="AB1032" s="73">
        <v>0</v>
      </c>
      <c r="AC1032" s="73">
        <v>0</v>
      </c>
      <c r="AD1032" s="73">
        <v>0</v>
      </c>
      <c r="AE1032" s="73">
        <v>0</v>
      </c>
      <c r="AF1032" s="74">
        <f>tblData[[#This Row],[Gross Sales]]+tblData[[#This Row],[Trade Discounts]]+tblData[[#This Row],[Returns]]</f>
        <v>668</v>
      </c>
      <c r="AG1032" s="74">
        <f>tblData[[#This Row],[Material Cost]]+tblData[[#This Row],[Conversion Cost]]+tblData[[#This Row],[Inbound Freight]]</f>
        <v>-265</v>
      </c>
      <c r="AH1032" s="74">
        <f>tblData[[#This Row],[Net Revenue]]+tblData[[#This Row],[COGS]]</f>
        <v>403</v>
      </c>
      <c r="AI1032" s="74">
        <f>tblData[[#This Row],[Advertising]]+tblData[[#This Row],[Promotions]]</f>
        <v>-41</v>
      </c>
      <c r="AJ1032" s="74">
        <f>tblData[[#This Row],[Outbound Logistics]]+tblData[[#This Row],[Direct Selling]]</f>
        <v>-118</v>
      </c>
      <c r="AK1032" s="74">
        <f>tblData[[#This Row],[Gross Profit]]+tblData[[#This Row],[AP Spend]]+tblData[[#This Row],[Cost to Serve]]</f>
        <v>244</v>
      </c>
    </row>
    <row r="1033" spans="2:37" x14ac:dyDescent="0.25">
      <c r="B1033" s="71" t="s">
        <v>51</v>
      </c>
      <c r="C1033" s="71">
        <v>2026</v>
      </c>
      <c r="D1033" s="71">
        <v>3</v>
      </c>
      <c r="E1033" s="71" t="s">
        <v>47</v>
      </c>
      <c r="F1033" s="71" t="s">
        <v>40</v>
      </c>
      <c r="G1033" s="72">
        <v>76.2</v>
      </c>
      <c r="H1033" s="73">
        <v>536</v>
      </c>
      <c r="I1033" s="73">
        <v>-16</v>
      </c>
      <c r="J1033" s="73">
        <v>-27</v>
      </c>
      <c r="K1033" s="73">
        <v>-156</v>
      </c>
      <c r="L1033" s="73">
        <v>-39</v>
      </c>
      <c r="M1033" s="73">
        <v>-23</v>
      </c>
      <c r="N1033" s="73">
        <v>-13</v>
      </c>
      <c r="O1033" s="73">
        <v>-7</v>
      </c>
      <c r="P1033" s="73">
        <v>-66</v>
      </c>
      <c r="Q1033" s="73">
        <v>-21</v>
      </c>
      <c r="R1033" s="73">
        <v>0</v>
      </c>
      <c r="S1033" s="73">
        <v>0</v>
      </c>
      <c r="T1033" s="73">
        <v>0</v>
      </c>
      <c r="U1033" s="73">
        <v>0</v>
      </c>
      <c r="V1033" s="73">
        <v>0</v>
      </c>
      <c r="W1033" s="73">
        <v>0</v>
      </c>
      <c r="X1033" s="73">
        <v>0</v>
      </c>
      <c r="Y1033" s="73">
        <v>0</v>
      </c>
      <c r="Z1033" s="73">
        <v>75</v>
      </c>
      <c r="AA1033" s="73">
        <v>521</v>
      </c>
      <c r="AB1033" s="73">
        <v>0</v>
      </c>
      <c r="AC1033" s="73">
        <v>0</v>
      </c>
      <c r="AD1033" s="73">
        <v>0</v>
      </c>
      <c r="AE1033" s="73">
        <v>0</v>
      </c>
      <c r="AF1033" s="74">
        <f>tblData[[#This Row],[Gross Sales]]+tblData[[#This Row],[Trade Discounts]]+tblData[[#This Row],[Returns]]</f>
        <v>493</v>
      </c>
      <c r="AG1033" s="74">
        <f>tblData[[#This Row],[Material Cost]]+tblData[[#This Row],[Conversion Cost]]+tblData[[#This Row],[Inbound Freight]]</f>
        <v>-218</v>
      </c>
      <c r="AH1033" s="74">
        <f>tblData[[#This Row],[Net Revenue]]+tblData[[#This Row],[COGS]]</f>
        <v>275</v>
      </c>
      <c r="AI1033" s="74">
        <f>tblData[[#This Row],[Advertising]]+tblData[[#This Row],[Promotions]]</f>
        <v>-20</v>
      </c>
      <c r="AJ1033" s="74">
        <f>tblData[[#This Row],[Outbound Logistics]]+tblData[[#This Row],[Direct Selling]]</f>
        <v>-87</v>
      </c>
      <c r="AK1033" s="74">
        <f>tblData[[#This Row],[Gross Profit]]+tblData[[#This Row],[AP Spend]]+tblData[[#This Row],[Cost to Serve]]</f>
        <v>168</v>
      </c>
    </row>
    <row r="1034" spans="2:37" x14ac:dyDescent="0.25">
      <c r="B1034" s="71" t="s">
        <v>51</v>
      </c>
      <c r="C1034" s="71">
        <v>2026</v>
      </c>
      <c r="D1034" s="71">
        <v>3</v>
      </c>
      <c r="E1034" s="71" t="s">
        <v>47</v>
      </c>
      <c r="F1034" s="71" t="s">
        <v>41</v>
      </c>
      <c r="G1034" s="72">
        <v>38.5</v>
      </c>
      <c r="H1034" s="73">
        <v>426</v>
      </c>
      <c r="I1034" s="73">
        <v>-13</v>
      </c>
      <c r="J1034" s="73">
        <v>-21</v>
      </c>
      <c r="K1034" s="73">
        <v>-102</v>
      </c>
      <c r="L1034" s="73">
        <v>-25</v>
      </c>
      <c r="M1034" s="73">
        <v>-15</v>
      </c>
      <c r="N1034" s="73">
        <v>-27</v>
      </c>
      <c r="O1034" s="73">
        <v>-16</v>
      </c>
      <c r="P1034" s="73">
        <v>-52</v>
      </c>
      <c r="Q1034" s="73">
        <v>-17</v>
      </c>
      <c r="R1034" s="73">
        <v>0</v>
      </c>
      <c r="S1034" s="73">
        <v>0</v>
      </c>
      <c r="T1034" s="73">
        <v>0</v>
      </c>
      <c r="U1034" s="73">
        <v>0</v>
      </c>
      <c r="V1034" s="73">
        <v>0</v>
      </c>
      <c r="W1034" s="73">
        <v>0</v>
      </c>
      <c r="X1034" s="73">
        <v>0</v>
      </c>
      <c r="Y1034" s="73">
        <v>0</v>
      </c>
      <c r="Z1034" s="73">
        <v>60</v>
      </c>
      <c r="AA1034" s="73">
        <v>408</v>
      </c>
      <c r="AB1034" s="73">
        <v>0</v>
      </c>
      <c r="AC1034" s="73">
        <v>0</v>
      </c>
      <c r="AD1034" s="73">
        <v>0</v>
      </c>
      <c r="AE1034" s="73">
        <v>0</v>
      </c>
      <c r="AF1034" s="74">
        <f>tblData[[#This Row],[Gross Sales]]+tblData[[#This Row],[Trade Discounts]]+tblData[[#This Row],[Returns]]</f>
        <v>392</v>
      </c>
      <c r="AG1034" s="74">
        <f>tblData[[#This Row],[Material Cost]]+tblData[[#This Row],[Conversion Cost]]+tblData[[#This Row],[Inbound Freight]]</f>
        <v>-142</v>
      </c>
      <c r="AH1034" s="74">
        <f>tblData[[#This Row],[Net Revenue]]+tblData[[#This Row],[COGS]]</f>
        <v>250</v>
      </c>
      <c r="AI1034" s="74">
        <f>tblData[[#This Row],[Advertising]]+tblData[[#This Row],[Promotions]]</f>
        <v>-43</v>
      </c>
      <c r="AJ1034" s="74">
        <f>tblData[[#This Row],[Outbound Logistics]]+tblData[[#This Row],[Direct Selling]]</f>
        <v>-69</v>
      </c>
      <c r="AK1034" s="74">
        <f>tblData[[#This Row],[Gross Profit]]+tblData[[#This Row],[AP Spend]]+tblData[[#This Row],[Cost to Serve]]</f>
        <v>138</v>
      </c>
    </row>
    <row r="1035" spans="2:37" x14ac:dyDescent="0.25">
      <c r="B1035" s="71" t="s">
        <v>51</v>
      </c>
      <c r="C1035" s="71">
        <v>2026</v>
      </c>
      <c r="D1035" s="71">
        <v>3</v>
      </c>
      <c r="E1035" s="71" t="s">
        <v>47</v>
      </c>
      <c r="F1035" s="71" t="s">
        <v>42</v>
      </c>
      <c r="G1035" s="72">
        <v>47.5</v>
      </c>
      <c r="H1035" s="73">
        <v>285</v>
      </c>
      <c r="I1035" s="73">
        <v>-9</v>
      </c>
      <c r="J1035" s="73">
        <v>-14</v>
      </c>
      <c r="K1035" s="73">
        <v>-91</v>
      </c>
      <c r="L1035" s="73">
        <v>-23</v>
      </c>
      <c r="M1035" s="73">
        <v>-14</v>
      </c>
      <c r="N1035" s="73">
        <v>-5</v>
      </c>
      <c r="O1035" s="73">
        <v>-3</v>
      </c>
      <c r="P1035" s="73">
        <v>-35</v>
      </c>
      <c r="Q1035" s="73">
        <v>-11</v>
      </c>
      <c r="R1035" s="73">
        <v>0</v>
      </c>
      <c r="S1035" s="73">
        <v>0</v>
      </c>
      <c r="T1035" s="73">
        <v>0</v>
      </c>
      <c r="U1035" s="73">
        <v>0</v>
      </c>
      <c r="V1035" s="73">
        <v>0</v>
      </c>
      <c r="W1035" s="73">
        <v>0</v>
      </c>
      <c r="X1035" s="73">
        <v>0</v>
      </c>
      <c r="Y1035" s="73">
        <v>0</v>
      </c>
      <c r="Z1035" s="73">
        <v>40</v>
      </c>
      <c r="AA1035" s="73">
        <v>474</v>
      </c>
      <c r="AB1035" s="73">
        <v>0</v>
      </c>
      <c r="AC1035" s="73">
        <v>0</v>
      </c>
      <c r="AD1035" s="73">
        <v>0</v>
      </c>
      <c r="AE1035" s="73">
        <v>0</v>
      </c>
      <c r="AF1035" s="74">
        <f>tblData[[#This Row],[Gross Sales]]+tblData[[#This Row],[Trade Discounts]]+tblData[[#This Row],[Returns]]</f>
        <v>262</v>
      </c>
      <c r="AG1035" s="74">
        <f>tblData[[#This Row],[Material Cost]]+tblData[[#This Row],[Conversion Cost]]+tblData[[#This Row],[Inbound Freight]]</f>
        <v>-128</v>
      </c>
      <c r="AH1035" s="74">
        <f>tblData[[#This Row],[Net Revenue]]+tblData[[#This Row],[COGS]]</f>
        <v>134</v>
      </c>
      <c r="AI1035" s="74">
        <f>tblData[[#This Row],[Advertising]]+tblData[[#This Row],[Promotions]]</f>
        <v>-8</v>
      </c>
      <c r="AJ1035" s="74">
        <f>tblData[[#This Row],[Outbound Logistics]]+tblData[[#This Row],[Direct Selling]]</f>
        <v>-46</v>
      </c>
      <c r="AK1035" s="74">
        <f>tblData[[#This Row],[Gross Profit]]+tblData[[#This Row],[AP Spend]]+tblData[[#This Row],[Cost to Serve]]</f>
        <v>80</v>
      </c>
    </row>
    <row r="1036" spans="2:37" x14ac:dyDescent="0.25">
      <c r="B1036" s="71" t="s">
        <v>51</v>
      </c>
      <c r="C1036" s="71">
        <v>2026</v>
      </c>
      <c r="D1036" s="71">
        <v>3</v>
      </c>
      <c r="E1036" s="71" t="s">
        <v>47</v>
      </c>
      <c r="F1036" s="71" t="s">
        <v>43</v>
      </c>
      <c r="G1036" s="72">
        <v>9.1</v>
      </c>
      <c r="H1036" s="73">
        <v>164</v>
      </c>
      <c r="I1036" s="73">
        <v>-5</v>
      </c>
      <c r="J1036" s="73">
        <v>-8</v>
      </c>
      <c r="K1036" s="73">
        <v>-45</v>
      </c>
      <c r="L1036" s="73">
        <v>-11</v>
      </c>
      <c r="M1036" s="73">
        <v>-7</v>
      </c>
      <c r="N1036" s="73">
        <v>-15</v>
      </c>
      <c r="O1036" s="73">
        <v>-9</v>
      </c>
      <c r="P1036" s="73">
        <v>-20</v>
      </c>
      <c r="Q1036" s="73">
        <v>-7</v>
      </c>
      <c r="R1036" s="73">
        <v>0</v>
      </c>
      <c r="S1036" s="73">
        <v>0</v>
      </c>
      <c r="T1036" s="73">
        <v>0</v>
      </c>
      <c r="U1036" s="73">
        <v>0</v>
      </c>
      <c r="V1036" s="73">
        <v>0</v>
      </c>
      <c r="W1036" s="73">
        <v>0</v>
      </c>
      <c r="X1036" s="73">
        <v>0</v>
      </c>
      <c r="Y1036" s="73">
        <v>0</v>
      </c>
      <c r="Z1036" s="73">
        <v>23</v>
      </c>
      <c r="AA1036" s="73">
        <v>238</v>
      </c>
      <c r="AB1036" s="73">
        <v>0</v>
      </c>
      <c r="AC1036" s="73">
        <v>0</v>
      </c>
      <c r="AD1036" s="73">
        <v>0</v>
      </c>
      <c r="AE1036" s="73">
        <v>0</v>
      </c>
      <c r="AF1036" s="74">
        <f>tblData[[#This Row],[Gross Sales]]+tblData[[#This Row],[Trade Discounts]]+tblData[[#This Row],[Returns]]</f>
        <v>151</v>
      </c>
      <c r="AG1036" s="74">
        <f>tblData[[#This Row],[Material Cost]]+tblData[[#This Row],[Conversion Cost]]+tblData[[#This Row],[Inbound Freight]]</f>
        <v>-63</v>
      </c>
      <c r="AH1036" s="74">
        <f>tblData[[#This Row],[Net Revenue]]+tblData[[#This Row],[COGS]]</f>
        <v>88</v>
      </c>
      <c r="AI1036" s="74">
        <f>tblData[[#This Row],[Advertising]]+tblData[[#This Row],[Promotions]]</f>
        <v>-24</v>
      </c>
      <c r="AJ1036" s="74">
        <f>tblData[[#This Row],[Outbound Logistics]]+tblData[[#This Row],[Direct Selling]]</f>
        <v>-27</v>
      </c>
      <c r="AK1036" s="74">
        <f>tblData[[#This Row],[Gross Profit]]+tblData[[#This Row],[AP Spend]]+tblData[[#This Row],[Cost to Serve]]</f>
        <v>37</v>
      </c>
    </row>
    <row r="1037" spans="2:37" x14ac:dyDescent="0.25">
      <c r="B1037" s="71" t="s">
        <v>51</v>
      </c>
      <c r="C1037" s="71">
        <v>2026</v>
      </c>
      <c r="D1037" s="71">
        <v>3</v>
      </c>
      <c r="E1037" s="71" t="s">
        <v>48</v>
      </c>
      <c r="F1037" s="71" t="s">
        <v>38</v>
      </c>
      <c r="G1037" s="72">
        <v>98.5</v>
      </c>
      <c r="H1037" s="73">
        <v>1384</v>
      </c>
      <c r="I1037" s="73">
        <v>-125</v>
      </c>
      <c r="J1037" s="73">
        <v>-14</v>
      </c>
      <c r="K1037" s="73">
        <v>-302</v>
      </c>
      <c r="L1037" s="73">
        <v>-75</v>
      </c>
      <c r="M1037" s="73">
        <v>-45</v>
      </c>
      <c r="N1037" s="73">
        <v>-74</v>
      </c>
      <c r="O1037" s="73">
        <v>-43</v>
      </c>
      <c r="P1037" s="73">
        <v>-42</v>
      </c>
      <c r="Q1037" s="73">
        <v>-21</v>
      </c>
      <c r="R1037" s="73">
        <v>0</v>
      </c>
      <c r="S1037" s="73">
        <v>0</v>
      </c>
      <c r="T1037" s="73">
        <v>0</v>
      </c>
      <c r="U1037" s="73">
        <v>0</v>
      </c>
      <c r="V1037" s="73">
        <v>0</v>
      </c>
      <c r="W1037" s="73">
        <v>0</v>
      </c>
      <c r="X1037" s="73">
        <v>0</v>
      </c>
      <c r="Y1037" s="73">
        <v>0</v>
      </c>
      <c r="Z1037" s="73">
        <v>2717</v>
      </c>
      <c r="AA1037" s="73">
        <v>1266</v>
      </c>
      <c r="AB1037" s="73">
        <v>0</v>
      </c>
      <c r="AC1037" s="73">
        <v>0</v>
      </c>
      <c r="AD1037" s="73">
        <v>0</v>
      </c>
      <c r="AE1037" s="73">
        <v>0</v>
      </c>
      <c r="AF1037" s="74">
        <f>tblData[[#This Row],[Gross Sales]]+tblData[[#This Row],[Trade Discounts]]+tblData[[#This Row],[Returns]]</f>
        <v>1245</v>
      </c>
      <c r="AG1037" s="74">
        <f>tblData[[#This Row],[Material Cost]]+tblData[[#This Row],[Conversion Cost]]+tblData[[#This Row],[Inbound Freight]]</f>
        <v>-422</v>
      </c>
      <c r="AH1037" s="74">
        <f>tblData[[#This Row],[Net Revenue]]+tblData[[#This Row],[COGS]]</f>
        <v>823</v>
      </c>
      <c r="AI1037" s="74">
        <f>tblData[[#This Row],[Advertising]]+tblData[[#This Row],[Promotions]]</f>
        <v>-117</v>
      </c>
      <c r="AJ1037" s="74">
        <f>tblData[[#This Row],[Outbound Logistics]]+tblData[[#This Row],[Direct Selling]]</f>
        <v>-63</v>
      </c>
      <c r="AK1037" s="74">
        <f>tblData[[#This Row],[Gross Profit]]+tblData[[#This Row],[AP Spend]]+tblData[[#This Row],[Cost to Serve]]</f>
        <v>643</v>
      </c>
    </row>
    <row r="1038" spans="2:37" x14ac:dyDescent="0.25">
      <c r="B1038" s="71" t="s">
        <v>51</v>
      </c>
      <c r="C1038" s="71">
        <v>2026</v>
      </c>
      <c r="D1038" s="71">
        <v>3</v>
      </c>
      <c r="E1038" s="71" t="s">
        <v>48</v>
      </c>
      <c r="F1038" s="71" t="s">
        <v>39</v>
      </c>
      <c r="G1038" s="72">
        <v>129.30000000000001</v>
      </c>
      <c r="H1038" s="73">
        <v>1165</v>
      </c>
      <c r="I1038" s="73">
        <v>-105</v>
      </c>
      <c r="J1038" s="73">
        <v>-12</v>
      </c>
      <c r="K1038" s="73">
        <v>-305</v>
      </c>
      <c r="L1038" s="73">
        <v>-76</v>
      </c>
      <c r="M1038" s="73">
        <v>-46</v>
      </c>
      <c r="N1038" s="73">
        <v>-43</v>
      </c>
      <c r="O1038" s="73">
        <v>-24</v>
      </c>
      <c r="P1038" s="73">
        <v>-36</v>
      </c>
      <c r="Q1038" s="73">
        <v>-17</v>
      </c>
      <c r="R1038" s="73">
        <v>0</v>
      </c>
      <c r="S1038" s="73">
        <v>0</v>
      </c>
      <c r="T1038" s="73">
        <v>0</v>
      </c>
      <c r="U1038" s="73">
        <v>0</v>
      </c>
      <c r="V1038" s="73">
        <v>0</v>
      </c>
      <c r="W1038" s="73">
        <v>0</v>
      </c>
      <c r="X1038" s="73">
        <v>0</v>
      </c>
      <c r="Y1038" s="73">
        <v>0</v>
      </c>
      <c r="Z1038" s="73">
        <v>2284</v>
      </c>
      <c r="AA1038" s="73">
        <v>1084</v>
      </c>
      <c r="AB1038" s="73">
        <v>0</v>
      </c>
      <c r="AC1038" s="73">
        <v>0</v>
      </c>
      <c r="AD1038" s="73">
        <v>0</v>
      </c>
      <c r="AE1038" s="73">
        <v>0</v>
      </c>
      <c r="AF1038" s="74">
        <f>tblData[[#This Row],[Gross Sales]]+tblData[[#This Row],[Trade Discounts]]+tblData[[#This Row],[Returns]]</f>
        <v>1048</v>
      </c>
      <c r="AG1038" s="74">
        <f>tblData[[#This Row],[Material Cost]]+tblData[[#This Row],[Conversion Cost]]+tblData[[#This Row],[Inbound Freight]]</f>
        <v>-427</v>
      </c>
      <c r="AH1038" s="74">
        <f>tblData[[#This Row],[Net Revenue]]+tblData[[#This Row],[COGS]]</f>
        <v>621</v>
      </c>
      <c r="AI1038" s="74">
        <f>tblData[[#This Row],[Advertising]]+tblData[[#This Row],[Promotions]]</f>
        <v>-67</v>
      </c>
      <c r="AJ1038" s="74">
        <f>tblData[[#This Row],[Outbound Logistics]]+tblData[[#This Row],[Direct Selling]]</f>
        <v>-53</v>
      </c>
      <c r="AK1038" s="74">
        <f>tblData[[#This Row],[Gross Profit]]+tblData[[#This Row],[AP Spend]]+tblData[[#This Row],[Cost to Serve]]</f>
        <v>501</v>
      </c>
    </row>
    <row r="1039" spans="2:37" x14ac:dyDescent="0.25">
      <c r="B1039" s="71" t="s">
        <v>51</v>
      </c>
      <c r="C1039" s="71">
        <v>2026</v>
      </c>
      <c r="D1039" s="71">
        <v>3</v>
      </c>
      <c r="E1039" s="71" t="s">
        <v>48</v>
      </c>
      <c r="F1039" s="71" t="s">
        <v>40</v>
      </c>
      <c r="G1039" s="72">
        <v>122.9</v>
      </c>
      <c r="H1039" s="73">
        <v>861</v>
      </c>
      <c r="I1039" s="73">
        <v>-77</v>
      </c>
      <c r="J1039" s="73">
        <v>-9</v>
      </c>
      <c r="K1039" s="73">
        <v>-251</v>
      </c>
      <c r="L1039" s="73">
        <v>-62</v>
      </c>
      <c r="M1039" s="73">
        <v>-37</v>
      </c>
      <c r="N1039" s="73">
        <v>-21</v>
      </c>
      <c r="O1039" s="73">
        <v>-12</v>
      </c>
      <c r="P1039" s="73">
        <v>-26</v>
      </c>
      <c r="Q1039" s="73">
        <v>-13</v>
      </c>
      <c r="R1039" s="73">
        <v>0</v>
      </c>
      <c r="S1039" s="73">
        <v>0</v>
      </c>
      <c r="T1039" s="73">
        <v>0</v>
      </c>
      <c r="U1039" s="73">
        <v>0</v>
      </c>
      <c r="V1039" s="73">
        <v>0</v>
      </c>
      <c r="W1039" s="73">
        <v>0</v>
      </c>
      <c r="X1039" s="73">
        <v>0</v>
      </c>
      <c r="Y1039" s="73">
        <v>0</v>
      </c>
      <c r="Z1039" s="73">
        <v>1690</v>
      </c>
      <c r="AA1039" s="73">
        <v>838</v>
      </c>
      <c r="AB1039" s="73">
        <v>0</v>
      </c>
      <c r="AC1039" s="73">
        <v>0</v>
      </c>
      <c r="AD1039" s="73">
        <v>0</v>
      </c>
      <c r="AE1039" s="73">
        <v>0</v>
      </c>
      <c r="AF1039" s="74">
        <f>tblData[[#This Row],[Gross Sales]]+tblData[[#This Row],[Trade Discounts]]+tblData[[#This Row],[Returns]]</f>
        <v>775</v>
      </c>
      <c r="AG1039" s="74">
        <f>tblData[[#This Row],[Material Cost]]+tblData[[#This Row],[Conversion Cost]]+tblData[[#This Row],[Inbound Freight]]</f>
        <v>-350</v>
      </c>
      <c r="AH1039" s="74">
        <f>tblData[[#This Row],[Net Revenue]]+tblData[[#This Row],[COGS]]</f>
        <v>425</v>
      </c>
      <c r="AI1039" s="74">
        <f>tblData[[#This Row],[Advertising]]+tblData[[#This Row],[Promotions]]</f>
        <v>-33</v>
      </c>
      <c r="AJ1039" s="74">
        <f>tblData[[#This Row],[Outbound Logistics]]+tblData[[#This Row],[Direct Selling]]</f>
        <v>-39</v>
      </c>
      <c r="AK1039" s="74">
        <f>tblData[[#This Row],[Gross Profit]]+tblData[[#This Row],[AP Spend]]+tblData[[#This Row],[Cost to Serve]]</f>
        <v>353</v>
      </c>
    </row>
    <row r="1040" spans="2:37" x14ac:dyDescent="0.25">
      <c r="B1040" s="71" t="s">
        <v>51</v>
      </c>
      <c r="C1040" s="71">
        <v>2026</v>
      </c>
      <c r="D1040" s="71">
        <v>3</v>
      </c>
      <c r="E1040" s="71" t="s">
        <v>48</v>
      </c>
      <c r="F1040" s="71" t="s">
        <v>41</v>
      </c>
      <c r="G1040" s="72">
        <v>61.9</v>
      </c>
      <c r="H1040" s="73">
        <v>683</v>
      </c>
      <c r="I1040" s="73">
        <v>-61</v>
      </c>
      <c r="J1040" s="73">
        <v>-7</v>
      </c>
      <c r="K1040" s="73">
        <v>-164</v>
      </c>
      <c r="L1040" s="73">
        <v>-41</v>
      </c>
      <c r="M1040" s="73">
        <v>-24</v>
      </c>
      <c r="N1040" s="73">
        <v>-46</v>
      </c>
      <c r="O1040" s="73">
        <v>-26</v>
      </c>
      <c r="P1040" s="73">
        <v>-21</v>
      </c>
      <c r="Q1040" s="73">
        <v>-10</v>
      </c>
      <c r="R1040" s="73">
        <v>0</v>
      </c>
      <c r="S1040" s="73">
        <v>0</v>
      </c>
      <c r="T1040" s="73">
        <v>0</v>
      </c>
      <c r="U1040" s="73">
        <v>0</v>
      </c>
      <c r="V1040" s="73">
        <v>0</v>
      </c>
      <c r="W1040" s="73">
        <v>0</v>
      </c>
      <c r="X1040" s="73">
        <v>0</v>
      </c>
      <c r="Y1040" s="73">
        <v>0</v>
      </c>
      <c r="Z1040" s="73">
        <v>1341</v>
      </c>
      <c r="AA1040" s="73">
        <v>652</v>
      </c>
      <c r="AB1040" s="73">
        <v>0</v>
      </c>
      <c r="AC1040" s="73">
        <v>0</v>
      </c>
      <c r="AD1040" s="73">
        <v>0</v>
      </c>
      <c r="AE1040" s="73">
        <v>0</v>
      </c>
      <c r="AF1040" s="74">
        <f>tblData[[#This Row],[Gross Sales]]+tblData[[#This Row],[Trade Discounts]]+tblData[[#This Row],[Returns]]</f>
        <v>615</v>
      </c>
      <c r="AG1040" s="74">
        <f>tblData[[#This Row],[Material Cost]]+tblData[[#This Row],[Conversion Cost]]+tblData[[#This Row],[Inbound Freight]]</f>
        <v>-229</v>
      </c>
      <c r="AH1040" s="74">
        <f>tblData[[#This Row],[Net Revenue]]+tblData[[#This Row],[COGS]]</f>
        <v>386</v>
      </c>
      <c r="AI1040" s="74">
        <f>tblData[[#This Row],[Advertising]]+tblData[[#This Row],[Promotions]]</f>
        <v>-72</v>
      </c>
      <c r="AJ1040" s="74">
        <f>tblData[[#This Row],[Outbound Logistics]]+tblData[[#This Row],[Direct Selling]]</f>
        <v>-31</v>
      </c>
      <c r="AK1040" s="74">
        <f>tblData[[#This Row],[Gross Profit]]+tblData[[#This Row],[AP Spend]]+tblData[[#This Row],[Cost to Serve]]</f>
        <v>283</v>
      </c>
    </row>
    <row r="1041" spans="2:37" x14ac:dyDescent="0.25">
      <c r="B1041" s="71" t="s">
        <v>51</v>
      </c>
      <c r="C1041" s="71">
        <v>2026</v>
      </c>
      <c r="D1041" s="71">
        <v>3</v>
      </c>
      <c r="E1041" s="71" t="s">
        <v>48</v>
      </c>
      <c r="F1041" s="71" t="s">
        <v>42</v>
      </c>
      <c r="G1041" s="72">
        <v>76.5</v>
      </c>
      <c r="H1041" s="73">
        <v>458</v>
      </c>
      <c r="I1041" s="73">
        <v>-41</v>
      </c>
      <c r="J1041" s="73">
        <v>-5</v>
      </c>
      <c r="K1041" s="73">
        <v>-147</v>
      </c>
      <c r="L1041" s="73">
        <v>-36</v>
      </c>
      <c r="M1041" s="73">
        <v>-22</v>
      </c>
      <c r="N1041" s="73">
        <v>-9</v>
      </c>
      <c r="O1041" s="73">
        <v>-5</v>
      </c>
      <c r="P1041" s="73">
        <v>-14</v>
      </c>
      <c r="Q1041" s="73">
        <v>-7</v>
      </c>
      <c r="R1041" s="73">
        <v>0</v>
      </c>
      <c r="S1041" s="73">
        <v>0</v>
      </c>
      <c r="T1041" s="73">
        <v>0</v>
      </c>
      <c r="U1041" s="73">
        <v>0</v>
      </c>
      <c r="V1041" s="73">
        <v>0</v>
      </c>
      <c r="W1041" s="73">
        <v>0</v>
      </c>
      <c r="X1041" s="73">
        <v>0</v>
      </c>
      <c r="Y1041" s="73">
        <v>0</v>
      </c>
      <c r="Z1041" s="73">
        <v>896</v>
      </c>
      <c r="AA1041" s="73">
        <v>761</v>
      </c>
      <c r="AB1041" s="73">
        <v>0</v>
      </c>
      <c r="AC1041" s="73">
        <v>0</v>
      </c>
      <c r="AD1041" s="73">
        <v>0</v>
      </c>
      <c r="AE1041" s="73">
        <v>0</v>
      </c>
      <c r="AF1041" s="74">
        <f>tblData[[#This Row],[Gross Sales]]+tblData[[#This Row],[Trade Discounts]]+tblData[[#This Row],[Returns]]</f>
        <v>412</v>
      </c>
      <c r="AG1041" s="74">
        <f>tblData[[#This Row],[Material Cost]]+tblData[[#This Row],[Conversion Cost]]+tblData[[#This Row],[Inbound Freight]]</f>
        <v>-205</v>
      </c>
      <c r="AH1041" s="74">
        <f>tblData[[#This Row],[Net Revenue]]+tblData[[#This Row],[COGS]]</f>
        <v>207</v>
      </c>
      <c r="AI1041" s="74">
        <f>tblData[[#This Row],[Advertising]]+tblData[[#This Row],[Promotions]]</f>
        <v>-14</v>
      </c>
      <c r="AJ1041" s="74">
        <f>tblData[[#This Row],[Outbound Logistics]]+tblData[[#This Row],[Direct Selling]]</f>
        <v>-21</v>
      </c>
      <c r="AK1041" s="74">
        <f>tblData[[#This Row],[Gross Profit]]+tblData[[#This Row],[AP Spend]]+tblData[[#This Row],[Cost to Serve]]</f>
        <v>172</v>
      </c>
    </row>
    <row r="1042" spans="2:37" x14ac:dyDescent="0.25">
      <c r="B1042" s="71" t="s">
        <v>51</v>
      </c>
      <c r="C1042" s="71">
        <v>2026</v>
      </c>
      <c r="D1042" s="71">
        <v>3</v>
      </c>
      <c r="E1042" s="71" t="s">
        <v>48</v>
      </c>
      <c r="F1042" s="71" t="s">
        <v>43</v>
      </c>
      <c r="G1042" s="72">
        <v>14.7</v>
      </c>
      <c r="H1042" s="73">
        <v>264</v>
      </c>
      <c r="I1042" s="73">
        <v>-24</v>
      </c>
      <c r="J1042" s="73">
        <v>-3</v>
      </c>
      <c r="K1042" s="73">
        <v>-73</v>
      </c>
      <c r="L1042" s="73">
        <v>-18</v>
      </c>
      <c r="M1042" s="73">
        <v>-11</v>
      </c>
      <c r="N1042" s="73">
        <v>-25</v>
      </c>
      <c r="O1042" s="73">
        <v>-14</v>
      </c>
      <c r="P1042" s="73">
        <v>-8</v>
      </c>
      <c r="Q1042" s="73">
        <v>-4</v>
      </c>
      <c r="R1042" s="73">
        <v>0</v>
      </c>
      <c r="S1042" s="73">
        <v>0</v>
      </c>
      <c r="T1042" s="73">
        <v>0</v>
      </c>
      <c r="U1042" s="73">
        <v>0</v>
      </c>
      <c r="V1042" s="73">
        <v>0</v>
      </c>
      <c r="W1042" s="73">
        <v>0</v>
      </c>
      <c r="X1042" s="73">
        <v>0</v>
      </c>
      <c r="Y1042" s="73">
        <v>0</v>
      </c>
      <c r="Z1042" s="73">
        <v>520</v>
      </c>
      <c r="AA1042" s="73">
        <v>384</v>
      </c>
      <c r="AB1042" s="73">
        <v>0</v>
      </c>
      <c r="AC1042" s="73">
        <v>0</v>
      </c>
      <c r="AD1042" s="73">
        <v>0</v>
      </c>
      <c r="AE1042" s="73">
        <v>0</v>
      </c>
      <c r="AF1042" s="74">
        <f>tblData[[#This Row],[Gross Sales]]+tblData[[#This Row],[Trade Discounts]]+tblData[[#This Row],[Returns]]</f>
        <v>237</v>
      </c>
      <c r="AG1042" s="74">
        <f>tblData[[#This Row],[Material Cost]]+tblData[[#This Row],[Conversion Cost]]+tblData[[#This Row],[Inbound Freight]]</f>
        <v>-102</v>
      </c>
      <c r="AH1042" s="74">
        <f>tblData[[#This Row],[Net Revenue]]+tblData[[#This Row],[COGS]]</f>
        <v>135</v>
      </c>
      <c r="AI1042" s="74">
        <f>tblData[[#This Row],[Advertising]]+tblData[[#This Row],[Promotions]]</f>
        <v>-39</v>
      </c>
      <c r="AJ1042" s="74">
        <f>tblData[[#This Row],[Outbound Logistics]]+tblData[[#This Row],[Direct Selling]]</f>
        <v>-12</v>
      </c>
      <c r="AK1042" s="74">
        <f>tblData[[#This Row],[Gross Profit]]+tblData[[#This Row],[AP Spend]]+tblData[[#This Row],[Cost to Serve]]</f>
        <v>84</v>
      </c>
    </row>
    <row r="1043" spans="2:37" x14ac:dyDescent="0.25">
      <c r="B1043" s="71" t="s">
        <v>51</v>
      </c>
      <c r="C1043" s="71">
        <v>2026</v>
      </c>
      <c r="D1043" s="71">
        <v>3</v>
      </c>
      <c r="E1043" s="71" t="s">
        <v>49</v>
      </c>
      <c r="F1043" s="71" t="s">
        <v>49</v>
      </c>
      <c r="G1043" s="72">
        <v>0</v>
      </c>
      <c r="H1043" s="73">
        <v>0</v>
      </c>
      <c r="I1043" s="73">
        <v>0</v>
      </c>
      <c r="J1043" s="73">
        <v>0</v>
      </c>
      <c r="K1043" s="73">
        <v>0</v>
      </c>
      <c r="L1043" s="73">
        <v>0</v>
      </c>
      <c r="M1043" s="73">
        <v>0</v>
      </c>
      <c r="N1043" s="73">
        <v>0</v>
      </c>
      <c r="O1043" s="73">
        <v>0</v>
      </c>
      <c r="P1043" s="73">
        <v>0</v>
      </c>
      <c r="Q1043" s="73">
        <v>0</v>
      </c>
      <c r="R1043" s="73">
        <v>-4253</v>
      </c>
      <c r="S1043" s="73">
        <v>-1004</v>
      </c>
      <c r="T1043" s="73">
        <v>-1288</v>
      </c>
      <c r="U1043" s="73">
        <v>-1094</v>
      </c>
      <c r="V1043" s="73">
        <v>-1480</v>
      </c>
      <c r="W1043" s="73">
        <v>-712</v>
      </c>
      <c r="X1043" s="73">
        <v>-1336</v>
      </c>
      <c r="Y1043" s="73">
        <v>-1288</v>
      </c>
      <c r="Z1043" s="73">
        <v>0</v>
      </c>
      <c r="AA1043" s="73">
        <v>0</v>
      </c>
      <c r="AB1043" s="73">
        <v>32011</v>
      </c>
      <c r="AC1043" s="73">
        <v>67431</v>
      </c>
      <c r="AD1043" s="73">
        <v>187500</v>
      </c>
      <c r="AE1043" s="73">
        <v>1180</v>
      </c>
      <c r="AF1043" s="74">
        <f>tblData[[#This Row],[Gross Sales]]+tblData[[#This Row],[Trade Discounts]]+tblData[[#This Row],[Returns]]</f>
        <v>0</v>
      </c>
      <c r="AG1043" s="74">
        <f>tblData[[#This Row],[Material Cost]]+tblData[[#This Row],[Conversion Cost]]+tblData[[#This Row],[Inbound Freight]]</f>
        <v>0</v>
      </c>
      <c r="AH1043" s="74">
        <f>tblData[[#This Row],[Net Revenue]]+tblData[[#This Row],[COGS]]</f>
        <v>0</v>
      </c>
      <c r="AI1043" s="74">
        <f>tblData[[#This Row],[Advertising]]+tblData[[#This Row],[Promotions]]</f>
        <v>0</v>
      </c>
      <c r="AJ1043" s="74">
        <f>tblData[[#This Row],[Outbound Logistics]]+tblData[[#This Row],[Direct Selling]]</f>
        <v>0</v>
      </c>
      <c r="AK1043" s="74">
        <f>tblData[[#This Row],[Gross Profit]]+tblData[[#This Row],[AP Spend]]+tblData[[#This Row],[Cost to Serve]]</f>
        <v>0</v>
      </c>
    </row>
    <row r="1044" spans="2:37" x14ac:dyDescent="0.25">
      <c r="B1044" s="71" t="s">
        <v>51</v>
      </c>
      <c r="C1044" s="71">
        <v>2026</v>
      </c>
      <c r="D1044" s="71">
        <v>4</v>
      </c>
      <c r="E1044" s="71" t="s">
        <v>37</v>
      </c>
      <c r="F1044" s="71" t="s">
        <v>38</v>
      </c>
      <c r="G1044" s="72">
        <v>290.7</v>
      </c>
      <c r="H1044" s="73">
        <v>4087</v>
      </c>
      <c r="I1044" s="73">
        <v>-794</v>
      </c>
      <c r="J1044" s="73">
        <v>-61</v>
      </c>
      <c r="K1044" s="73">
        <v>-892</v>
      </c>
      <c r="L1044" s="73">
        <v>-221</v>
      </c>
      <c r="M1044" s="73">
        <v>-133</v>
      </c>
      <c r="N1044" s="73">
        <v>-229</v>
      </c>
      <c r="O1044" s="73">
        <v>-132</v>
      </c>
      <c r="P1044" s="73">
        <v>-167</v>
      </c>
      <c r="Q1044" s="73">
        <v>-123</v>
      </c>
      <c r="R1044" s="73">
        <v>0</v>
      </c>
      <c r="S1044" s="73">
        <v>0</v>
      </c>
      <c r="T1044" s="73">
        <v>0</v>
      </c>
      <c r="U1044" s="73">
        <v>0</v>
      </c>
      <c r="V1044" s="73">
        <v>0</v>
      </c>
      <c r="W1044" s="73">
        <v>0</v>
      </c>
      <c r="X1044" s="73">
        <v>0</v>
      </c>
      <c r="Y1044" s="73">
        <v>0</v>
      </c>
      <c r="Z1044" s="73">
        <v>5782</v>
      </c>
      <c r="AA1044" s="73">
        <v>3873</v>
      </c>
      <c r="AB1044" s="73">
        <v>0</v>
      </c>
      <c r="AC1044" s="73">
        <v>0</v>
      </c>
      <c r="AD1044" s="73">
        <v>0</v>
      </c>
      <c r="AE1044" s="73">
        <v>0</v>
      </c>
      <c r="AF1044" s="74">
        <f>tblData[[#This Row],[Gross Sales]]+tblData[[#This Row],[Trade Discounts]]+tblData[[#This Row],[Returns]]</f>
        <v>3232</v>
      </c>
      <c r="AG1044" s="74">
        <f>tblData[[#This Row],[Material Cost]]+tblData[[#This Row],[Conversion Cost]]+tblData[[#This Row],[Inbound Freight]]</f>
        <v>-1246</v>
      </c>
      <c r="AH1044" s="74">
        <f>tblData[[#This Row],[Net Revenue]]+tblData[[#This Row],[COGS]]</f>
        <v>1986</v>
      </c>
      <c r="AI1044" s="74">
        <f>tblData[[#This Row],[Advertising]]+tblData[[#This Row],[Promotions]]</f>
        <v>-361</v>
      </c>
      <c r="AJ1044" s="74">
        <f>tblData[[#This Row],[Outbound Logistics]]+tblData[[#This Row],[Direct Selling]]</f>
        <v>-290</v>
      </c>
      <c r="AK1044" s="74">
        <f>tblData[[#This Row],[Gross Profit]]+tblData[[#This Row],[AP Spend]]+tblData[[#This Row],[Cost to Serve]]</f>
        <v>1335</v>
      </c>
    </row>
    <row r="1045" spans="2:37" x14ac:dyDescent="0.25">
      <c r="B1045" s="71" t="s">
        <v>51</v>
      </c>
      <c r="C1045" s="71">
        <v>2026</v>
      </c>
      <c r="D1045" s="71">
        <v>4</v>
      </c>
      <c r="E1045" s="71" t="s">
        <v>37</v>
      </c>
      <c r="F1045" s="71" t="s">
        <v>39</v>
      </c>
      <c r="G1045" s="72">
        <v>382.2</v>
      </c>
      <c r="H1045" s="73">
        <v>3445</v>
      </c>
      <c r="I1045" s="73">
        <v>-669</v>
      </c>
      <c r="J1045" s="73">
        <v>-52</v>
      </c>
      <c r="K1045" s="73">
        <v>-903</v>
      </c>
      <c r="L1045" s="73">
        <v>-223</v>
      </c>
      <c r="M1045" s="73">
        <v>-135</v>
      </c>
      <c r="N1045" s="73">
        <v>-131</v>
      </c>
      <c r="O1045" s="73">
        <v>-75</v>
      </c>
      <c r="P1045" s="73">
        <v>-141</v>
      </c>
      <c r="Q1045" s="73">
        <v>-103</v>
      </c>
      <c r="R1045" s="73">
        <v>0</v>
      </c>
      <c r="S1045" s="73">
        <v>0</v>
      </c>
      <c r="T1045" s="73">
        <v>0</v>
      </c>
      <c r="U1045" s="73">
        <v>0</v>
      </c>
      <c r="V1045" s="73">
        <v>0</v>
      </c>
      <c r="W1045" s="73">
        <v>0</v>
      </c>
      <c r="X1045" s="73">
        <v>0</v>
      </c>
      <c r="Y1045" s="73">
        <v>0</v>
      </c>
      <c r="Z1045" s="73">
        <v>4849</v>
      </c>
      <c r="AA1045" s="73">
        <v>3307</v>
      </c>
      <c r="AB1045" s="73">
        <v>0</v>
      </c>
      <c r="AC1045" s="73">
        <v>0</v>
      </c>
      <c r="AD1045" s="73">
        <v>0</v>
      </c>
      <c r="AE1045" s="73">
        <v>0</v>
      </c>
      <c r="AF1045" s="74">
        <f>tblData[[#This Row],[Gross Sales]]+tblData[[#This Row],[Trade Discounts]]+tblData[[#This Row],[Returns]]</f>
        <v>2724</v>
      </c>
      <c r="AG1045" s="74">
        <f>tblData[[#This Row],[Material Cost]]+tblData[[#This Row],[Conversion Cost]]+tblData[[#This Row],[Inbound Freight]]</f>
        <v>-1261</v>
      </c>
      <c r="AH1045" s="74">
        <f>tblData[[#This Row],[Net Revenue]]+tblData[[#This Row],[COGS]]</f>
        <v>1463</v>
      </c>
      <c r="AI1045" s="74">
        <f>tblData[[#This Row],[Advertising]]+tblData[[#This Row],[Promotions]]</f>
        <v>-206</v>
      </c>
      <c r="AJ1045" s="74">
        <f>tblData[[#This Row],[Outbound Logistics]]+tblData[[#This Row],[Direct Selling]]</f>
        <v>-244</v>
      </c>
      <c r="AK1045" s="74">
        <f>tblData[[#This Row],[Gross Profit]]+tblData[[#This Row],[AP Spend]]+tblData[[#This Row],[Cost to Serve]]</f>
        <v>1013</v>
      </c>
    </row>
    <row r="1046" spans="2:37" x14ac:dyDescent="0.25">
      <c r="B1046" s="71" t="s">
        <v>51</v>
      </c>
      <c r="C1046" s="71">
        <v>2026</v>
      </c>
      <c r="D1046" s="71">
        <v>4</v>
      </c>
      <c r="E1046" s="71" t="s">
        <v>37</v>
      </c>
      <c r="F1046" s="71" t="s">
        <v>40</v>
      </c>
      <c r="G1046" s="72">
        <v>364.9</v>
      </c>
      <c r="H1046" s="73">
        <v>2554</v>
      </c>
      <c r="I1046" s="73">
        <v>-496</v>
      </c>
      <c r="J1046" s="73">
        <v>-38</v>
      </c>
      <c r="K1046" s="73">
        <v>-744</v>
      </c>
      <c r="L1046" s="73">
        <v>-184</v>
      </c>
      <c r="M1046" s="73">
        <v>-111</v>
      </c>
      <c r="N1046" s="73">
        <v>-66</v>
      </c>
      <c r="O1046" s="73">
        <v>-38</v>
      </c>
      <c r="P1046" s="73">
        <v>-104</v>
      </c>
      <c r="Q1046" s="73">
        <v>-77</v>
      </c>
      <c r="R1046" s="73">
        <v>0</v>
      </c>
      <c r="S1046" s="73">
        <v>0</v>
      </c>
      <c r="T1046" s="73">
        <v>0</v>
      </c>
      <c r="U1046" s="73">
        <v>0</v>
      </c>
      <c r="V1046" s="73">
        <v>0</v>
      </c>
      <c r="W1046" s="73">
        <v>0</v>
      </c>
      <c r="X1046" s="73">
        <v>0</v>
      </c>
      <c r="Y1046" s="73">
        <v>0</v>
      </c>
      <c r="Z1046" s="73">
        <v>3589</v>
      </c>
      <c r="AA1046" s="73">
        <v>2558</v>
      </c>
      <c r="AB1046" s="73">
        <v>0</v>
      </c>
      <c r="AC1046" s="73">
        <v>0</v>
      </c>
      <c r="AD1046" s="73">
        <v>0</v>
      </c>
      <c r="AE1046" s="73">
        <v>0</v>
      </c>
      <c r="AF1046" s="74">
        <f>tblData[[#This Row],[Gross Sales]]+tblData[[#This Row],[Trade Discounts]]+tblData[[#This Row],[Returns]]</f>
        <v>2020</v>
      </c>
      <c r="AG1046" s="74">
        <f>tblData[[#This Row],[Material Cost]]+tblData[[#This Row],[Conversion Cost]]+tblData[[#This Row],[Inbound Freight]]</f>
        <v>-1039</v>
      </c>
      <c r="AH1046" s="74">
        <f>tblData[[#This Row],[Net Revenue]]+tblData[[#This Row],[COGS]]</f>
        <v>981</v>
      </c>
      <c r="AI1046" s="74">
        <f>tblData[[#This Row],[Advertising]]+tblData[[#This Row],[Promotions]]</f>
        <v>-104</v>
      </c>
      <c r="AJ1046" s="74">
        <f>tblData[[#This Row],[Outbound Logistics]]+tblData[[#This Row],[Direct Selling]]</f>
        <v>-181</v>
      </c>
      <c r="AK1046" s="74">
        <f>tblData[[#This Row],[Gross Profit]]+tblData[[#This Row],[AP Spend]]+tblData[[#This Row],[Cost to Serve]]</f>
        <v>696</v>
      </c>
    </row>
    <row r="1047" spans="2:37" x14ac:dyDescent="0.25">
      <c r="B1047" s="71" t="s">
        <v>51</v>
      </c>
      <c r="C1047" s="71">
        <v>2026</v>
      </c>
      <c r="D1047" s="71">
        <v>4</v>
      </c>
      <c r="E1047" s="71" t="s">
        <v>37</v>
      </c>
      <c r="F1047" s="71" t="s">
        <v>41</v>
      </c>
      <c r="G1047" s="72">
        <v>182.9</v>
      </c>
      <c r="H1047" s="73">
        <v>2016</v>
      </c>
      <c r="I1047" s="73">
        <v>-392</v>
      </c>
      <c r="J1047" s="73">
        <v>-30</v>
      </c>
      <c r="K1047" s="73">
        <v>-484</v>
      </c>
      <c r="L1047" s="73">
        <v>-120</v>
      </c>
      <c r="M1047" s="73">
        <v>-72</v>
      </c>
      <c r="N1047" s="73">
        <v>-140</v>
      </c>
      <c r="O1047" s="73">
        <v>-81</v>
      </c>
      <c r="P1047" s="73">
        <v>-82</v>
      </c>
      <c r="Q1047" s="73">
        <v>-60</v>
      </c>
      <c r="R1047" s="73">
        <v>0</v>
      </c>
      <c r="S1047" s="73">
        <v>0</v>
      </c>
      <c r="T1047" s="73">
        <v>0</v>
      </c>
      <c r="U1047" s="73">
        <v>0</v>
      </c>
      <c r="V1047" s="73">
        <v>0</v>
      </c>
      <c r="W1047" s="73">
        <v>0</v>
      </c>
      <c r="X1047" s="73">
        <v>0</v>
      </c>
      <c r="Y1047" s="73">
        <v>0</v>
      </c>
      <c r="Z1047" s="73">
        <v>2838</v>
      </c>
      <c r="AA1047" s="73">
        <v>1985</v>
      </c>
      <c r="AB1047" s="73">
        <v>0</v>
      </c>
      <c r="AC1047" s="73">
        <v>0</v>
      </c>
      <c r="AD1047" s="73">
        <v>0</v>
      </c>
      <c r="AE1047" s="73">
        <v>0</v>
      </c>
      <c r="AF1047" s="74">
        <f>tblData[[#This Row],[Gross Sales]]+tblData[[#This Row],[Trade Discounts]]+tblData[[#This Row],[Returns]]</f>
        <v>1594</v>
      </c>
      <c r="AG1047" s="74">
        <f>tblData[[#This Row],[Material Cost]]+tblData[[#This Row],[Conversion Cost]]+tblData[[#This Row],[Inbound Freight]]</f>
        <v>-676</v>
      </c>
      <c r="AH1047" s="74">
        <f>tblData[[#This Row],[Net Revenue]]+tblData[[#This Row],[COGS]]</f>
        <v>918</v>
      </c>
      <c r="AI1047" s="74">
        <f>tblData[[#This Row],[Advertising]]+tblData[[#This Row],[Promotions]]</f>
        <v>-221</v>
      </c>
      <c r="AJ1047" s="74">
        <f>tblData[[#This Row],[Outbound Logistics]]+tblData[[#This Row],[Direct Selling]]</f>
        <v>-142</v>
      </c>
      <c r="AK1047" s="74">
        <f>tblData[[#This Row],[Gross Profit]]+tblData[[#This Row],[AP Spend]]+tblData[[#This Row],[Cost to Serve]]</f>
        <v>555</v>
      </c>
    </row>
    <row r="1048" spans="2:37" x14ac:dyDescent="0.25">
      <c r="B1048" s="71" t="s">
        <v>51</v>
      </c>
      <c r="C1048" s="71">
        <v>2026</v>
      </c>
      <c r="D1048" s="71">
        <v>4</v>
      </c>
      <c r="E1048" s="71" t="s">
        <v>37</v>
      </c>
      <c r="F1048" s="71" t="s">
        <v>42</v>
      </c>
      <c r="G1048" s="72">
        <v>226.1</v>
      </c>
      <c r="H1048" s="73">
        <v>1353</v>
      </c>
      <c r="I1048" s="73">
        <v>-263</v>
      </c>
      <c r="J1048" s="73">
        <v>-20</v>
      </c>
      <c r="K1048" s="73">
        <v>-433</v>
      </c>
      <c r="L1048" s="73">
        <v>-107</v>
      </c>
      <c r="M1048" s="73">
        <v>-65</v>
      </c>
      <c r="N1048" s="73">
        <v>-27</v>
      </c>
      <c r="O1048" s="73">
        <v>-16</v>
      </c>
      <c r="P1048" s="73">
        <v>-55</v>
      </c>
      <c r="Q1048" s="73">
        <v>-41</v>
      </c>
      <c r="R1048" s="73">
        <v>0</v>
      </c>
      <c r="S1048" s="73">
        <v>0</v>
      </c>
      <c r="T1048" s="73">
        <v>0</v>
      </c>
      <c r="U1048" s="73">
        <v>0</v>
      </c>
      <c r="V1048" s="73">
        <v>0</v>
      </c>
      <c r="W1048" s="73">
        <v>0</v>
      </c>
      <c r="X1048" s="73">
        <v>0</v>
      </c>
      <c r="Y1048" s="73">
        <v>0</v>
      </c>
      <c r="Z1048" s="73">
        <v>1899</v>
      </c>
      <c r="AA1048" s="73">
        <v>2318</v>
      </c>
      <c r="AB1048" s="73">
        <v>0</v>
      </c>
      <c r="AC1048" s="73">
        <v>0</v>
      </c>
      <c r="AD1048" s="73">
        <v>0</v>
      </c>
      <c r="AE1048" s="73">
        <v>0</v>
      </c>
      <c r="AF1048" s="74">
        <f>tblData[[#This Row],[Gross Sales]]+tblData[[#This Row],[Trade Discounts]]+tblData[[#This Row],[Returns]]</f>
        <v>1070</v>
      </c>
      <c r="AG1048" s="74">
        <f>tblData[[#This Row],[Material Cost]]+tblData[[#This Row],[Conversion Cost]]+tblData[[#This Row],[Inbound Freight]]</f>
        <v>-605</v>
      </c>
      <c r="AH1048" s="74">
        <f>tblData[[#This Row],[Net Revenue]]+tblData[[#This Row],[COGS]]</f>
        <v>465</v>
      </c>
      <c r="AI1048" s="74">
        <f>tblData[[#This Row],[Advertising]]+tblData[[#This Row],[Promotions]]</f>
        <v>-43</v>
      </c>
      <c r="AJ1048" s="74">
        <f>tblData[[#This Row],[Outbound Logistics]]+tblData[[#This Row],[Direct Selling]]</f>
        <v>-96</v>
      </c>
      <c r="AK1048" s="74">
        <f>tblData[[#This Row],[Gross Profit]]+tblData[[#This Row],[AP Spend]]+tblData[[#This Row],[Cost to Serve]]</f>
        <v>326</v>
      </c>
    </row>
    <row r="1049" spans="2:37" x14ac:dyDescent="0.25">
      <c r="B1049" s="71" t="s">
        <v>51</v>
      </c>
      <c r="C1049" s="71">
        <v>2026</v>
      </c>
      <c r="D1049" s="71">
        <v>4</v>
      </c>
      <c r="E1049" s="71" t="s">
        <v>37</v>
      </c>
      <c r="F1049" s="71" t="s">
        <v>43</v>
      </c>
      <c r="G1049" s="72">
        <v>43.7</v>
      </c>
      <c r="H1049" s="73">
        <v>787</v>
      </c>
      <c r="I1049" s="73">
        <v>-153</v>
      </c>
      <c r="J1049" s="73">
        <v>-12</v>
      </c>
      <c r="K1049" s="73">
        <v>-218</v>
      </c>
      <c r="L1049" s="73">
        <v>-54</v>
      </c>
      <c r="M1049" s="73">
        <v>-32</v>
      </c>
      <c r="N1049" s="73">
        <v>-76</v>
      </c>
      <c r="O1049" s="73">
        <v>-44</v>
      </c>
      <c r="P1049" s="73">
        <v>-32</v>
      </c>
      <c r="Q1049" s="73">
        <v>-24</v>
      </c>
      <c r="R1049" s="73">
        <v>0</v>
      </c>
      <c r="S1049" s="73">
        <v>0</v>
      </c>
      <c r="T1049" s="73">
        <v>0</v>
      </c>
      <c r="U1049" s="73">
        <v>0</v>
      </c>
      <c r="V1049" s="73">
        <v>0</v>
      </c>
      <c r="W1049" s="73">
        <v>0</v>
      </c>
      <c r="X1049" s="73">
        <v>0</v>
      </c>
      <c r="Y1049" s="73">
        <v>0</v>
      </c>
      <c r="Z1049" s="73">
        <v>1101</v>
      </c>
      <c r="AA1049" s="73">
        <v>1169</v>
      </c>
      <c r="AB1049" s="73">
        <v>0</v>
      </c>
      <c r="AC1049" s="73">
        <v>0</v>
      </c>
      <c r="AD1049" s="73">
        <v>0</v>
      </c>
      <c r="AE1049" s="73">
        <v>0</v>
      </c>
      <c r="AF1049" s="74">
        <f>tblData[[#This Row],[Gross Sales]]+tblData[[#This Row],[Trade Discounts]]+tblData[[#This Row],[Returns]]</f>
        <v>622</v>
      </c>
      <c r="AG1049" s="74">
        <f>tblData[[#This Row],[Material Cost]]+tblData[[#This Row],[Conversion Cost]]+tblData[[#This Row],[Inbound Freight]]</f>
        <v>-304</v>
      </c>
      <c r="AH1049" s="74">
        <f>tblData[[#This Row],[Net Revenue]]+tblData[[#This Row],[COGS]]</f>
        <v>318</v>
      </c>
      <c r="AI1049" s="74">
        <f>tblData[[#This Row],[Advertising]]+tblData[[#This Row],[Promotions]]</f>
        <v>-120</v>
      </c>
      <c r="AJ1049" s="74">
        <f>tblData[[#This Row],[Outbound Logistics]]+tblData[[#This Row],[Direct Selling]]</f>
        <v>-56</v>
      </c>
      <c r="AK1049" s="74">
        <f>tblData[[#This Row],[Gross Profit]]+tblData[[#This Row],[AP Spend]]+tblData[[#This Row],[Cost to Serve]]</f>
        <v>142</v>
      </c>
    </row>
    <row r="1050" spans="2:37" x14ac:dyDescent="0.25">
      <c r="B1050" s="71" t="s">
        <v>51</v>
      </c>
      <c r="C1050" s="71">
        <v>2026</v>
      </c>
      <c r="D1050" s="71">
        <v>4</v>
      </c>
      <c r="E1050" s="71" t="s">
        <v>44</v>
      </c>
      <c r="F1050" s="71" t="s">
        <v>38</v>
      </c>
      <c r="G1050" s="72">
        <v>242.2</v>
      </c>
      <c r="H1050" s="73">
        <v>3416</v>
      </c>
      <c r="I1050" s="73">
        <v>-551</v>
      </c>
      <c r="J1050" s="73">
        <v>-41</v>
      </c>
      <c r="K1050" s="73">
        <v>-746</v>
      </c>
      <c r="L1050" s="73">
        <v>-184</v>
      </c>
      <c r="M1050" s="73">
        <v>-111</v>
      </c>
      <c r="N1050" s="73">
        <v>-183</v>
      </c>
      <c r="O1050" s="73">
        <v>-106</v>
      </c>
      <c r="P1050" s="73">
        <v>-140</v>
      </c>
      <c r="Q1050" s="73">
        <v>-102</v>
      </c>
      <c r="R1050" s="73">
        <v>0</v>
      </c>
      <c r="S1050" s="73">
        <v>0</v>
      </c>
      <c r="T1050" s="73">
        <v>0</v>
      </c>
      <c r="U1050" s="73">
        <v>0</v>
      </c>
      <c r="V1050" s="73">
        <v>0</v>
      </c>
      <c r="W1050" s="73">
        <v>0</v>
      </c>
      <c r="X1050" s="73">
        <v>0</v>
      </c>
      <c r="Y1050" s="73">
        <v>0</v>
      </c>
      <c r="Z1050" s="73">
        <v>4568</v>
      </c>
      <c r="AA1050" s="73">
        <v>3209</v>
      </c>
      <c r="AB1050" s="73">
        <v>0</v>
      </c>
      <c r="AC1050" s="73">
        <v>0</v>
      </c>
      <c r="AD1050" s="73">
        <v>0</v>
      </c>
      <c r="AE1050" s="73">
        <v>0</v>
      </c>
      <c r="AF1050" s="74">
        <f>tblData[[#This Row],[Gross Sales]]+tblData[[#This Row],[Trade Discounts]]+tblData[[#This Row],[Returns]]</f>
        <v>2824</v>
      </c>
      <c r="AG1050" s="74">
        <f>tblData[[#This Row],[Material Cost]]+tblData[[#This Row],[Conversion Cost]]+tblData[[#This Row],[Inbound Freight]]</f>
        <v>-1041</v>
      </c>
      <c r="AH1050" s="74">
        <f>tblData[[#This Row],[Net Revenue]]+tblData[[#This Row],[COGS]]</f>
        <v>1783</v>
      </c>
      <c r="AI1050" s="74">
        <f>tblData[[#This Row],[Advertising]]+tblData[[#This Row],[Promotions]]</f>
        <v>-289</v>
      </c>
      <c r="AJ1050" s="74">
        <f>tblData[[#This Row],[Outbound Logistics]]+tblData[[#This Row],[Direct Selling]]</f>
        <v>-242</v>
      </c>
      <c r="AK1050" s="74">
        <f>tblData[[#This Row],[Gross Profit]]+tblData[[#This Row],[AP Spend]]+tblData[[#This Row],[Cost to Serve]]</f>
        <v>1252</v>
      </c>
    </row>
    <row r="1051" spans="2:37" x14ac:dyDescent="0.25">
      <c r="B1051" s="71" t="s">
        <v>51</v>
      </c>
      <c r="C1051" s="71">
        <v>2026</v>
      </c>
      <c r="D1051" s="71">
        <v>4</v>
      </c>
      <c r="E1051" s="71" t="s">
        <v>44</v>
      </c>
      <c r="F1051" s="71" t="s">
        <v>39</v>
      </c>
      <c r="G1051" s="72">
        <v>318.39999999999998</v>
      </c>
      <c r="H1051" s="73">
        <v>2878</v>
      </c>
      <c r="I1051" s="73">
        <v>-465</v>
      </c>
      <c r="J1051" s="73">
        <v>-35</v>
      </c>
      <c r="K1051" s="73">
        <v>-754</v>
      </c>
      <c r="L1051" s="73">
        <v>-187</v>
      </c>
      <c r="M1051" s="73">
        <v>-113</v>
      </c>
      <c r="N1051" s="73">
        <v>-105</v>
      </c>
      <c r="O1051" s="73">
        <v>-60</v>
      </c>
      <c r="P1051" s="73">
        <v>-118</v>
      </c>
      <c r="Q1051" s="73">
        <v>-86</v>
      </c>
      <c r="R1051" s="73">
        <v>0</v>
      </c>
      <c r="S1051" s="73">
        <v>0</v>
      </c>
      <c r="T1051" s="73">
        <v>0</v>
      </c>
      <c r="U1051" s="73">
        <v>0</v>
      </c>
      <c r="V1051" s="73">
        <v>0</v>
      </c>
      <c r="W1051" s="73">
        <v>0</v>
      </c>
      <c r="X1051" s="73">
        <v>0</v>
      </c>
      <c r="Y1051" s="73">
        <v>0</v>
      </c>
      <c r="Z1051" s="73">
        <v>3861</v>
      </c>
      <c r="AA1051" s="73">
        <v>2761</v>
      </c>
      <c r="AB1051" s="73">
        <v>0</v>
      </c>
      <c r="AC1051" s="73">
        <v>0</v>
      </c>
      <c r="AD1051" s="73">
        <v>0</v>
      </c>
      <c r="AE1051" s="73">
        <v>0</v>
      </c>
      <c r="AF1051" s="74">
        <f>tblData[[#This Row],[Gross Sales]]+tblData[[#This Row],[Trade Discounts]]+tblData[[#This Row],[Returns]]</f>
        <v>2378</v>
      </c>
      <c r="AG1051" s="74">
        <f>tblData[[#This Row],[Material Cost]]+tblData[[#This Row],[Conversion Cost]]+tblData[[#This Row],[Inbound Freight]]</f>
        <v>-1054</v>
      </c>
      <c r="AH1051" s="74">
        <f>tblData[[#This Row],[Net Revenue]]+tblData[[#This Row],[COGS]]</f>
        <v>1324</v>
      </c>
      <c r="AI1051" s="74">
        <f>tblData[[#This Row],[Advertising]]+tblData[[#This Row],[Promotions]]</f>
        <v>-165</v>
      </c>
      <c r="AJ1051" s="74">
        <f>tblData[[#This Row],[Outbound Logistics]]+tblData[[#This Row],[Direct Selling]]</f>
        <v>-204</v>
      </c>
      <c r="AK1051" s="74">
        <f>tblData[[#This Row],[Gross Profit]]+tblData[[#This Row],[AP Spend]]+tblData[[#This Row],[Cost to Serve]]</f>
        <v>955</v>
      </c>
    </row>
    <row r="1052" spans="2:37" x14ac:dyDescent="0.25">
      <c r="B1052" s="71" t="s">
        <v>51</v>
      </c>
      <c r="C1052" s="71">
        <v>2026</v>
      </c>
      <c r="D1052" s="71">
        <v>4</v>
      </c>
      <c r="E1052" s="71" t="s">
        <v>44</v>
      </c>
      <c r="F1052" s="71" t="s">
        <v>40</v>
      </c>
      <c r="G1052" s="72">
        <v>300</v>
      </c>
      <c r="H1052" s="73">
        <v>2106</v>
      </c>
      <c r="I1052" s="73">
        <v>-340</v>
      </c>
      <c r="J1052" s="73">
        <v>-25</v>
      </c>
      <c r="K1052" s="73">
        <v>-613</v>
      </c>
      <c r="L1052" s="73">
        <v>-152</v>
      </c>
      <c r="M1052" s="73">
        <v>-92</v>
      </c>
      <c r="N1052" s="73">
        <v>-52</v>
      </c>
      <c r="O1052" s="73">
        <v>-30</v>
      </c>
      <c r="P1052" s="73">
        <v>-86</v>
      </c>
      <c r="Q1052" s="73">
        <v>-63</v>
      </c>
      <c r="R1052" s="73">
        <v>0</v>
      </c>
      <c r="S1052" s="73">
        <v>0</v>
      </c>
      <c r="T1052" s="73">
        <v>0</v>
      </c>
      <c r="U1052" s="73">
        <v>0</v>
      </c>
      <c r="V1052" s="73">
        <v>0</v>
      </c>
      <c r="W1052" s="73">
        <v>0</v>
      </c>
      <c r="X1052" s="73">
        <v>0</v>
      </c>
      <c r="Y1052" s="73">
        <v>0</v>
      </c>
      <c r="Z1052" s="73">
        <v>2825</v>
      </c>
      <c r="AA1052" s="73">
        <v>2111</v>
      </c>
      <c r="AB1052" s="73">
        <v>0</v>
      </c>
      <c r="AC1052" s="73">
        <v>0</v>
      </c>
      <c r="AD1052" s="73">
        <v>0</v>
      </c>
      <c r="AE1052" s="73">
        <v>0</v>
      </c>
      <c r="AF1052" s="74">
        <f>tblData[[#This Row],[Gross Sales]]+tblData[[#This Row],[Trade Discounts]]+tblData[[#This Row],[Returns]]</f>
        <v>1741</v>
      </c>
      <c r="AG1052" s="74">
        <f>tblData[[#This Row],[Material Cost]]+tblData[[#This Row],[Conversion Cost]]+tblData[[#This Row],[Inbound Freight]]</f>
        <v>-857</v>
      </c>
      <c r="AH1052" s="74">
        <f>tblData[[#This Row],[Net Revenue]]+tblData[[#This Row],[COGS]]</f>
        <v>884</v>
      </c>
      <c r="AI1052" s="74">
        <f>tblData[[#This Row],[Advertising]]+tblData[[#This Row],[Promotions]]</f>
        <v>-82</v>
      </c>
      <c r="AJ1052" s="74">
        <f>tblData[[#This Row],[Outbound Logistics]]+tblData[[#This Row],[Direct Selling]]</f>
        <v>-149</v>
      </c>
      <c r="AK1052" s="74">
        <f>tblData[[#This Row],[Gross Profit]]+tblData[[#This Row],[AP Spend]]+tblData[[#This Row],[Cost to Serve]]</f>
        <v>653</v>
      </c>
    </row>
    <row r="1053" spans="2:37" x14ac:dyDescent="0.25">
      <c r="B1053" s="71" t="s">
        <v>51</v>
      </c>
      <c r="C1053" s="71">
        <v>2026</v>
      </c>
      <c r="D1053" s="71">
        <v>4</v>
      </c>
      <c r="E1053" s="71" t="s">
        <v>44</v>
      </c>
      <c r="F1053" s="71" t="s">
        <v>41</v>
      </c>
      <c r="G1053" s="72">
        <v>153.5</v>
      </c>
      <c r="H1053" s="73">
        <v>1697</v>
      </c>
      <c r="I1053" s="73">
        <v>-274</v>
      </c>
      <c r="J1053" s="73">
        <v>-20</v>
      </c>
      <c r="K1053" s="73">
        <v>-408</v>
      </c>
      <c r="L1053" s="73">
        <v>-101</v>
      </c>
      <c r="M1053" s="73">
        <v>-61</v>
      </c>
      <c r="N1053" s="73">
        <v>-112</v>
      </c>
      <c r="O1053" s="73">
        <v>-64</v>
      </c>
      <c r="P1053" s="73">
        <v>-69</v>
      </c>
      <c r="Q1053" s="73">
        <v>-51</v>
      </c>
      <c r="R1053" s="73">
        <v>0</v>
      </c>
      <c r="S1053" s="73">
        <v>0</v>
      </c>
      <c r="T1053" s="73">
        <v>0</v>
      </c>
      <c r="U1053" s="73">
        <v>0</v>
      </c>
      <c r="V1053" s="73">
        <v>0</v>
      </c>
      <c r="W1053" s="73">
        <v>0</v>
      </c>
      <c r="X1053" s="73">
        <v>0</v>
      </c>
      <c r="Y1053" s="73">
        <v>0</v>
      </c>
      <c r="Z1053" s="73">
        <v>2266</v>
      </c>
      <c r="AA1053" s="73">
        <v>1662</v>
      </c>
      <c r="AB1053" s="73">
        <v>0</v>
      </c>
      <c r="AC1053" s="73">
        <v>0</v>
      </c>
      <c r="AD1053" s="73">
        <v>0</v>
      </c>
      <c r="AE1053" s="73">
        <v>0</v>
      </c>
      <c r="AF1053" s="74">
        <f>tblData[[#This Row],[Gross Sales]]+tblData[[#This Row],[Trade Discounts]]+tblData[[#This Row],[Returns]]</f>
        <v>1403</v>
      </c>
      <c r="AG1053" s="74">
        <f>tblData[[#This Row],[Material Cost]]+tblData[[#This Row],[Conversion Cost]]+tblData[[#This Row],[Inbound Freight]]</f>
        <v>-570</v>
      </c>
      <c r="AH1053" s="74">
        <f>tblData[[#This Row],[Net Revenue]]+tblData[[#This Row],[COGS]]</f>
        <v>833</v>
      </c>
      <c r="AI1053" s="74">
        <f>tblData[[#This Row],[Advertising]]+tblData[[#This Row],[Promotions]]</f>
        <v>-176</v>
      </c>
      <c r="AJ1053" s="74">
        <f>tblData[[#This Row],[Outbound Logistics]]+tblData[[#This Row],[Direct Selling]]</f>
        <v>-120</v>
      </c>
      <c r="AK1053" s="74">
        <f>tblData[[#This Row],[Gross Profit]]+tblData[[#This Row],[AP Spend]]+tblData[[#This Row],[Cost to Serve]]</f>
        <v>537</v>
      </c>
    </row>
    <row r="1054" spans="2:37" x14ac:dyDescent="0.25">
      <c r="B1054" s="71" t="s">
        <v>51</v>
      </c>
      <c r="C1054" s="71">
        <v>2026</v>
      </c>
      <c r="D1054" s="71">
        <v>4</v>
      </c>
      <c r="E1054" s="71" t="s">
        <v>44</v>
      </c>
      <c r="F1054" s="71" t="s">
        <v>42</v>
      </c>
      <c r="G1054" s="72">
        <v>188.4</v>
      </c>
      <c r="H1054" s="73">
        <v>1130</v>
      </c>
      <c r="I1054" s="73">
        <v>-182</v>
      </c>
      <c r="J1054" s="73">
        <v>-14</v>
      </c>
      <c r="K1054" s="73">
        <v>-362</v>
      </c>
      <c r="L1054" s="73">
        <v>-90</v>
      </c>
      <c r="M1054" s="73">
        <v>-54</v>
      </c>
      <c r="N1054" s="73">
        <v>-22</v>
      </c>
      <c r="O1054" s="73">
        <v>-13</v>
      </c>
      <c r="P1054" s="73">
        <v>-46</v>
      </c>
      <c r="Q1054" s="73">
        <v>-34</v>
      </c>
      <c r="R1054" s="73">
        <v>0</v>
      </c>
      <c r="S1054" s="73">
        <v>0</v>
      </c>
      <c r="T1054" s="73">
        <v>0</v>
      </c>
      <c r="U1054" s="73">
        <v>0</v>
      </c>
      <c r="V1054" s="73">
        <v>0</v>
      </c>
      <c r="W1054" s="73">
        <v>0</v>
      </c>
      <c r="X1054" s="73">
        <v>0</v>
      </c>
      <c r="Y1054" s="73">
        <v>0</v>
      </c>
      <c r="Z1054" s="73">
        <v>1508</v>
      </c>
      <c r="AA1054" s="73">
        <v>1930</v>
      </c>
      <c r="AB1054" s="73">
        <v>0</v>
      </c>
      <c r="AC1054" s="73">
        <v>0</v>
      </c>
      <c r="AD1054" s="73">
        <v>0</v>
      </c>
      <c r="AE1054" s="73">
        <v>0</v>
      </c>
      <c r="AF1054" s="74">
        <f>tblData[[#This Row],[Gross Sales]]+tblData[[#This Row],[Trade Discounts]]+tblData[[#This Row],[Returns]]</f>
        <v>934</v>
      </c>
      <c r="AG1054" s="74">
        <f>tblData[[#This Row],[Material Cost]]+tblData[[#This Row],[Conversion Cost]]+tblData[[#This Row],[Inbound Freight]]</f>
        <v>-506</v>
      </c>
      <c r="AH1054" s="74">
        <f>tblData[[#This Row],[Net Revenue]]+tblData[[#This Row],[COGS]]</f>
        <v>428</v>
      </c>
      <c r="AI1054" s="74">
        <f>tblData[[#This Row],[Advertising]]+tblData[[#This Row],[Promotions]]</f>
        <v>-35</v>
      </c>
      <c r="AJ1054" s="74">
        <f>tblData[[#This Row],[Outbound Logistics]]+tblData[[#This Row],[Direct Selling]]</f>
        <v>-80</v>
      </c>
      <c r="AK1054" s="74">
        <f>tblData[[#This Row],[Gross Profit]]+tblData[[#This Row],[AP Spend]]+tblData[[#This Row],[Cost to Serve]]</f>
        <v>313</v>
      </c>
    </row>
    <row r="1055" spans="2:37" x14ac:dyDescent="0.25">
      <c r="B1055" s="71" t="s">
        <v>51</v>
      </c>
      <c r="C1055" s="71">
        <v>2026</v>
      </c>
      <c r="D1055" s="71">
        <v>4</v>
      </c>
      <c r="E1055" s="71" t="s">
        <v>44</v>
      </c>
      <c r="F1055" s="71" t="s">
        <v>43</v>
      </c>
      <c r="G1055" s="72">
        <v>36.200000000000003</v>
      </c>
      <c r="H1055" s="73">
        <v>653</v>
      </c>
      <c r="I1055" s="73">
        <v>-105</v>
      </c>
      <c r="J1055" s="73">
        <v>-8</v>
      </c>
      <c r="K1055" s="73">
        <v>-180</v>
      </c>
      <c r="L1055" s="73">
        <v>-45</v>
      </c>
      <c r="M1055" s="73">
        <v>-27</v>
      </c>
      <c r="N1055" s="73">
        <v>-61</v>
      </c>
      <c r="O1055" s="73">
        <v>-35</v>
      </c>
      <c r="P1055" s="73">
        <v>-27</v>
      </c>
      <c r="Q1055" s="73">
        <v>-20</v>
      </c>
      <c r="R1055" s="73">
        <v>0</v>
      </c>
      <c r="S1055" s="73">
        <v>0</v>
      </c>
      <c r="T1055" s="73">
        <v>0</v>
      </c>
      <c r="U1055" s="73">
        <v>0</v>
      </c>
      <c r="V1055" s="73">
        <v>0</v>
      </c>
      <c r="W1055" s="73">
        <v>0</v>
      </c>
      <c r="X1055" s="73">
        <v>0</v>
      </c>
      <c r="Y1055" s="73">
        <v>0</v>
      </c>
      <c r="Z1055" s="73">
        <v>871</v>
      </c>
      <c r="AA1055" s="73">
        <v>970</v>
      </c>
      <c r="AB1055" s="73">
        <v>0</v>
      </c>
      <c r="AC1055" s="73">
        <v>0</v>
      </c>
      <c r="AD1055" s="73">
        <v>0</v>
      </c>
      <c r="AE1055" s="73">
        <v>0</v>
      </c>
      <c r="AF1055" s="74">
        <f>tblData[[#This Row],[Gross Sales]]+tblData[[#This Row],[Trade Discounts]]+tblData[[#This Row],[Returns]]</f>
        <v>540</v>
      </c>
      <c r="AG1055" s="74">
        <f>tblData[[#This Row],[Material Cost]]+tblData[[#This Row],[Conversion Cost]]+tblData[[#This Row],[Inbound Freight]]</f>
        <v>-252</v>
      </c>
      <c r="AH1055" s="74">
        <f>tblData[[#This Row],[Net Revenue]]+tblData[[#This Row],[COGS]]</f>
        <v>288</v>
      </c>
      <c r="AI1055" s="74">
        <f>tblData[[#This Row],[Advertising]]+tblData[[#This Row],[Promotions]]</f>
        <v>-96</v>
      </c>
      <c r="AJ1055" s="74">
        <f>tblData[[#This Row],[Outbound Logistics]]+tblData[[#This Row],[Direct Selling]]</f>
        <v>-47</v>
      </c>
      <c r="AK1055" s="74">
        <f>tblData[[#This Row],[Gross Profit]]+tblData[[#This Row],[AP Spend]]+tblData[[#This Row],[Cost to Serve]]</f>
        <v>145</v>
      </c>
    </row>
    <row r="1056" spans="2:37" x14ac:dyDescent="0.25">
      <c r="B1056" s="71" t="s">
        <v>51</v>
      </c>
      <c r="C1056" s="71">
        <v>2026</v>
      </c>
      <c r="D1056" s="71">
        <v>4</v>
      </c>
      <c r="E1056" s="71" t="s">
        <v>45</v>
      </c>
      <c r="F1056" s="71" t="s">
        <v>38</v>
      </c>
      <c r="G1056" s="72">
        <v>138</v>
      </c>
      <c r="H1056" s="73">
        <v>1929</v>
      </c>
      <c r="I1056" s="73">
        <v>-441</v>
      </c>
      <c r="J1056" s="73">
        <v>-19</v>
      </c>
      <c r="K1056" s="73">
        <v>-421</v>
      </c>
      <c r="L1056" s="73">
        <v>-104</v>
      </c>
      <c r="M1056" s="73">
        <v>-63</v>
      </c>
      <c r="N1056" s="73">
        <v>-107</v>
      </c>
      <c r="O1056" s="73">
        <v>-62</v>
      </c>
      <c r="P1056" s="73">
        <v>-69</v>
      </c>
      <c r="Q1056" s="73">
        <v>-39</v>
      </c>
      <c r="R1056" s="73">
        <v>0</v>
      </c>
      <c r="S1056" s="73">
        <v>0</v>
      </c>
      <c r="T1056" s="73">
        <v>0</v>
      </c>
      <c r="U1056" s="73">
        <v>0</v>
      </c>
      <c r="V1056" s="73">
        <v>0</v>
      </c>
      <c r="W1056" s="73">
        <v>0</v>
      </c>
      <c r="X1056" s="73">
        <v>0</v>
      </c>
      <c r="Y1056" s="73">
        <v>0</v>
      </c>
      <c r="Z1056" s="73">
        <v>2163</v>
      </c>
      <c r="AA1056" s="73">
        <v>1825</v>
      </c>
      <c r="AB1056" s="73">
        <v>0</v>
      </c>
      <c r="AC1056" s="73">
        <v>0</v>
      </c>
      <c r="AD1056" s="73">
        <v>0</v>
      </c>
      <c r="AE1056" s="73">
        <v>0</v>
      </c>
      <c r="AF1056" s="74">
        <f>tblData[[#This Row],[Gross Sales]]+tblData[[#This Row],[Trade Discounts]]+tblData[[#This Row],[Returns]]</f>
        <v>1469</v>
      </c>
      <c r="AG1056" s="74">
        <f>tblData[[#This Row],[Material Cost]]+tblData[[#This Row],[Conversion Cost]]+tblData[[#This Row],[Inbound Freight]]</f>
        <v>-588</v>
      </c>
      <c r="AH1056" s="74">
        <f>tblData[[#This Row],[Net Revenue]]+tblData[[#This Row],[COGS]]</f>
        <v>881</v>
      </c>
      <c r="AI1056" s="74">
        <f>tblData[[#This Row],[Advertising]]+tblData[[#This Row],[Promotions]]</f>
        <v>-169</v>
      </c>
      <c r="AJ1056" s="74">
        <f>tblData[[#This Row],[Outbound Logistics]]+tblData[[#This Row],[Direct Selling]]</f>
        <v>-108</v>
      </c>
      <c r="AK1056" s="74">
        <f>tblData[[#This Row],[Gross Profit]]+tblData[[#This Row],[AP Spend]]+tblData[[#This Row],[Cost to Serve]]</f>
        <v>604</v>
      </c>
    </row>
    <row r="1057" spans="2:37" x14ac:dyDescent="0.25">
      <c r="B1057" s="71" t="s">
        <v>51</v>
      </c>
      <c r="C1057" s="71">
        <v>2026</v>
      </c>
      <c r="D1057" s="71">
        <v>4</v>
      </c>
      <c r="E1057" s="71" t="s">
        <v>45</v>
      </c>
      <c r="F1057" s="71" t="s">
        <v>39</v>
      </c>
      <c r="G1057" s="72">
        <v>181</v>
      </c>
      <c r="H1057" s="73">
        <v>1622</v>
      </c>
      <c r="I1057" s="73">
        <v>-371</v>
      </c>
      <c r="J1057" s="73">
        <v>-16</v>
      </c>
      <c r="K1057" s="73">
        <v>-425</v>
      </c>
      <c r="L1057" s="73">
        <v>-105</v>
      </c>
      <c r="M1057" s="73">
        <v>-63</v>
      </c>
      <c r="N1057" s="73">
        <v>-61</v>
      </c>
      <c r="O1057" s="73">
        <v>-35</v>
      </c>
      <c r="P1057" s="73">
        <v>-58</v>
      </c>
      <c r="Q1057" s="73">
        <v>-32</v>
      </c>
      <c r="R1057" s="73">
        <v>0</v>
      </c>
      <c r="S1057" s="73">
        <v>0</v>
      </c>
      <c r="T1057" s="73">
        <v>0</v>
      </c>
      <c r="U1057" s="73">
        <v>0</v>
      </c>
      <c r="V1057" s="73">
        <v>0</v>
      </c>
      <c r="W1057" s="73">
        <v>0</v>
      </c>
      <c r="X1057" s="73">
        <v>0</v>
      </c>
      <c r="Y1057" s="73">
        <v>0</v>
      </c>
      <c r="Z1057" s="73">
        <v>1806</v>
      </c>
      <c r="AA1057" s="73">
        <v>1551</v>
      </c>
      <c r="AB1057" s="73">
        <v>0</v>
      </c>
      <c r="AC1057" s="73">
        <v>0</v>
      </c>
      <c r="AD1057" s="73">
        <v>0</v>
      </c>
      <c r="AE1057" s="73">
        <v>0</v>
      </c>
      <c r="AF1057" s="74">
        <f>tblData[[#This Row],[Gross Sales]]+tblData[[#This Row],[Trade Discounts]]+tblData[[#This Row],[Returns]]</f>
        <v>1235</v>
      </c>
      <c r="AG1057" s="74">
        <f>tblData[[#This Row],[Material Cost]]+tblData[[#This Row],[Conversion Cost]]+tblData[[#This Row],[Inbound Freight]]</f>
        <v>-593</v>
      </c>
      <c r="AH1057" s="74">
        <f>tblData[[#This Row],[Net Revenue]]+tblData[[#This Row],[COGS]]</f>
        <v>642</v>
      </c>
      <c r="AI1057" s="74">
        <f>tblData[[#This Row],[Advertising]]+tblData[[#This Row],[Promotions]]</f>
        <v>-96</v>
      </c>
      <c r="AJ1057" s="74">
        <f>tblData[[#This Row],[Outbound Logistics]]+tblData[[#This Row],[Direct Selling]]</f>
        <v>-90</v>
      </c>
      <c r="AK1057" s="74">
        <f>tblData[[#This Row],[Gross Profit]]+tblData[[#This Row],[AP Spend]]+tblData[[#This Row],[Cost to Serve]]</f>
        <v>456</v>
      </c>
    </row>
    <row r="1058" spans="2:37" x14ac:dyDescent="0.25">
      <c r="B1058" s="71" t="s">
        <v>51</v>
      </c>
      <c r="C1058" s="71">
        <v>2026</v>
      </c>
      <c r="D1058" s="71">
        <v>4</v>
      </c>
      <c r="E1058" s="71" t="s">
        <v>45</v>
      </c>
      <c r="F1058" s="71" t="s">
        <v>40</v>
      </c>
      <c r="G1058" s="72">
        <v>171.3</v>
      </c>
      <c r="H1058" s="73">
        <v>1192</v>
      </c>
      <c r="I1058" s="73">
        <v>-273</v>
      </c>
      <c r="J1058" s="73">
        <v>-12</v>
      </c>
      <c r="K1058" s="73">
        <v>-347</v>
      </c>
      <c r="L1058" s="73">
        <v>-86</v>
      </c>
      <c r="M1058" s="73">
        <v>-52</v>
      </c>
      <c r="N1058" s="73">
        <v>-31</v>
      </c>
      <c r="O1058" s="73">
        <v>-18</v>
      </c>
      <c r="P1058" s="73">
        <v>-43</v>
      </c>
      <c r="Q1058" s="73">
        <v>-24</v>
      </c>
      <c r="R1058" s="73">
        <v>0</v>
      </c>
      <c r="S1058" s="73">
        <v>0</v>
      </c>
      <c r="T1058" s="73">
        <v>0</v>
      </c>
      <c r="U1058" s="73">
        <v>0</v>
      </c>
      <c r="V1058" s="73">
        <v>0</v>
      </c>
      <c r="W1058" s="73">
        <v>0</v>
      </c>
      <c r="X1058" s="73">
        <v>0</v>
      </c>
      <c r="Y1058" s="73">
        <v>0</v>
      </c>
      <c r="Z1058" s="73">
        <v>1334</v>
      </c>
      <c r="AA1058" s="73">
        <v>1198</v>
      </c>
      <c r="AB1058" s="73">
        <v>0</v>
      </c>
      <c r="AC1058" s="73">
        <v>0</v>
      </c>
      <c r="AD1058" s="73">
        <v>0</v>
      </c>
      <c r="AE1058" s="73">
        <v>0</v>
      </c>
      <c r="AF1058" s="74">
        <f>tblData[[#This Row],[Gross Sales]]+tblData[[#This Row],[Trade Discounts]]+tblData[[#This Row],[Returns]]</f>
        <v>907</v>
      </c>
      <c r="AG1058" s="74">
        <f>tblData[[#This Row],[Material Cost]]+tblData[[#This Row],[Conversion Cost]]+tblData[[#This Row],[Inbound Freight]]</f>
        <v>-485</v>
      </c>
      <c r="AH1058" s="74">
        <f>tblData[[#This Row],[Net Revenue]]+tblData[[#This Row],[COGS]]</f>
        <v>422</v>
      </c>
      <c r="AI1058" s="74">
        <f>tblData[[#This Row],[Advertising]]+tblData[[#This Row],[Promotions]]</f>
        <v>-49</v>
      </c>
      <c r="AJ1058" s="74">
        <f>tblData[[#This Row],[Outbound Logistics]]+tblData[[#This Row],[Direct Selling]]</f>
        <v>-67</v>
      </c>
      <c r="AK1058" s="74">
        <f>tblData[[#This Row],[Gross Profit]]+tblData[[#This Row],[AP Spend]]+tblData[[#This Row],[Cost to Serve]]</f>
        <v>306</v>
      </c>
    </row>
    <row r="1059" spans="2:37" x14ac:dyDescent="0.25">
      <c r="B1059" s="71" t="s">
        <v>51</v>
      </c>
      <c r="C1059" s="71">
        <v>2026</v>
      </c>
      <c r="D1059" s="71">
        <v>4</v>
      </c>
      <c r="E1059" s="71" t="s">
        <v>45</v>
      </c>
      <c r="F1059" s="71" t="s">
        <v>41</v>
      </c>
      <c r="G1059" s="72">
        <v>86.8</v>
      </c>
      <c r="H1059" s="73">
        <v>951</v>
      </c>
      <c r="I1059" s="73">
        <v>-217</v>
      </c>
      <c r="J1059" s="73">
        <v>-10</v>
      </c>
      <c r="K1059" s="73">
        <v>-228</v>
      </c>
      <c r="L1059" s="73">
        <v>-57</v>
      </c>
      <c r="M1059" s="73">
        <v>-34</v>
      </c>
      <c r="N1059" s="73">
        <v>-65</v>
      </c>
      <c r="O1059" s="73">
        <v>-38</v>
      </c>
      <c r="P1059" s="73">
        <v>-34</v>
      </c>
      <c r="Q1059" s="73">
        <v>-19</v>
      </c>
      <c r="R1059" s="73">
        <v>0</v>
      </c>
      <c r="S1059" s="73">
        <v>0</v>
      </c>
      <c r="T1059" s="73">
        <v>0</v>
      </c>
      <c r="U1059" s="73">
        <v>0</v>
      </c>
      <c r="V1059" s="73">
        <v>0</v>
      </c>
      <c r="W1059" s="73">
        <v>0</v>
      </c>
      <c r="X1059" s="73">
        <v>0</v>
      </c>
      <c r="Y1059" s="73">
        <v>0</v>
      </c>
      <c r="Z1059" s="73">
        <v>1065</v>
      </c>
      <c r="AA1059" s="73">
        <v>938</v>
      </c>
      <c r="AB1059" s="73">
        <v>0</v>
      </c>
      <c r="AC1059" s="73">
        <v>0</v>
      </c>
      <c r="AD1059" s="73">
        <v>0</v>
      </c>
      <c r="AE1059" s="73">
        <v>0</v>
      </c>
      <c r="AF1059" s="74">
        <f>tblData[[#This Row],[Gross Sales]]+tblData[[#This Row],[Trade Discounts]]+tblData[[#This Row],[Returns]]</f>
        <v>724</v>
      </c>
      <c r="AG1059" s="74">
        <f>tblData[[#This Row],[Material Cost]]+tblData[[#This Row],[Conversion Cost]]+tblData[[#This Row],[Inbound Freight]]</f>
        <v>-319</v>
      </c>
      <c r="AH1059" s="74">
        <f>tblData[[#This Row],[Net Revenue]]+tblData[[#This Row],[COGS]]</f>
        <v>405</v>
      </c>
      <c r="AI1059" s="74">
        <f>tblData[[#This Row],[Advertising]]+tblData[[#This Row],[Promotions]]</f>
        <v>-103</v>
      </c>
      <c r="AJ1059" s="74">
        <f>tblData[[#This Row],[Outbound Logistics]]+tblData[[#This Row],[Direct Selling]]</f>
        <v>-53</v>
      </c>
      <c r="AK1059" s="74">
        <f>tblData[[#This Row],[Gross Profit]]+tblData[[#This Row],[AP Spend]]+tblData[[#This Row],[Cost to Serve]]</f>
        <v>249</v>
      </c>
    </row>
    <row r="1060" spans="2:37" x14ac:dyDescent="0.25">
      <c r="B1060" s="71" t="s">
        <v>51</v>
      </c>
      <c r="C1060" s="71">
        <v>2026</v>
      </c>
      <c r="D1060" s="71">
        <v>4</v>
      </c>
      <c r="E1060" s="71" t="s">
        <v>45</v>
      </c>
      <c r="F1060" s="71" t="s">
        <v>42</v>
      </c>
      <c r="G1060" s="72">
        <v>107.9</v>
      </c>
      <c r="H1060" s="73">
        <v>642</v>
      </c>
      <c r="I1060" s="73">
        <v>-147</v>
      </c>
      <c r="J1060" s="73">
        <v>-6</v>
      </c>
      <c r="K1060" s="73">
        <v>-205</v>
      </c>
      <c r="L1060" s="73">
        <v>-51</v>
      </c>
      <c r="M1060" s="73">
        <v>-31</v>
      </c>
      <c r="N1060" s="73">
        <v>-13</v>
      </c>
      <c r="O1060" s="73">
        <v>-7</v>
      </c>
      <c r="P1060" s="73">
        <v>-23</v>
      </c>
      <c r="Q1060" s="73">
        <v>-13</v>
      </c>
      <c r="R1060" s="73">
        <v>0</v>
      </c>
      <c r="S1060" s="73">
        <v>0</v>
      </c>
      <c r="T1060" s="73">
        <v>0</v>
      </c>
      <c r="U1060" s="73">
        <v>0</v>
      </c>
      <c r="V1060" s="73">
        <v>0</v>
      </c>
      <c r="W1060" s="73">
        <v>0</v>
      </c>
      <c r="X1060" s="73">
        <v>0</v>
      </c>
      <c r="Y1060" s="73">
        <v>0</v>
      </c>
      <c r="Z1060" s="73">
        <v>712</v>
      </c>
      <c r="AA1060" s="73">
        <v>1094</v>
      </c>
      <c r="AB1060" s="73">
        <v>0</v>
      </c>
      <c r="AC1060" s="73">
        <v>0</v>
      </c>
      <c r="AD1060" s="73">
        <v>0</v>
      </c>
      <c r="AE1060" s="73">
        <v>0</v>
      </c>
      <c r="AF1060" s="74">
        <f>tblData[[#This Row],[Gross Sales]]+tblData[[#This Row],[Trade Discounts]]+tblData[[#This Row],[Returns]]</f>
        <v>489</v>
      </c>
      <c r="AG1060" s="74">
        <f>tblData[[#This Row],[Material Cost]]+tblData[[#This Row],[Conversion Cost]]+tblData[[#This Row],[Inbound Freight]]</f>
        <v>-287</v>
      </c>
      <c r="AH1060" s="74">
        <f>tblData[[#This Row],[Net Revenue]]+tblData[[#This Row],[COGS]]</f>
        <v>202</v>
      </c>
      <c r="AI1060" s="74">
        <f>tblData[[#This Row],[Advertising]]+tblData[[#This Row],[Promotions]]</f>
        <v>-20</v>
      </c>
      <c r="AJ1060" s="74">
        <f>tblData[[#This Row],[Outbound Logistics]]+tblData[[#This Row],[Direct Selling]]</f>
        <v>-36</v>
      </c>
      <c r="AK1060" s="74">
        <f>tblData[[#This Row],[Gross Profit]]+tblData[[#This Row],[AP Spend]]+tblData[[#This Row],[Cost to Serve]]</f>
        <v>146</v>
      </c>
    </row>
    <row r="1061" spans="2:37" x14ac:dyDescent="0.25">
      <c r="B1061" s="71" t="s">
        <v>51</v>
      </c>
      <c r="C1061" s="71">
        <v>2026</v>
      </c>
      <c r="D1061" s="71">
        <v>4</v>
      </c>
      <c r="E1061" s="71" t="s">
        <v>45</v>
      </c>
      <c r="F1061" s="71" t="s">
        <v>43</v>
      </c>
      <c r="G1061" s="72">
        <v>20.5</v>
      </c>
      <c r="H1061" s="73">
        <v>368</v>
      </c>
      <c r="I1061" s="73">
        <v>-84</v>
      </c>
      <c r="J1061" s="73">
        <v>-4</v>
      </c>
      <c r="K1061" s="73">
        <v>-102</v>
      </c>
      <c r="L1061" s="73">
        <v>-25</v>
      </c>
      <c r="M1061" s="73">
        <v>-15</v>
      </c>
      <c r="N1061" s="73">
        <v>-36</v>
      </c>
      <c r="O1061" s="73">
        <v>-21</v>
      </c>
      <c r="P1061" s="73">
        <v>-13</v>
      </c>
      <c r="Q1061" s="73">
        <v>-7</v>
      </c>
      <c r="R1061" s="73">
        <v>0</v>
      </c>
      <c r="S1061" s="73">
        <v>0</v>
      </c>
      <c r="T1061" s="73">
        <v>0</v>
      </c>
      <c r="U1061" s="73">
        <v>0</v>
      </c>
      <c r="V1061" s="73">
        <v>0</v>
      </c>
      <c r="W1061" s="73">
        <v>0</v>
      </c>
      <c r="X1061" s="73">
        <v>0</v>
      </c>
      <c r="Y1061" s="73">
        <v>0</v>
      </c>
      <c r="Z1061" s="73">
        <v>409</v>
      </c>
      <c r="AA1061" s="73">
        <v>547</v>
      </c>
      <c r="AB1061" s="73">
        <v>0</v>
      </c>
      <c r="AC1061" s="73">
        <v>0</v>
      </c>
      <c r="AD1061" s="73">
        <v>0</v>
      </c>
      <c r="AE1061" s="73">
        <v>0</v>
      </c>
      <c r="AF1061" s="74">
        <f>tblData[[#This Row],[Gross Sales]]+tblData[[#This Row],[Trade Discounts]]+tblData[[#This Row],[Returns]]</f>
        <v>280</v>
      </c>
      <c r="AG1061" s="74">
        <f>tblData[[#This Row],[Material Cost]]+tblData[[#This Row],[Conversion Cost]]+tblData[[#This Row],[Inbound Freight]]</f>
        <v>-142</v>
      </c>
      <c r="AH1061" s="74">
        <f>tblData[[#This Row],[Net Revenue]]+tblData[[#This Row],[COGS]]</f>
        <v>138</v>
      </c>
      <c r="AI1061" s="74">
        <f>tblData[[#This Row],[Advertising]]+tblData[[#This Row],[Promotions]]</f>
        <v>-57</v>
      </c>
      <c r="AJ1061" s="74">
        <f>tblData[[#This Row],[Outbound Logistics]]+tblData[[#This Row],[Direct Selling]]</f>
        <v>-20</v>
      </c>
      <c r="AK1061" s="74">
        <f>tblData[[#This Row],[Gross Profit]]+tblData[[#This Row],[AP Spend]]+tblData[[#This Row],[Cost to Serve]]</f>
        <v>61</v>
      </c>
    </row>
    <row r="1062" spans="2:37" x14ac:dyDescent="0.25">
      <c r="B1062" s="71" t="s">
        <v>51</v>
      </c>
      <c r="C1062" s="71">
        <v>2026</v>
      </c>
      <c r="D1062" s="71">
        <v>4</v>
      </c>
      <c r="E1062" s="71" t="s">
        <v>46</v>
      </c>
      <c r="F1062" s="71" t="s">
        <v>38</v>
      </c>
      <c r="G1062" s="72">
        <v>170.4</v>
      </c>
      <c r="H1062" s="73">
        <v>2399</v>
      </c>
      <c r="I1062" s="73">
        <v>-260</v>
      </c>
      <c r="J1062" s="73">
        <v>-96</v>
      </c>
      <c r="K1062" s="73">
        <v>-524</v>
      </c>
      <c r="L1062" s="73">
        <v>-130</v>
      </c>
      <c r="M1062" s="73">
        <v>-78</v>
      </c>
      <c r="N1062" s="73">
        <v>-122</v>
      </c>
      <c r="O1062" s="73">
        <v>-70</v>
      </c>
      <c r="P1062" s="73">
        <v>-184</v>
      </c>
      <c r="Q1062" s="73">
        <v>-48</v>
      </c>
      <c r="R1062" s="73">
        <v>0</v>
      </c>
      <c r="S1062" s="73">
        <v>0</v>
      </c>
      <c r="T1062" s="73">
        <v>0</v>
      </c>
      <c r="U1062" s="73">
        <v>0</v>
      </c>
      <c r="V1062" s="73">
        <v>0</v>
      </c>
      <c r="W1062" s="73">
        <v>0</v>
      </c>
      <c r="X1062" s="73">
        <v>0</v>
      </c>
      <c r="Y1062" s="73">
        <v>0</v>
      </c>
      <c r="Z1062" s="73">
        <v>1723</v>
      </c>
      <c r="AA1062" s="73">
        <v>2263</v>
      </c>
      <c r="AB1062" s="73">
        <v>0</v>
      </c>
      <c r="AC1062" s="73">
        <v>0</v>
      </c>
      <c r="AD1062" s="73">
        <v>0</v>
      </c>
      <c r="AE1062" s="73">
        <v>0</v>
      </c>
      <c r="AF1062" s="74">
        <f>tblData[[#This Row],[Gross Sales]]+tblData[[#This Row],[Trade Discounts]]+tblData[[#This Row],[Returns]]</f>
        <v>2043</v>
      </c>
      <c r="AG1062" s="74">
        <f>tblData[[#This Row],[Material Cost]]+tblData[[#This Row],[Conversion Cost]]+tblData[[#This Row],[Inbound Freight]]</f>
        <v>-732</v>
      </c>
      <c r="AH1062" s="74">
        <f>tblData[[#This Row],[Net Revenue]]+tblData[[#This Row],[COGS]]</f>
        <v>1311</v>
      </c>
      <c r="AI1062" s="74">
        <f>tblData[[#This Row],[Advertising]]+tblData[[#This Row],[Promotions]]</f>
        <v>-192</v>
      </c>
      <c r="AJ1062" s="74">
        <f>tblData[[#This Row],[Outbound Logistics]]+tblData[[#This Row],[Direct Selling]]</f>
        <v>-232</v>
      </c>
      <c r="AK1062" s="74">
        <f>tblData[[#This Row],[Gross Profit]]+tblData[[#This Row],[AP Spend]]+tblData[[#This Row],[Cost to Serve]]</f>
        <v>887</v>
      </c>
    </row>
    <row r="1063" spans="2:37" x14ac:dyDescent="0.25">
      <c r="B1063" s="71" t="s">
        <v>51</v>
      </c>
      <c r="C1063" s="71">
        <v>2026</v>
      </c>
      <c r="D1063" s="71">
        <v>4</v>
      </c>
      <c r="E1063" s="71" t="s">
        <v>46</v>
      </c>
      <c r="F1063" s="71" t="s">
        <v>39</v>
      </c>
      <c r="G1063" s="72">
        <v>224.2</v>
      </c>
      <c r="H1063" s="73">
        <v>2024</v>
      </c>
      <c r="I1063" s="73">
        <v>-220</v>
      </c>
      <c r="J1063" s="73">
        <v>-81</v>
      </c>
      <c r="K1063" s="73">
        <v>-530</v>
      </c>
      <c r="L1063" s="73">
        <v>-131</v>
      </c>
      <c r="M1063" s="73">
        <v>-79</v>
      </c>
      <c r="N1063" s="73">
        <v>-70</v>
      </c>
      <c r="O1063" s="73">
        <v>-40</v>
      </c>
      <c r="P1063" s="73">
        <v>-155</v>
      </c>
      <c r="Q1063" s="73">
        <v>-40</v>
      </c>
      <c r="R1063" s="73">
        <v>0</v>
      </c>
      <c r="S1063" s="73">
        <v>0</v>
      </c>
      <c r="T1063" s="73">
        <v>0</v>
      </c>
      <c r="U1063" s="73">
        <v>0</v>
      </c>
      <c r="V1063" s="73">
        <v>0</v>
      </c>
      <c r="W1063" s="73">
        <v>0</v>
      </c>
      <c r="X1063" s="73">
        <v>0</v>
      </c>
      <c r="Y1063" s="73">
        <v>0</v>
      </c>
      <c r="Z1063" s="73">
        <v>1452</v>
      </c>
      <c r="AA1063" s="73">
        <v>1941</v>
      </c>
      <c r="AB1063" s="73">
        <v>0</v>
      </c>
      <c r="AC1063" s="73">
        <v>0</v>
      </c>
      <c r="AD1063" s="73">
        <v>0</v>
      </c>
      <c r="AE1063" s="73">
        <v>0</v>
      </c>
      <c r="AF1063" s="74">
        <f>tblData[[#This Row],[Gross Sales]]+tblData[[#This Row],[Trade Discounts]]+tblData[[#This Row],[Returns]]</f>
        <v>1723</v>
      </c>
      <c r="AG1063" s="74">
        <f>tblData[[#This Row],[Material Cost]]+tblData[[#This Row],[Conversion Cost]]+tblData[[#This Row],[Inbound Freight]]</f>
        <v>-740</v>
      </c>
      <c r="AH1063" s="74">
        <f>tblData[[#This Row],[Net Revenue]]+tblData[[#This Row],[COGS]]</f>
        <v>983</v>
      </c>
      <c r="AI1063" s="74">
        <f>tblData[[#This Row],[Advertising]]+tblData[[#This Row],[Promotions]]</f>
        <v>-110</v>
      </c>
      <c r="AJ1063" s="74">
        <f>tblData[[#This Row],[Outbound Logistics]]+tblData[[#This Row],[Direct Selling]]</f>
        <v>-195</v>
      </c>
      <c r="AK1063" s="74">
        <f>tblData[[#This Row],[Gross Profit]]+tblData[[#This Row],[AP Spend]]+tblData[[#This Row],[Cost to Serve]]</f>
        <v>678</v>
      </c>
    </row>
    <row r="1064" spans="2:37" x14ac:dyDescent="0.25">
      <c r="B1064" s="71" t="s">
        <v>51</v>
      </c>
      <c r="C1064" s="71">
        <v>2026</v>
      </c>
      <c r="D1064" s="71">
        <v>4</v>
      </c>
      <c r="E1064" s="71" t="s">
        <v>46</v>
      </c>
      <c r="F1064" s="71" t="s">
        <v>40</v>
      </c>
      <c r="G1064" s="72">
        <v>214.1</v>
      </c>
      <c r="H1064" s="73">
        <v>1501</v>
      </c>
      <c r="I1064" s="73">
        <v>-163</v>
      </c>
      <c r="J1064" s="73">
        <v>-60</v>
      </c>
      <c r="K1064" s="73">
        <v>-437</v>
      </c>
      <c r="L1064" s="73">
        <v>-108</v>
      </c>
      <c r="M1064" s="73">
        <v>-65</v>
      </c>
      <c r="N1064" s="73">
        <v>-35</v>
      </c>
      <c r="O1064" s="73">
        <v>-20</v>
      </c>
      <c r="P1064" s="73">
        <v>-115</v>
      </c>
      <c r="Q1064" s="73">
        <v>-30</v>
      </c>
      <c r="R1064" s="73">
        <v>0</v>
      </c>
      <c r="S1064" s="73">
        <v>0</v>
      </c>
      <c r="T1064" s="73">
        <v>0</v>
      </c>
      <c r="U1064" s="73">
        <v>0</v>
      </c>
      <c r="V1064" s="73">
        <v>0</v>
      </c>
      <c r="W1064" s="73">
        <v>0</v>
      </c>
      <c r="X1064" s="73">
        <v>0</v>
      </c>
      <c r="Y1064" s="73">
        <v>0</v>
      </c>
      <c r="Z1064" s="73">
        <v>1076</v>
      </c>
      <c r="AA1064" s="73">
        <v>1504</v>
      </c>
      <c r="AB1064" s="73">
        <v>0</v>
      </c>
      <c r="AC1064" s="73">
        <v>0</v>
      </c>
      <c r="AD1064" s="73">
        <v>0</v>
      </c>
      <c r="AE1064" s="73">
        <v>0</v>
      </c>
      <c r="AF1064" s="74">
        <f>tblData[[#This Row],[Gross Sales]]+tblData[[#This Row],[Trade Discounts]]+tblData[[#This Row],[Returns]]</f>
        <v>1278</v>
      </c>
      <c r="AG1064" s="74">
        <f>tblData[[#This Row],[Material Cost]]+tblData[[#This Row],[Conversion Cost]]+tblData[[#This Row],[Inbound Freight]]</f>
        <v>-610</v>
      </c>
      <c r="AH1064" s="74">
        <f>tblData[[#This Row],[Net Revenue]]+tblData[[#This Row],[COGS]]</f>
        <v>668</v>
      </c>
      <c r="AI1064" s="74">
        <f>tblData[[#This Row],[Advertising]]+tblData[[#This Row],[Promotions]]</f>
        <v>-55</v>
      </c>
      <c r="AJ1064" s="74">
        <f>tblData[[#This Row],[Outbound Logistics]]+tblData[[#This Row],[Direct Selling]]</f>
        <v>-145</v>
      </c>
      <c r="AK1064" s="74">
        <f>tblData[[#This Row],[Gross Profit]]+tblData[[#This Row],[AP Spend]]+tblData[[#This Row],[Cost to Serve]]</f>
        <v>468</v>
      </c>
    </row>
    <row r="1065" spans="2:37" x14ac:dyDescent="0.25">
      <c r="B1065" s="71" t="s">
        <v>51</v>
      </c>
      <c r="C1065" s="71">
        <v>2026</v>
      </c>
      <c r="D1065" s="71">
        <v>4</v>
      </c>
      <c r="E1065" s="71" t="s">
        <v>46</v>
      </c>
      <c r="F1065" s="71" t="s">
        <v>41</v>
      </c>
      <c r="G1065" s="72">
        <v>107.8</v>
      </c>
      <c r="H1065" s="73">
        <v>1190</v>
      </c>
      <c r="I1065" s="73">
        <v>-129</v>
      </c>
      <c r="J1065" s="73">
        <v>-48</v>
      </c>
      <c r="K1065" s="73">
        <v>-286</v>
      </c>
      <c r="L1065" s="73">
        <v>-71</v>
      </c>
      <c r="M1065" s="73">
        <v>-43</v>
      </c>
      <c r="N1065" s="73">
        <v>-75</v>
      </c>
      <c r="O1065" s="73">
        <v>-43</v>
      </c>
      <c r="P1065" s="73">
        <v>-91</v>
      </c>
      <c r="Q1065" s="73">
        <v>-24</v>
      </c>
      <c r="R1065" s="73">
        <v>0</v>
      </c>
      <c r="S1065" s="73">
        <v>0</v>
      </c>
      <c r="T1065" s="73">
        <v>0</v>
      </c>
      <c r="U1065" s="73">
        <v>0</v>
      </c>
      <c r="V1065" s="73">
        <v>0</v>
      </c>
      <c r="W1065" s="73">
        <v>0</v>
      </c>
      <c r="X1065" s="73">
        <v>0</v>
      </c>
      <c r="Y1065" s="73">
        <v>0</v>
      </c>
      <c r="Z1065" s="73">
        <v>854</v>
      </c>
      <c r="AA1065" s="73">
        <v>1171</v>
      </c>
      <c r="AB1065" s="73">
        <v>0</v>
      </c>
      <c r="AC1065" s="73">
        <v>0</v>
      </c>
      <c r="AD1065" s="73">
        <v>0</v>
      </c>
      <c r="AE1065" s="73">
        <v>0</v>
      </c>
      <c r="AF1065" s="74">
        <f>tblData[[#This Row],[Gross Sales]]+tblData[[#This Row],[Trade Discounts]]+tblData[[#This Row],[Returns]]</f>
        <v>1013</v>
      </c>
      <c r="AG1065" s="74">
        <f>tblData[[#This Row],[Material Cost]]+tblData[[#This Row],[Conversion Cost]]+tblData[[#This Row],[Inbound Freight]]</f>
        <v>-400</v>
      </c>
      <c r="AH1065" s="74">
        <f>tblData[[#This Row],[Net Revenue]]+tblData[[#This Row],[COGS]]</f>
        <v>613</v>
      </c>
      <c r="AI1065" s="74">
        <f>tblData[[#This Row],[Advertising]]+tblData[[#This Row],[Promotions]]</f>
        <v>-118</v>
      </c>
      <c r="AJ1065" s="74">
        <f>tblData[[#This Row],[Outbound Logistics]]+tblData[[#This Row],[Direct Selling]]</f>
        <v>-115</v>
      </c>
      <c r="AK1065" s="74">
        <f>tblData[[#This Row],[Gross Profit]]+tblData[[#This Row],[AP Spend]]+tblData[[#This Row],[Cost to Serve]]</f>
        <v>380</v>
      </c>
    </row>
    <row r="1066" spans="2:37" x14ac:dyDescent="0.25">
      <c r="B1066" s="71" t="s">
        <v>51</v>
      </c>
      <c r="C1066" s="71">
        <v>2026</v>
      </c>
      <c r="D1066" s="71">
        <v>4</v>
      </c>
      <c r="E1066" s="71" t="s">
        <v>46</v>
      </c>
      <c r="F1066" s="71" t="s">
        <v>42</v>
      </c>
      <c r="G1066" s="72">
        <v>132.30000000000001</v>
      </c>
      <c r="H1066" s="73">
        <v>792</v>
      </c>
      <c r="I1066" s="73">
        <v>-86</v>
      </c>
      <c r="J1066" s="73">
        <v>-32</v>
      </c>
      <c r="K1066" s="73">
        <v>-254</v>
      </c>
      <c r="L1066" s="73">
        <v>-63</v>
      </c>
      <c r="M1066" s="73">
        <v>-38</v>
      </c>
      <c r="N1066" s="73">
        <v>-15</v>
      </c>
      <c r="O1066" s="73">
        <v>-8</v>
      </c>
      <c r="P1066" s="73">
        <v>-61</v>
      </c>
      <c r="Q1066" s="73">
        <v>-16</v>
      </c>
      <c r="R1066" s="73">
        <v>0</v>
      </c>
      <c r="S1066" s="73">
        <v>0</v>
      </c>
      <c r="T1066" s="73">
        <v>0</v>
      </c>
      <c r="U1066" s="73">
        <v>0</v>
      </c>
      <c r="V1066" s="73">
        <v>0</v>
      </c>
      <c r="W1066" s="73">
        <v>0</v>
      </c>
      <c r="X1066" s="73">
        <v>0</v>
      </c>
      <c r="Y1066" s="73">
        <v>0</v>
      </c>
      <c r="Z1066" s="73">
        <v>568</v>
      </c>
      <c r="AA1066" s="73">
        <v>1360</v>
      </c>
      <c r="AB1066" s="73">
        <v>0</v>
      </c>
      <c r="AC1066" s="73">
        <v>0</v>
      </c>
      <c r="AD1066" s="73">
        <v>0</v>
      </c>
      <c r="AE1066" s="73">
        <v>0</v>
      </c>
      <c r="AF1066" s="74">
        <f>tblData[[#This Row],[Gross Sales]]+tblData[[#This Row],[Trade Discounts]]+tblData[[#This Row],[Returns]]</f>
        <v>674</v>
      </c>
      <c r="AG1066" s="74">
        <f>tblData[[#This Row],[Material Cost]]+tblData[[#This Row],[Conversion Cost]]+tblData[[#This Row],[Inbound Freight]]</f>
        <v>-355</v>
      </c>
      <c r="AH1066" s="74">
        <f>tblData[[#This Row],[Net Revenue]]+tblData[[#This Row],[COGS]]</f>
        <v>319</v>
      </c>
      <c r="AI1066" s="74">
        <f>tblData[[#This Row],[Advertising]]+tblData[[#This Row],[Promotions]]</f>
        <v>-23</v>
      </c>
      <c r="AJ1066" s="74">
        <f>tblData[[#This Row],[Outbound Logistics]]+tblData[[#This Row],[Direct Selling]]</f>
        <v>-77</v>
      </c>
      <c r="AK1066" s="74">
        <f>tblData[[#This Row],[Gross Profit]]+tblData[[#This Row],[AP Spend]]+tblData[[#This Row],[Cost to Serve]]</f>
        <v>219</v>
      </c>
    </row>
    <row r="1067" spans="2:37" x14ac:dyDescent="0.25">
      <c r="B1067" s="71" t="s">
        <v>51</v>
      </c>
      <c r="C1067" s="71">
        <v>2026</v>
      </c>
      <c r="D1067" s="71">
        <v>4</v>
      </c>
      <c r="E1067" s="71" t="s">
        <v>46</v>
      </c>
      <c r="F1067" s="71" t="s">
        <v>43</v>
      </c>
      <c r="G1067" s="72">
        <v>25.4</v>
      </c>
      <c r="H1067" s="73">
        <v>458</v>
      </c>
      <c r="I1067" s="73">
        <v>-50</v>
      </c>
      <c r="J1067" s="73">
        <v>-18</v>
      </c>
      <c r="K1067" s="73">
        <v>-127</v>
      </c>
      <c r="L1067" s="73">
        <v>-31</v>
      </c>
      <c r="M1067" s="73">
        <v>-19</v>
      </c>
      <c r="N1067" s="73">
        <v>-41</v>
      </c>
      <c r="O1067" s="73">
        <v>-23</v>
      </c>
      <c r="P1067" s="73">
        <v>-35</v>
      </c>
      <c r="Q1067" s="73">
        <v>-9</v>
      </c>
      <c r="R1067" s="73">
        <v>0</v>
      </c>
      <c r="S1067" s="73">
        <v>0</v>
      </c>
      <c r="T1067" s="73">
        <v>0</v>
      </c>
      <c r="U1067" s="73">
        <v>0</v>
      </c>
      <c r="V1067" s="73">
        <v>0</v>
      </c>
      <c r="W1067" s="73">
        <v>0</v>
      </c>
      <c r="X1067" s="73">
        <v>0</v>
      </c>
      <c r="Y1067" s="73">
        <v>0</v>
      </c>
      <c r="Z1067" s="73">
        <v>328</v>
      </c>
      <c r="AA1067" s="73">
        <v>683</v>
      </c>
      <c r="AB1067" s="73">
        <v>0</v>
      </c>
      <c r="AC1067" s="73">
        <v>0</v>
      </c>
      <c r="AD1067" s="73">
        <v>0</v>
      </c>
      <c r="AE1067" s="73">
        <v>0</v>
      </c>
      <c r="AF1067" s="74">
        <f>tblData[[#This Row],[Gross Sales]]+tblData[[#This Row],[Trade Discounts]]+tblData[[#This Row],[Returns]]</f>
        <v>390</v>
      </c>
      <c r="AG1067" s="74">
        <f>tblData[[#This Row],[Material Cost]]+tblData[[#This Row],[Conversion Cost]]+tblData[[#This Row],[Inbound Freight]]</f>
        <v>-177</v>
      </c>
      <c r="AH1067" s="74">
        <f>tblData[[#This Row],[Net Revenue]]+tblData[[#This Row],[COGS]]</f>
        <v>213</v>
      </c>
      <c r="AI1067" s="74">
        <f>tblData[[#This Row],[Advertising]]+tblData[[#This Row],[Promotions]]</f>
        <v>-64</v>
      </c>
      <c r="AJ1067" s="74">
        <f>tblData[[#This Row],[Outbound Logistics]]+tblData[[#This Row],[Direct Selling]]</f>
        <v>-44</v>
      </c>
      <c r="AK1067" s="74">
        <f>tblData[[#This Row],[Gross Profit]]+tblData[[#This Row],[AP Spend]]+tblData[[#This Row],[Cost to Serve]]</f>
        <v>105</v>
      </c>
    </row>
    <row r="1068" spans="2:37" x14ac:dyDescent="0.25">
      <c r="B1068" s="71" t="s">
        <v>51</v>
      </c>
      <c r="C1068" s="71">
        <v>2026</v>
      </c>
      <c r="D1068" s="71">
        <v>4</v>
      </c>
      <c r="E1068" s="71" t="s">
        <v>47</v>
      </c>
      <c r="F1068" s="71" t="s">
        <v>38</v>
      </c>
      <c r="G1068" s="72">
        <v>62.8</v>
      </c>
      <c r="H1068" s="73">
        <v>886</v>
      </c>
      <c r="I1068" s="73">
        <v>-27</v>
      </c>
      <c r="J1068" s="73">
        <v>-44</v>
      </c>
      <c r="K1068" s="73">
        <v>-194</v>
      </c>
      <c r="L1068" s="73">
        <v>-48</v>
      </c>
      <c r="M1068" s="73">
        <v>-29</v>
      </c>
      <c r="N1068" s="73">
        <v>-46</v>
      </c>
      <c r="O1068" s="73">
        <v>-26</v>
      </c>
      <c r="P1068" s="73">
        <v>-109</v>
      </c>
      <c r="Q1068" s="73">
        <v>-35</v>
      </c>
      <c r="R1068" s="73">
        <v>0</v>
      </c>
      <c r="S1068" s="73">
        <v>0</v>
      </c>
      <c r="T1068" s="73">
        <v>0</v>
      </c>
      <c r="U1068" s="73">
        <v>0</v>
      </c>
      <c r="V1068" s="73">
        <v>0</v>
      </c>
      <c r="W1068" s="73">
        <v>0</v>
      </c>
      <c r="X1068" s="73">
        <v>0</v>
      </c>
      <c r="Y1068" s="73">
        <v>0</v>
      </c>
      <c r="Z1068" s="73">
        <v>127</v>
      </c>
      <c r="AA1068" s="73">
        <v>832</v>
      </c>
      <c r="AB1068" s="73">
        <v>0</v>
      </c>
      <c r="AC1068" s="73">
        <v>0</v>
      </c>
      <c r="AD1068" s="73">
        <v>0</v>
      </c>
      <c r="AE1068" s="73">
        <v>0</v>
      </c>
      <c r="AF1068" s="74">
        <f>tblData[[#This Row],[Gross Sales]]+tblData[[#This Row],[Trade Discounts]]+tblData[[#This Row],[Returns]]</f>
        <v>815</v>
      </c>
      <c r="AG1068" s="74">
        <f>tblData[[#This Row],[Material Cost]]+tblData[[#This Row],[Conversion Cost]]+tblData[[#This Row],[Inbound Freight]]</f>
        <v>-271</v>
      </c>
      <c r="AH1068" s="74">
        <f>tblData[[#This Row],[Net Revenue]]+tblData[[#This Row],[COGS]]</f>
        <v>544</v>
      </c>
      <c r="AI1068" s="74">
        <f>tblData[[#This Row],[Advertising]]+tblData[[#This Row],[Promotions]]</f>
        <v>-72</v>
      </c>
      <c r="AJ1068" s="74">
        <f>tblData[[#This Row],[Outbound Logistics]]+tblData[[#This Row],[Direct Selling]]</f>
        <v>-144</v>
      </c>
      <c r="AK1068" s="74">
        <f>tblData[[#This Row],[Gross Profit]]+tblData[[#This Row],[AP Spend]]+tblData[[#This Row],[Cost to Serve]]</f>
        <v>328</v>
      </c>
    </row>
    <row r="1069" spans="2:37" x14ac:dyDescent="0.25">
      <c r="B1069" s="71" t="s">
        <v>51</v>
      </c>
      <c r="C1069" s="71">
        <v>2026</v>
      </c>
      <c r="D1069" s="71">
        <v>4</v>
      </c>
      <c r="E1069" s="71" t="s">
        <v>47</v>
      </c>
      <c r="F1069" s="71" t="s">
        <v>39</v>
      </c>
      <c r="G1069" s="72">
        <v>81.7</v>
      </c>
      <c r="H1069" s="73">
        <v>740</v>
      </c>
      <c r="I1069" s="73">
        <v>-22</v>
      </c>
      <c r="J1069" s="73">
        <v>-37</v>
      </c>
      <c r="K1069" s="73">
        <v>-194</v>
      </c>
      <c r="L1069" s="73">
        <v>-48</v>
      </c>
      <c r="M1069" s="73">
        <v>-29</v>
      </c>
      <c r="N1069" s="73">
        <v>-26</v>
      </c>
      <c r="O1069" s="73">
        <v>-15</v>
      </c>
      <c r="P1069" s="73">
        <v>-91</v>
      </c>
      <c r="Q1069" s="73">
        <v>-30</v>
      </c>
      <c r="R1069" s="73">
        <v>0</v>
      </c>
      <c r="S1069" s="73">
        <v>0</v>
      </c>
      <c r="T1069" s="73">
        <v>0</v>
      </c>
      <c r="U1069" s="73">
        <v>0</v>
      </c>
      <c r="V1069" s="73">
        <v>0</v>
      </c>
      <c r="W1069" s="73">
        <v>0</v>
      </c>
      <c r="X1069" s="73">
        <v>0</v>
      </c>
      <c r="Y1069" s="73">
        <v>0</v>
      </c>
      <c r="Z1069" s="73">
        <v>107</v>
      </c>
      <c r="AA1069" s="73">
        <v>714</v>
      </c>
      <c r="AB1069" s="73">
        <v>0</v>
      </c>
      <c r="AC1069" s="73">
        <v>0</v>
      </c>
      <c r="AD1069" s="73">
        <v>0</v>
      </c>
      <c r="AE1069" s="73">
        <v>0</v>
      </c>
      <c r="AF1069" s="74">
        <f>tblData[[#This Row],[Gross Sales]]+tblData[[#This Row],[Trade Discounts]]+tblData[[#This Row],[Returns]]</f>
        <v>681</v>
      </c>
      <c r="AG1069" s="74">
        <f>tblData[[#This Row],[Material Cost]]+tblData[[#This Row],[Conversion Cost]]+tblData[[#This Row],[Inbound Freight]]</f>
        <v>-271</v>
      </c>
      <c r="AH1069" s="74">
        <f>tblData[[#This Row],[Net Revenue]]+tblData[[#This Row],[COGS]]</f>
        <v>410</v>
      </c>
      <c r="AI1069" s="74">
        <f>tblData[[#This Row],[Advertising]]+tblData[[#This Row],[Promotions]]</f>
        <v>-41</v>
      </c>
      <c r="AJ1069" s="74">
        <f>tblData[[#This Row],[Outbound Logistics]]+tblData[[#This Row],[Direct Selling]]</f>
        <v>-121</v>
      </c>
      <c r="AK1069" s="74">
        <f>tblData[[#This Row],[Gross Profit]]+tblData[[#This Row],[AP Spend]]+tblData[[#This Row],[Cost to Serve]]</f>
        <v>248</v>
      </c>
    </row>
    <row r="1070" spans="2:37" x14ac:dyDescent="0.25">
      <c r="B1070" s="71" t="s">
        <v>51</v>
      </c>
      <c r="C1070" s="71">
        <v>2026</v>
      </c>
      <c r="D1070" s="71">
        <v>4</v>
      </c>
      <c r="E1070" s="71" t="s">
        <v>47</v>
      </c>
      <c r="F1070" s="71" t="s">
        <v>40</v>
      </c>
      <c r="G1070" s="72">
        <v>78.599999999999994</v>
      </c>
      <c r="H1070" s="73">
        <v>553</v>
      </c>
      <c r="I1070" s="73">
        <v>-17</v>
      </c>
      <c r="J1070" s="73">
        <v>-28</v>
      </c>
      <c r="K1070" s="73">
        <v>-161</v>
      </c>
      <c r="L1070" s="73">
        <v>-40</v>
      </c>
      <c r="M1070" s="73">
        <v>-24</v>
      </c>
      <c r="N1070" s="73">
        <v>-13</v>
      </c>
      <c r="O1070" s="73">
        <v>-8</v>
      </c>
      <c r="P1070" s="73">
        <v>-68</v>
      </c>
      <c r="Q1070" s="73">
        <v>-22</v>
      </c>
      <c r="R1070" s="73">
        <v>0</v>
      </c>
      <c r="S1070" s="73">
        <v>0</v>
      </c>
      <c r="T1070" s="73">
        <v>0</v>
      </c>
      <c r="U1070" s="73">
        <v>0</v>
      </c>
      <c r="V1070" s="73">
        <v>0</v>
      </c>
      <c r="W1070" s="73">
        <v>0</v>
      </c>
      <c r="X1070" s="73">
        <v>0</v>
      </c>
      <c r="Y1070" s="73">
        <v>0</v>
      </c>
      <c r="Z1070" s="73">
        <v>79</v>
      </c>
      <c r="AA1070" s="73">
        <v>551</v>
      </c>
      <c r="AB1070" s="73">
        <v>0</v>
      </c>
      <c r="AC1070" s="73">
        <v>0</v>
      </c>
      <c r="AD1070" s="73">
        <v>0</v>
      </c>
      <c r="AE1070" s="73">
        <v>0</v>
      </c>
      <c r="AF1070" s="74">
        <f>tblData[[#This Row],[Gross Sales]]+tblData[[#This Row],[Trade Discounts]]+tblData[[#This Row],[Returns]]</f>
        <v>508</v>
      </c>
      <c r="AG1070" s="74">
        <f>tblData[[#This Row],[Material Cost]]+tblData[[#This Row],[Conversion Cost]]+tblData[[#This Row],[Inbound Freight]]</f>
        <v>-225</v>
      </c>
      <c r="AH1070" s="74">
        <f>tblData[[#This Row],[Net Revenue]]+tblData[[#This Row],[COGS]]</f>
        <v>283</v>
      </c>
      <c r="AI1070" s="74">
        <f>tblData[[#This Row],[Advertising]]+tblData[[#This Row],[Promotions]]</f>
        <v>-21</v>
      </c>
      <c r="AJ1070" s="74">
        <f>tblData[[#This Row],[Outbound Logistics]]+tblData[[#This Row],[Direct Selling]]</f>
        <v>-90</v>
      </c>
      <c r="AK1070" s="74">
        <f>tblData[[#This Row],[Gross Profit]]+tblData[[#This Row],[AP Spend]]+tblData[[#This Row],[Cost to Serve]]</f>
        <v>172</v>
      </c>
    </row>
    <row r="1071" spans="2:37" x14ac:dyDescent="0.25">
      <c r="B1071" s="71" t="s">
        <v>51</v>
      </c>
      <c r="C1071" s="71">
        <v>2026</v>
      </c>
      <c r="D1071" s="71">
        <v>4</v>
      </c>
      <c r="E1071" s="71" t="s">
        <v>47</v>
      </c>
      <c r="F1071" s="71" t="s">
        <v>41</v>
      </c>
      <c r="G1071" s="72">
        <v>39.700000000000003</v>
      </c>
      <c r="H1071" s="73">
        <v>440</v>
      </c>
      <c r="I1071" s="73">
        <v>-13</v>
      </c>
      <c r="J1071" s="73">
        <v>-22</v>
      </c>
      <c r="K1071" s="73">
        <v>-106</v>
      </c>
      <c r="L1071" s="73">
        <v>-26</v>
      </c>
      <c r="M1071" s="73">
        <v>-16</v>
      </c>
      <c r="N1071" s="73">
        <v>-28</v>
      </c>
      <c r="O1071" s="73">
        <v>-16</v>
      </c>
      <c r="P1071" s="73">
        <v>-54</v>
      </c>
      <c r="Q1071" s="73">
        <v>-18</v>
      </c>
      <c r="R1071" s="73">
        <v>0</v>
      </c>
      <c r="S1071" s="73">
        <v>0</v>
      </c>
      <c r="T1071" s="73">
        <v>0</v>
      </c>
      <c r="U1071" s="73">
        <v>0</v>
      </c>
      <c r="V1071" s="73">
        <v>0</v>
      </c>
      <c r="W1071" s="73">
        <v>0</v>
      </c>
      <c r="X1071" s="73">
        <v>0</v>
      </c>
      <c r="Y1071" s="73">
        <v>0</v>
      </c>
      <c r="Z1071" s="73">
        <v>63</v>
      </c>
      <c r="AA1071" s="73">
        <v>432</v>
      </c>
      <c r="AB1071" s="73">
        <v>0</v>
      </c>
      <c r="AC1071" s="73">
        <v>0</v>
      </c>
      <c r="AD1071" s="73">
        <v>0</v>
      </c>
      <c r="AE1071" s="73">
        <v>0</v>
      </c>
      <c r="AF1071" s="74">
        <f>tblData[[#This Row],[Gross Sales]]+tblData[[#This Row],[Trade Discounts]]+tblData[[#This Row],[Returns]]</f>
        <v>405</v>
      </c>
      <c r="AG1071" s="74">
        <f>tblData[[#This Row],[Material Cost]]+tblData[[#This Row],[Conversion Cost]]+tblData[[#This Row],[Inbound Freight]]</f>
        <v>-148</v>
      </c>
      <c r="AH1071" s="74">
        <f>tblData[[#This Row],[Net Revenue]]+tblData[[#This Row],[COGS]]</f>
        <v>257</v>
      </c>
      <c r="AI1071" s="74">
        <f>tblData[[#This Row],[Advertising]]+tblData[[#This Row],[Promotions]]</f>
        <v>-44</v>
      </c>
      <c r="AJ1071" s="74">
        <f>tblData[[#This Row],[Outbound Logistics]]+tblData[[#This Row],[Direct Selling]]</f>
        <v>-72</v>
      </c>
      <c r="AK1071" s="74">
        <f>tblData[[#This Row],[Gross Profit]]+tblData[[#This Row],[AP Spend]]+tblData[[#This Row],[Cost to Serve]]</f>
        <v>141</v>
      </c>
    </row>
    <row r="1072" spans="2:37" x14ac:dyDescent="0.25">
      <c r="B1072" s="71" t="s">
        <v>51</v>
      </c>
      <c r="C1072" s="71">
        <v>2026</v>
      </c>
      <c r="D1072" s="71">
        <v>4</v>
      </c>
      <c r="E1072" s="71" t="s">
        <v>47</v>
      </c>
      <c r="F1072" s="71" t="s">
        <v>42</v>
      </c>
      <c r="G1072" s="72">
        <v>48.7</v>
      </c>
      <c r="H1072" s="73">
        <v>293</v>
      </c>
      <c r="I1072" s="73">
        <v>-9</v>
      </c>
      <c r="J1072" s="73">
        <v>-15</v>
      </c>
      <c r="K1072" s="73">
        <v>-94</v>
      </c>
      <c r="L1072" s="73">
        <v>-23</v>
      </c>
      <c r="M1072" s="73">
        <v>-14</v>
      </c>
      <c r="N1072" s="73">
        <v>-5</v>
      </c>
      <c r="O1072" s="73">
        <v>-3</v>
      </c>
      <c r="P1072" s="73">
        <v>-36</v>
      </c>
      <c r="Q1072" s="73">
        <v>-12</v>
      </c>
      <c r="R1072" s="73">
        <v>0</v>
      </c>
      <c r="S1072" s="73">
        <v>0</v>
      </c>
      <c r="T1072" s="73">
        <v>0</v>
      </c>
      <c r="U1072" s="73">
        <v>0</v>
      </c>
      <c r="V1072" s="73">
        <v>0</v>
      </c>
      <c r="W1072" s="73">
        <v>0</v>
      </c>
      <c r="X1072" s="73">
        <v>0</v>
      </c>
      <c r="Y1072" s="73">
        <v>0</v>
      </c>
      <c r="Z1072" s="73">
        <v>42</v>
      </c>
      <c r="AA1072" s="73">
        <v>502</v>
      </c>
      <c r="AB1072" s="73">
        <v>0</v>
      </c>
      <c r="AC1072" s="73">
        <v>0</v>
      </c>
      <c r="AD1072" s="73">
        <v>0</v>
      </c>
      <c r="AE1072" s="73">
        <v>0</v>
      </c>
      <c r="AF1072" s="74">
        <f>tblData[[#This Row],[Gross Sales]]+tblData[[#This Row],[Trade Discounts]]+tblData[[#This Row],[Returns]]</f>
        <v>269</v>
      </c>
      <c r="AG1072" s="74">
        <f>tblData[[#This Row],[Material Cost]]+tblData[[#This Row],[Conversion Cost]]+tblData[[#This Row],[Inbound Freight]]</f>
        <v>-131</v>
      </c>
      <c r="AH1072" s="74">
        <f>tblData[[#This Row],[Net Revenue]]+tblData[[#This Row],[COGS]]</f>
        <v>138</v>
      </c>
      <c r="AI1072" s="74">
        <f>tblData[[#This Row],[Advertising]]+tblData[[#This Row],[Promotions]]</f>
        <v>-8</v>
      </c>
      <c r="AJ1072" s="74">
        <f>tblData[[#This Row],[Outbound Logistics]]+tblData[[#This Row],[Direct Selling]]</f>
        <v>-48</v>
      </c>
      <c r="AK1072" s="74">
        <f>tblData[[#This Row],[Gross Profit]]+tblData[[#This Row],[AP Spend]]+tblData[[#This Row],[Cost to Serve]]</f>
        <v>82</v>
      </c>
    </row>
    <row r="1073" spans="2:37" x14ac:dyDescent="0.25">
      <c r="B1073" s="71" t="s">
        <v>51</v>
      </c>
      <c r="C1073" s="71">
        <v>2026</v>
      </c>
      <c r="D1073" s="71">
        <v>4</v>
      </c>
      <c r="E1073" s="71" t="s">
        <v>47</v>
      </c>
      <c r="F1073" s="71" t="s">
        <v>43</v>
      </c>
      <c r="G1073" s="72">
        <v>9.4</v>
      </c>
      <c r="H1073" s="73">
        <v>170</v>
      </c>
      <c r="I1073" s="73">
        <v>-5</v>
      </c>
      <c r="J1073" s="73">
        <v>-8</v>
      </c>
      <c r="K1073" s="73">
        <v>-47</v>
      </c>
      <c r="L1073" s="73">
        <v>-12</v>
      </c>
      <c r="M1073" s="73">
        <v>-7</v>
      </c>
      <c r="N1073" s="73">
        <v>-15</v>
      </c>
      <c r="O1073" s="73">
        <v>-9</v>
      </c>
      <c r="P1073" s="73">
        <v>-21</v>
      </c>
      <c r="Q1073" s="73">
        <v>-7</v>
      </c>
      <c r="R1073" s="73">
        <v>0</v>
      </c>
      <c r="S1073" s="73">
        <v>0</v>
      </c>
      <c r="T1073" s="73">
        <v>0</v>
      </c>
      <c r="U1073" s="73">
        <v>0</v>
      </c>
      <c r="V1073" s="73">
        <v>0</v>
      </c>
      <c r="W1073" s="73">
        <v>0</v>
      </c>
      <c r="X1073" s="73">
        <v>0</v>
      </c>
      <c r="Y1073" s="73">
        <v>0</v>
      </c>
      <c r="Z1073" s="73">
        <v>24</v>
      </c>
      <c r="AA1073" s="73">
        <v>253</v>
      </c>
      <c r="AB1073" s="73">
        <v>0</v>
      </c>
      <c r="AC1073" s="73">
        <v>0</v>
      </c>
      <c r="AD1073" s="73">
        <v>0</v>
      </c>
      <c r="AE1073" s="73">
        <v>0</v>
      </c>
      <c r="AF1073" s="74">
        <f>tblData[[#This Row],[Gross Sales]]+tblData[[#This Row],[Trade Discounts]]+tblData[[#This Row],[Returns]]</f>
        <v>157</v>
      </c>
      <c r="AG1073" s="74">
        <f>tblData[[#This Row],[Material Cost]]+tblData[[#This Row],[Conversion Cost]]+tblData[[#This Row],[Inbound Freight]]</f>
        <v>-66</v>
      </c>
      <c r="AH1073" s="74">
        <f>tblData[[#This Row],[Net Revenue]]+tblData[[#This Row],[COGS]]</f>
        <v>91</v>
      </c>
      <c r="AI1073" s="74">
        <f>tblData[[#This Row],[Advertising]]+tblData[[#This Row],[Promotions]]</f>
        <v>-24</v>
      </c>
      <c r="AJ1073" s="74">
        <f>tblData[[#This Row],[Outbound Logistics]]+tblData[[#This Row],[Direct Selling]]</f>
        <v>-28</v>
      </c>
      <c r="AK1073" s="74">
        <f>tblData[[#This Row],[Gross Profit]]+tblData[[#This Row],[AP Spend]]+tblData[[#This Row],[Cost to Serve]]</f>
        <v>39</v>
      </c>
    </row>
    <row r="1074" spans="2:37" x14ac:dyDescent="0.25">
      <c r="B1074" s="71" t="s">
        <v>51</v>
      </c>
      <c r="C1074" s="71">
        <v>2026</v>
      </c>
      <c r="D1074" s="71">
        <v>4</v>
      </c>
      <c r="E1074" s="71" t="s">
        <v>48</v>
      </c>
      <c r="F1074" s="71" t="s">
        <v>38</v>
      </c>
      <c r="G1074" s="72">
        <v>101.1</v>
      </c>
      <c r="H1074" s="73">
        <v>1422</v>
      </c>
      <c r="I1074" s="73">
        <v>-128</v>
      </c>
      <c r="J1074" s="73">
        <v>-14</v>
      </c>
      <c r="K1074" s="73">
        <v>-310</v>
      </c>
      <c r="L1074" s="73">
        <v>-77</v>
      </c>
      <c r="M1074" s="73">
        <v>-46</v>
      </c>
      <c r="N1074" s="73">
        <v>-76</v>
      </c>
      <c r="O1074" s="73">
        <v>-44</v>
      </c>
      <c r="P1074" s="73">
        <v>-44</v>
      </c>
      <c r="Q1074" s="73">
        <v>-21</v>
      </c>
      <c r="R1074" s="73">
        <v>0</v>
      </c>
      <c r="S1074" s="73">
        <v>0</v>
      </c>
      <c r="T1074" s="73">
        <v>0</v>
      </c>
      <c r="U1074" s="73">
        <v>0</v>
      </c>
      <c r="V1074" s="73">
        <v>0</v>
      </c>
      <c r="W1074" s="73">
        <v>0</v>
      </c>
      <c r="X1074" s="73">
        <v>0</v>
      </c>
      <c r="Y1074" s="73">
        <v>0</v>
      </c>
      <c r="Z1074" s="73">
        <v>2872</v>
      </c>
      <c r="AA1074" s="73">
        <v>1338</v>
      </c>
      <c r="AB1074" s="73">
        <v>0</v>
      </c>
      <c r="AC1074" s="73">
        <v>0</v>
      </c>
      <c r="AD1074" s="73">
        <v>0</v>
      </c>
      <c r="AE1074" s="73">
        <v>0</v>
      </c>
      <c r="AF1074" s="74">
        <f>tblData[[#This Row],[Gross Sales]]+tblData[[#This Row],[Trade Discounts]]+tblData[[#This Row],[Returns]]</f>
        <v>1280</v>
      </c>
      <c r="AG1074" s="74">
        <f>tblData[[#This Row],[Material Cost]]+tblData[[#This Row],[Conversion Cost]]+tblData[[#This Row],[Inbound Freight]]</f>
        <v>-433</v>
      </c>
      <c r="AH1074" s="74">
        <f>tblData[[#This Row],[Net Revenue]]+tblData[[#This Row],[COGS]]</f>
        <v>847</v>
      </c>
      <c r="AI1074" s="74">
        <f>tblData[[#This Row],[Advertising]]+tblData[[#This Row],[Promotions]]</f>
        <v>-120</v>
      </c>
      <c r="AJ1074" s="74">
        <f>tblData[[#This Row],[Outbound Logistics]]+tblData[[#This Row],[Direct Selling]]</f>
        <v>-65</v>
      </c>
      <c r="AK1074" s="74">
        <f>tblData[[#This Row],[Gross Profit]]+tblData[[#This Row],[AP Spend]]+tblData[[#This Row],[Cost to Serve]]</f>
        <v>662</v>
      </c>
    </row>
    <row r="1075" spans="2:37" x14ac:dyDescent="0.25">
      <c r="B1075" s="71" t="s">
        <v>51</v>
      </c>
      <c r="C1075" s="71">
        <v>2026</v>
      </c>
      <c r="D1075" s="71">
        <v>4</v>
      </c>
      <c r="E1075" s="71" t="s">
        <v>48</v>
      </c>
      <c r="F1075" s="71" t="s">
        <v>39</v>
      </c>
      <c r="G1075" s="72">
        <v>132.4</v>
      </c>
      <c r="H1075" s="73">
        <v>1193</v>
      </c>
      <c r="I1075" s="73">
        <v>-107</v>
      </c>
      <c r="J1075" s="73">
        <v>-12</v>
      </c>
      <c r="K1075" s="73">
        <v>-313</v>
      </c>
      <c r="L1075" s="73">
        <v>-77</v>
      </c>
      <c r="M1075" s="73">
        <v>-47</v>
      </c>
      <c r="N1075" s="73">
        <v>-44</v>
      </c>
      <c r="O1075" s="73">
        <v>-25</v>
      </c>
      <c r="P1075" s="73">
        <v>-37</v>
      </c>
      <c r="Q1075" s="73">
        <v>-18</v>
      </c>
      <c r="R1075" s="73">
        <v>0</v>
      </c>
      <c r="S1075" s="73">
        <v>0</v>
      </c>
      <c r="T1075" s="73">
        <v>0</v>
      </c>
      <c r="U1075" s="73">
        <v>0</v>
      </c>
      <c r="V1075" s="73">
        <v>0</v>
      </c>
      <c r="W1075" s="73">
        <v>0</v>
      </c>
      <c r="X1075" s="73">
        <v>0</v>
      </c>
      <c r="Y1075" s="73">
        <v>0</v>
      </c>
      <c r="Z1075" s="73">
        <v>2415</v>
      </c>
      <c r="AA1075" s="73">
        <v>1146</v>
      </c>
      <c r="AB1075" s="73">
        <v>0</v>
      </c>
      <c r="AC1075" s="73">
        <v>0</v>
      </c>
      <c r="AD1075" s="73">
        <v>0</v>
      </c>
      <c r="AE1075" s="73">
        <v>0</v>
      </c>
      <c r="AF1075" s="74">
        <f>tblData[[#This Row],[Gross Sales]]+tblData[[#This Row],[Trade Discounts]]+tblData[[#This Row],[Returns]]</f>
        <v>1074</v>
      </c>
      <c r="AG1075" s="74">
        <f>tblData[[#This Row],[Material Cost]]+tblData[[#This Row],[Conversion Cost]]+tblData[[#This Row],[Inbound Freight]]</f>
        <v>-437</v>
      </c>
      <c r="AH1075" s="74">
        <f>tblData[[#This Row],[Net Revenue]]+tblData[[#This Row],[COGS]]</f>
        <v>637</v>
      </c>
      <c r="AI1075" s="74">
        <f>tblData[[#This Row],[Advertising]]+tblData[[#This Row],[Promotions]]</f>
        <v>-69</v>
      </c>
      <c r="AJ1075" s="74">
        <f>tblData[[#This Row],[Outbound Logistics]]+tblData[[#This Row],[Direct Selling]]</f>
        <v>-55</v>
      </c>
      <c r="AK1075" s="74">
        <f>tblData[[#This Row],[Gross Profit]]+tblData[[#This Row],[AP Spend]]+tblData[[#This Row],[Cost to Serve]]</f>
        <v>513</v>
      </c>
    </row>
    <row r="1076" spans="2:37" x14ac:dyDescent="0.25">
      <c r="B1076" s="71" t="s">
        <v>51</v>
      </c>
      <c r="C1076" s="71">
        <v>2026</v>
      </c>
      <c r="D1076" s="71">
        <v>4</v>
      </c>
      <c r="E1076" s="71" t="s">
        <v>48</v>
      </c>
      <c r="F1076" s="71" t="s">
        <v>40</v>
      </c>
      <c r="G1076" s="72">
        <v>126.5</v>
      </c>
      <c r="H1076" s="73">
        <v>886</v>
      </c>
      <c r="I1076" s="73">
        <v>-80</v>
      </c>
      <c r="J1076" s="73">
        <v>-9</v>
      </c>
      <c r="K1076" s="73">
        <v>-258</v>
      </c>
      <c r="L1076" s="73">
        <v>-64</v>
      </c>
      <c r="M1076" s="73">
        <v>-38</v>
      </c>
      <c r="N1076" s="73">
        <v>-22</v>
      </c>
      <c r="O1076" s="73">
        <v>-13</v>
      </c>
      <c r="P1076" s="73">
        <v>-27</v>
      </c>
      <c r="Q1076" s="73">
        <v>-13</v>
      </c>
      <c r="R1076" s="73">
        <v>0</v>
      </c>
      <c r="S1076" s="73">
        <v>0</v>
      </c>
      <c r="T1076" s="73">
        <v>0</v>
      </c>
      <c r="U1076" s="73">
        <v>0</v>
      </c>
      <c r="V1076" s="73">
        <v>0</v>
      </c>
      <c r="W1076" s="73">
        <v>0</v>
      </c>
      <c r="X1076" s="73">
        <v>0</v>
      </c>
      <c r="Y1076" s="73">
        <v>0</v>
      </c>
      <c r="Z1076" s="73">
        <v>1788</v>
      </c>
      <c r="AA1076" s="73">
        <v>886</v>
      </c>
      <c r="AB1076" s="73">
        <v>0</v>
      </c>
      <c r="AC1076" s="73">
        <v>0</v>
      </c>
      <c r="AD1076" s="73">
        <v>0</v>
      </c>
      <c r="AE1076" s="73">
        <v>0</v>
      </c>
      <c r="AF1076" s="74">
        <f>tblData[[#This Row],[Gross Sales]]+tblData[[#This Row],[Trade Discounts]]+tblData[[#This Row],[Returns]]</f>
        <v>797</v>
      </c>
      <c r="AG1076" s="74">
        <f>tblData[[#This Row],[Material Cost]]+tblData[[#This Row],[Conversion Cost]]+tblData[[#This Row],[Inbound Freight]]</f>
        <v>-360</v>
      </c>
      <c r="AH1076" s="74">
        <f>tblData[[#This Row],[Net Revenue]]+tblData[[#This Row],[COGS]]</f>
        <v>437</v>
      </c>
      <c r="AI1076" s="74">
        <f>tblData[[#This Row],[Advertising]]+tblData[[#This Row],[Promotions]]</f>
        <v>-35</v>
      </c>
      <c r="AJ1076" s="74">
        <f>tblData[[#This Row],[Outbound Logistics]]+tblData[[#This Row],[Direct Selling]]</f>
        <v>-40</v>
      </c>
      <c r="AK1076" s="74">
        <f>tblData[[#This Row],[Gross Profit]]+tblData[[#This Row],[AP Spend]]+tblData[[#This Row],[Cost to Serve]]</f>
        <v>362</v>
      </c>
    </row>
    <row r="1077" spans="2:37" x14ac:dyDescent="0.25">
      <c r="B1077" s="71" t="s">
        <v>51</v>
      </c>
      <c r="C1077" s="71">
        <v>2026</v>
      </c>
      <c r="D1077" s="71">
        <v>4</v>
      </c>
      <c r="E1077" s="71" t="s">
        <v>48</v>
      </c>
      <c r="F1077" s="71" t="s">
        <v>41</v>
      </c>
      <c r="G1077" s="72">
        <v>63.8</v>
      </c>
      <c r="H1077" s="73">
        <v>703</v>
      </c>
      <c r="I1077" s="73">
        <v>-63</v>
      </c>
      <c r="J1077" s="73">
        <v>-7</v>
      </c>
      <c r="K1077" s="73">
        <v>-169</v>
      </c>
      <c r="L1077" s="73">
        <v>-42</v>
      </c>
      <c r="M1077" s="73">
        <v>-25</v>
      </c>
      <c r="N1077" s="73">
        <v>-47</v>
      </c>
      <c r="O1077" s="73">
        <v>-27</v>
      </c>
      <c r="P1077" s="73">
        <v>-22</v>
      </c>
      <c r="Q1077" s="73">
        <v>-11</v>
      </c>
      <c r="R1077" s="73">
        <v>0</v>
      </c>
      <c r="S1077" s="73">
        <v>0</v>
      </c>
      <c r="T1077" s="73">
        <v>0</v>
      </c>
      <c r="U1077" s="73">
        <v>0</v>
      </c>
      <c r="V1077" s="73">
        <v>0</v>
      </c>
      <c r="W1077" s="73">
        <v>0</v>
      </c>
      <c r="X1077" s="73">
        <v>0</v>
      </c>
      <c r="Y1077" s="73">
        <v>0</v>
      </c>
      <c r="Z1077" s="73">
        <v>1419</v>
      </c>
      <c r="AA1077" s="73">
        <v>690</v>
      </c>
      <c r="AB1077" s="73">
        <v>0</v>
      </c>
      <c r="AC1077" s="73">
        <v>0</v>
      </c>
      <c r="AD1077" s="73">
        <v>0</v>
      </c>
      <c r="AE1077" s="73">
        <v>0</v>
      </c>
      <c r="AF1077" s="74">
        <f>tblData[[#This Row],[Gross Sales]]+tblData[[#This Row],[Trade Discounts]]+tblData[[#This Row],[Returns]]</f>
        <v>633</v>
      </c>
      <c r="AG1077" s="74">
        <f>tblData[[#This Row],[Material Cost]]+tblData[[#This Row],[Conversion Cost]]+tblData[[#This Row],[Inbound Freight]]</f>
        <v>-236</v>
      </c>
      <c r="AH1077" s="74">
        <f>tblData[[#This Row],[Net Revenue]]+tblData[[#This Row],[COGS]]</f>
        <v>397</v>
      </c>
      <c r="AI1077" s="74">
        <f>tblData[[#This Row],[Advertising]]+tblData[[#This Row],[Promotions]]</f>
        <v>-74</v>
      </c>
      <c r="AJ1077" s="74">
        <f>tblData[[#This Row],[Outbound Logistics]]+tblData[[#This Row],[Direct Selling]]</f>
        <v>-33</v>
      </c>
      <c r="AK1077" s="74">
        <f>tblData[[#This Row],[Gross Profit]]+tblData[[#This Row],[AP Spend]]+tblData[[#This Row],[Cost to Serve]]</f>
        <v>290</v>
      </c>
    </row>
    <row r="1078" spans="2:37" x14ac:dyDescent="0.25">
      <c r="B1078" s="71" t="s">
        <v>51</v>
      </c>
      <c r="C1078" s="71">
        <v>2026</v>
      </c>
      <c r="D1078" s="71">
        <v>4</v>
      </c>
      <c r="E1078" s="71" t="s">
        <v>48</v>
      </c>
      <c r="F1078" s="71" t="s">
        <v>42</v>
      </c>
      <c r="G1078" s="72">
        <v>78.7</v>
      </c>
      <c r="H1078" s="73">
        <v>471</v>
      </c>
      <c r="I1078" s="73">
        <v>-42</v>
      </c>
      <c r="J1078" s="73">
        <v>-5</v>
      </c>
      <c r="K1078" s="73">
        <v>-151</v>
      </c>
      <c r="L1078" s="73">
        <v>-37</v>
      </c>
      <c r="M1078" s="73">
        <v>-23</v>
      </c>
      <c r="N1078" s="73">
        <v>-9</v>
      </c>
      <c r="O1078" s="73">
        <v>-5</v>
      </c>
      <c r="P1078" s="73">
        <v>-14</v>
      </c>
      <c r="Q1078" s="73">
        <v>-7</v>
      </c>
      <c r="R1078" s="73">
        <v>0</v>
      </c>
      <c r="S1078" s="73">
        <v>0</v>
      </c>
      <c r="T1078" s="73">
        <v>0</v>
      </c>
      <c r="U1078" s="73">
        <v>0</v>
      </c>
      <c r="V1078" s="73">
        <v>0</v>
      </c>
      <c r="W1078" s="73">
        <v>0</v>
      </c>
      <c r="X1078" s="73">
        <v>0</v>
      </c>
      <c r="Y1078" s="73">
        <v>0</v>
      </c>
      <c r="Z1078" s="73">
        <v>950</v>
      </c>
      <c r="AA1078" s="73">
        <v>806</v>
      </c>
      <c r="AB1078" s="73">
        <v>0</v>
      </c>
      <c r="AC1078" s="73">
        <v>0</v>
      </c>
      <c r="AD1078" s="73">
        <v>0</v>
      </c>
      <c r="AE1078" s="73">
        <v>0</v>
      </c>
      <c r="AF1078" s="74">
        <f>tblData[[#This Row],[Gross Sales]]+tblData[[#This Row],[Trade Discounts]]+tblData[[#This Row],[Returns]]</f>
        <v>424</v>
      </c>
      <c r="AG1078" s="74">
        <f>tblData[[#This Row],[Material Cost]]+tblData[[#This Row],[Conversion Cost]]+tblData[[#This Row],[Inbound Freight]]</f>
        <v>-211</v>
      </c>
      <c r="AH1078" s="74">
        <f>tblData[[#This Row],[Net Revenue]]+tblData[[#This Row],[COGS]]</f>
        <v>213</v>
      </c>
      <c r="AI1078" s="74">
        <f>tblData[[#This Row],[Advertising]]+tblData[[#This Row],[Promotions]]</f>
        <v>-14</v>
      </c>
      <c r="AJ1078" s="74">
        <f>tblData[[#This Row],[Outbound Logistics]]+tblData[[#This Row],[Direct Selling]]</f>
        <v>-21</v>
      </c>
      <c r="AK1078" s="74">
        <f>tblData[[#This Row],[Gross Profit]]+tblData[[#This Row],[AP Spend]]+tblData[[#This Row],[Cost to Serve]]</f>
        <v>178</v>
      </c>
    </row>
    <row r="1079" spans="2:37" x14ac:dyDescent="0.25">
      <c r="B1079" s="71" t="s">
        <v>51</v>
      </c>
      <c r="C1079" s="71">
        <v>2026</v>
      </c>
      <c r="D1079" s="71">
        <v>4</v>
      </c>
      <c r="E1079" s="71" t="s">
        <v>48</v>
      </c>
      <c r="F1079" s="71" t="s">
        <v>43</v>
      </c>
      <c r="G1079" s="72">
        <v>15.1</v>
      </c>
      <c r="H1079" s="73">
        <v>272</v>
      </c>
      <c r="I1079" s="73">
        <v>-24</v>
      </c>
      <c r="J1079" s="73">
        <v>-3</v>
      </c>
      <c r="K1079" s="73">
        <v>-75</v>
      </c>
      <c r="L1079" s="73">
        <v>-19</v>
      </c>
      <c r="M1079" s="73">
        <v>-11</v>
      </c>
      <c r="N1079" s="73">
        <v>-25</v>
      </c>
      <c r="O1079" s="73">
        <v>-15</v>
      </c>
      <c r="P1079" s="73">
        <v>-8</v>
      </c>
      <c r="Q1079" s="73">
        <v>-4</v>
      </c>
      <c r="R1079" s="73">
        <v>0</v>
      </c>
      <c r="S1079" s="73">
        <v>0</v>
      </c>
      <c r="T1079" s="73">
        <v>0</v>
      </c>
      <c r="U1079" s="73">
        <v>0</v>
      </c>
      <c r="V1079" s="73">
        <v>0</v>
      </c>
      <c r="W1079" s="73">
        <v>0</v>
      </c>
      <c r="X1079" s="73">
        <v>0</v>
      </c>
      <c r="Y1079" s="73">
        <v>0</v>
      </c>
      <c r="Z1079" s="73">
        <v>550</v>
      </c>
      <c r="AA1079" s="73">
        <v>406</v>
      </c>
      <c r="AB1079" s="73">
        <v>0</v>
      </c>
      <c r="AC1079" s="73">
        <v>0</v>
      </c>
      <c r="AD1079" s="73">
        <v>0</v>
      </c>
      <c r="AE1079" s="73">
        <v>0</v>
      </c>
      <c r="AF1079" s="74">
        <f>tblData[[#This Row],[Gross Sales]]+tblData[[#This Row],[Trade Discounts]]+tblData[[#This Row],[Returns]]</f>
        <v>245</v>
      </c>
      <c r="AG1079" s="74">
        <f>tblData[[#This Row],[Material Cost]]+tblData[[#This Row],[Conversion Cost]]+tblData[[#This Row],[Inbound Freight]]</f>
        <v>-105</v>
      </c>
      <c r="AH1079" s="74">
        <f>tblData[[#This Row],[Net Revenue]]+tblData[[#This Row],[COGS]]</f>
        <v>140</v>
      </c>
      <c r="AI1079" s="74">
        <f>tblData[[#This Row],[Advertising]]+tblData[[#This Row],[Promotions]]</f>
        <v>-40</v>
      </c>
      <c r="AJ1079" s="74">
        <f>tblData[[#This Row],[Outbound Logistics]]+tblData[[#This Row],[Direct Selling]]</f>
        <v>-12</v>
      </c>
      <c r="AK1079" s="74">
        <f>tblData[[#This Row],[Gross Profit]]+tblData[[#This Row],[AP Spend]]+tblData[[#This Row],[Cost to Serve]]</f>
        <v>88</v>
      </c>
    </row>
    <row r="1080" spans="2:37" x14ac:dyDescent="0.25">
      <c r="B1080" s="71" t="s">
        <v>51</v>
      </c>
      <c r="C1080" s="71">
        <v>2026</v>
      </c>
      <c r="D1080" s="71">
        <v>4</v>
      </c>
      <c r="E1080" s="71" t="s">
        <v>49</v>
      </c>
      <c r="F1080" s="71" t="s">
        <v>49</v>
      </c>
      <c r="G1080" s="72">
        <v>0</v>
      </c>
      <c r="H1080" s="73">
        <v>0</v>
      </c>
      <c r="I1080" s="73">
        <v>0</v>
      </c>
      <c r="J1080" s="73">
        <v>0</v>
      </c>
      <c r="K1080" s="73">
        <v>0</v>
      </c>
      <c r="L1080" s="73">
        <v>0</v>
      </c>
      <c r="M1080" s="73">
        <v>0</v>
      </c>
      <c r="N1080" s="73">
        <v>0</v>
      </c>
      <c r="O1080" s="73">
        <v>0</v>
      </c>
      <c r="P1080" s="73">
        <v>0</v>
      </c>
      <c r="Q1080" s="73">
        <v>0</v>
      </c>
      <c r="R1080" s="73">
        <v>-4270</v>
      </c>
      <c r="S1080" s="73">
        <v>-1004</v>
      </c>
      <c r="T1080" s="73">
        <v>-1288</v>
      </c>
      <c r="U1080" s="73">
        <v>-1094</v>
      </c>
      <c r="V1080" s="73">
        <v>-1480</v>
      </c>
      <c r="W1080" s="73">
        <v>-703</v>
      </c>
      <c r="X1080" s="73">
        <v>-1437</v>
      </c>
      <c r="Y1080" s="73">
        <v>-1323</v>
      </c>
      <c r="Z1080" s="73">
        <v>0</v>
      </c>
      <c r="AA1080" s="73">
        <v>0</v>
      </c>
      <c r="AB1080" s="73">
        <v>32887</v>
      </c>
      <c r="AC1080" s="73">
        <v>66680</v>
      </c>
      <c r="AD1080" s="73">
        <v>187500</v>
      </c>
      <c r="AE1080" s="73">
        <v>1182</v>
      </c>
      <c r="AF1080" s="74">
        <f>tblData[[#This Row],[Gross Sales]]+tblData[[#This Row],[Trade Discounts]]+tblData[[#This Row],[Returns]]</f>
        <v>0</v>
      </c>
      <c r="AG1080" s="74">
        <f>tblData[[#This Row],[Material Cost]]+tblData[[#This Row],[Conversion Cost]]+tblData[[#This Row],[Inbound Freight]]</f>
        <v>0</v>
      </c>
      <c r="AH1080" s="74">
        <f>tblData[[#This Row],[Net Revenue]]+tblData[[#This Row],[COGS]]</f>
        <v>0</v>
      </c>
      <c r="AI1080" s="74">
        <f>tblData[[#This Row],[Advertising]]+tblData[[#This Row],[Promotions]]</f>
        <v>0</v>
      </c>
      <c r="AJ1080" s="74">
        <f>tblData[[#This Row],[Outbound Logistics]]+tblData[[#This Row],[Direct Selling]]</f>
        <v>0</v>
      </c>
      <c r="AK1080" s="74">
        <f>tblData[[#This Row],[Gross Profit]]+tblData[[#This Row],[AP Spend]]+tblData[[#This Row],[Cost to Serve]]</f>
        <v>0</v>
      </c>
    </row>
    <row r="1081" spans="2:37" x14ac:dyDescent="0.25">
      <c r="B1081" s="71" t="s">
        <v>51</v>
      </c>
      <c r="C1081" s="71">
        <v>2026</v>
      </c>
      <c r="D1081" s="71">
        <v>5</v>
      </c>
      <c r="E1081" s="71" t="s">
        <v>37</v>
      </c>
      <c r="F1081" s="71" t="s">
        <v>38</v>
      </c>
      <c r="G1081" s="72">
        <v>300.5</v>
      </c>
      <c r="H1081" s="73">
        <v>4225</v>
      </c>
      <c r="I1081" s="73">
        <v>-821</v>
      </c>
      <c r="J1081" s="73">
        <v>-63</v>
      </c>
      <c r="K1081" s="73">
        <v>-922</v>
      </c>
      <c r="L1081" s="73">
        <v>-228</v>
      </c>
      <c r="M1081" s="73">
        <v>-138</v>
      </c>
      <c r="N1081" s="73">
        <v>-235</v>
      </c>
      <c r="O1081" s="73">
        <v>-135</v>
      </c>
      <c r="P1081" s="73">
        <v>-173</v>
      </c>
      <c r="Q1081" s="73">
        <v>-127</v>
      </c>
      <c r="R1081" s="73">
        <v>0</v>
      </c>
      <c r="S1081" s="73">
        <v>0</v>
      </c>
      <c r="T1081" s="73">
        <v>0</v>
      </c>
      <c r="U1081" s="73">
        <v>0</v>
      </c>
      <c r="V1081" s="73">
        <v>0</v>
      </c>
      <c r="W1081" s="73">
        <v>0</v>
      </c>
      <c r="X1081" s="73">
        <v>0</v>
      </c>
      <c r="Y1081" s="73">
        <v>0</v>
      </c>
      <c r="Z1081" s="73">
        <v>6086</v>
      </c>
      <c r="AA1081" s="73">
        <v>4076</v>
      </c>
      <c r="AB1081" s="73">
        <v>0</v>
      </c>
      <c r="AC1081" s="73">
        <v>0</v>
      </c>
      <c r="AD1081" s="73">
        <v>0</v>
      </c>
      <c r="AE1081" s="73">
        <v>0</v>
      </c>
      <c r="AF1081" s="74">
        <f>tblData[[#This Row],[Gross Sales]]+tblData[[#This Row],[Trade Discounts]]+tblData[[#This Row],[Returns]]</f>
        <v>3341</v>
      </c>
      <c r="AG1081" s="74">
        <f>tblData[[#This Row],[Material Cost]]+tblData[[#This Row],[Conversion Cost]]+tblData[[#This Row],[Inbound Freight]]</f>
        <v>-1288</v>
      </c>
      <c r="AH1081" s="74">
        <f>tblData[[#This Row],[Net Revenue]]+tblData[[#This Row],[COGS]]</f>
        <v>2053</v>
      </c>
      <c r="AI1081" s="74">
        <f>tblData[[#This Row],[Advertising]]+tblData[[#This Row],[Promotions]]</f>
        <v>-370</v>
      </c>
      <c r="AJ1081" s="74">
        <f>tblData[[#This Row],[Outbound Logistics]]+tblData[[#This Row],[Direct Selling]]</f>
        <v>-300</v>
      </c>
      <c r="AK1081" s="74">
        <f>tblData[[#This Row],[Gross Profit]]+tblData[[#This Row],[AP Spend]]+tblData[[#This Row],[Cost to Serve]]</f>
        <v>1383</v>
      </c>
    </row>
    <row r="1082" spans="2:37" x14ac:dyDescent="0.25">
      <c r="B1082" s="71" t="s">
        <v>51</v>
      </c>
      <c r="C1082" s="71">
        <v>2026</v>
      </c>
      <c r="D1082" s="71">
        <v>5</v>
      </c>
      <c r="E1082" s="71" t="s">
        <v>37</v>
      </c>
      <c r="F1082" s="71" t="s">
        <v>39</v>
      </c>
      <c r="G1082" s="72">
        <v>393.3</v>
      </c>
      <c r="H1082" s="73">
        <v>3545</v>
      </c>
      <c r="I1082" s="73">
        <v>-689</v>
      </c>
      <c r="J1082" s="73">
        <v>-53</v>
      </c>
      <c r="K1082" s="73">
        <v>-929</v>
      </c>
      <c r="L1082" s="73">
        <v>-230</v>
      </c>
      <c r="M1082" s="73">
        <v>-139</v>
      </c>
      <c r="N1082" s="73">
        <v>-134</v>
      </c>
      <c r="O1082" s="73">
        <v>-77</v>
      </c>
      <c r="P1082" s="73">
        <v>-145</v>
      </c>
      <c r="Q1082" s="73">
        <v>-106</v>
      </c>
      <c r="R1082" s="73">
        <v>0</v>
      </c>
      <c r="S1082" s="73">
        <v>0</v>
      </c>
      <c r="T1082" s="73">
        <v>0</v>
      </c>
      <c r="U1082" s="73">
        <v>0</v>
      </c>
      <c r="V1082" s="73">
        <v>0</v>
      </c>
      <c r="W1082" s="73">
        <v>0</v>
      </c>
      <c r="X1082" s="73">
        <v>0</v>
      </c>
      <c r="Y1082" s="73">
        <v>0</v>
      </c>
      <c r="Z1082" s="73">
        <v>5119</v>
      </c>
      <c r="AA1082" s="73">
        <v>3491</v>
      </c>
      <c r="AB1082" s="73">
        <v>0</v>
      </c>
      <c r="AC1082" s="73">
        <v>0</v>
      </c>
      <c r="AD1082" s="73">
        <v>0</v>
      </c>
      <c r="AE1082" s="73">
        <v>0</v>
      </c>
      <c r="AF1082" s="74">
        <f>tblData[[#This Row],[Gross Sales]]+tblData[[#This Row],[Trade Discounts]]+tblData[[#This Row],[Returns]]</f>
        <v>2803</v>
      </c>
      <c r="AG1082" s="74">
        <f>tblData[[#This Row],[Material Cost]]+tblData[[#This Row],[Conversion Cost]]+tblData[[#This Row],[Inbound Freight]]</f>
        <v>-1298</v>
      </c>
      <c r="AH1082" s="74">
        <f>tblData[[#This Row],[Net Revenue]]+tblData[[#This Row],[COGS]]</f>
        <v>1505</v>
      </c>
      <c r="AI1082" s="74">
        <f>tblData[[#This Row],[Advertising]]+tblData[[#This Row],[Promotions]]</f>
        <v>-211</v>
      </c>
      <c r="AJ1082" s="74">
        <f>tblData[[#This Row],[Outbound Logistics]]+tblData[[#This Row],[Direct Selling]]</f>
        <v>-251</v>
      </c>
      <c r="AK1082" s="74">
        <f>tblData[[#This Row],[Gross Profit]]+tblData[[#This Row],[AP Spend]]+tblData[[#This Row],[Cost to Serve]]</f>
        <v>1043</v>
      </c>
    </row>
    <row r="1083" spans="2:37" x14ac:dyDescent="0.25">
      <c r="B1083" s="71" t="s">
        <v>51</v>
      </c>
      <c r="C1083" s="71">
        <v>2026</v>
      </c>
      <c r="D1083" s="71">
        <v>5</v>
      </c>
      <c r="E1083" s="71" t="s">
        <v>37</v>
      </c>
      <c r="F1083" s="71" t="s">
        <v>40</v>
      </c>
      <c r="G1083" s="72">
        <v>372.4</v>
      </c>
      <c r="H1083" s="73">
        <v>2607</v>
      </c>
      <c r="I1083" s="73">
        <v>-507</v>
      </c>
      <c r="J1083" s="73">
        <v>-39</v>
      </c>
      <c r="K1083" s="73">
        <v>-759</v>
      </c>
      <c r="L1083" s="73">
        <v>-188</v>
      </c>
      <c r="M1083" s="73">
        <v>-113</v>
      </c>
      <c r="N1083" s="73">
        <v>-67</v>
      </c>
      <c r="O1083" s="73">
        <v>-39</v>
      </c>
      <c r="P1083" s="73">
        <v>-107</v>
      </c>
      <c r="Q1083" s="73">
        <v>-78</v>
      </c>
      <c r="R1083" s="73">
        <v>0</v>
      </c>
      <c r="S1083" s="73">
        <v>0</v>
      </c>
      <c r="T1083" s="73">
        <v>0</v>
      </c>
      <c r="U1083" s="73">
        <v>0</v>
      </c>
      <c r="V1083" s="73">
        <v>0</v>
      </c>
      <c r="W1083" s="73">
        <v>0</v>
      </c>
      <c r="X1083" s="73">
        <v>0</v>
      </c>
      <c r="Y1083" s="73">
        <v>0</v>
      </c>
      <c r="Z1083" s="73">
        <v>3778</v>
      </c>
      <c r="AA1083" s="73">
        <v>2693</v>
      </c>
      <c r="AB1083" s="73">
        <v>0</v>
      </c>
      <c r="AC1083" s="73">
        <v>0</v>
      </c>
      <c r="AD1083" s="73">
        <v>0</v>
      </c>
      <c r="AE1083" s="73">
        <v>0</v>
      </c>
      <c r="AF1083" s="74">
        <f>tblData[[#This Row],[Gross Sales]]+tblData[[#This Row],[Trade Discounts]]+tblData[[#This Row],[Returns]]</f>
        <v>2061</v>
      </c>
      <c r="AG1083" s="74">
        <f>tblData[[#This Row],[Material Cost]]+tblData[[#This Row],[Conversion Cost]]+tblData[[#This Row],[Inbound Freight]]</f>
        <v>-1060</v>
      </c>
      <c r="AH1083" s="74">
        <f>tblData[[#This Row],[Net Revenue]]+tblData[[#This Row],[COGS]]</f>
        <v>1001</v>
      </c>
      <c r="AI1083" s="74">
        <f>tblData[[#This Row],[Advertising]]+tblData[[#This Row],[Promotions]]</f>
        <v>-106</v>
      </c>
      <c r="AJ1083" s="74">
        <f>tblData[[#This Row],[Outbound Logistics]]+tblData[[#This Row],[Direct Selling]]</f>
        <v>-185</v>
      </c>
      <c r="AK1083" s="74">
        <f>tblData[[#This Row],[Gross Profit]]+tblData[[#This Row],[AP Spend]]+tblData[[#This Row],[Cost to Serve]]</f>
        <v>710</v>
      </c>
    </row>
    <row r="1084" spans="2:37" x14ac:dyDescent="0.25">
      <c r="B1084" s="71" t="s">
        <v>51</v>
      </c>
      <c r="C1084" s="71">
        <v>2026</v>
      </c>
      <c r="D1084" s="71">
        <v>5</v>
      </c>
      <c r="E1084" s="71" t="s">
        <v>37</v>
      </c>
      <c r="F1084" s="71" t="s">
        <v>41</v>
      </c>
      <c r="G1084" s="72">
        <v>188.5</v>
      </c>
      <c r="H1084" s="73">
        <v>2078</v>
      </c>
      <c r="I1084" s="73">
        <v>-404</v>
      </c>
      <c r="J1084" s="73">
        <v>-31</v>
      </c>
      <c r="K1084" s="73">
        <v>-499</v>
      </c>
      <c r="L1084" s="73">
        <v>-123</v>
      </c>
      <c r="M1084" s="73">
        <v>-75</v>
      </c>
      <c r="N1084" s="73">
        <v>-144</v>
      </c>
      <c r="O1084" s="73">
        <v>-83</v>
      </c>
      <c r="P1084" s="73">
        <v>-85</v>
      </c>
      <c r="Q1084" s="73">
        <v>-62</v>
      </c>
      <c r="R1084" s="73">
        <v>0</v>
      </c>
      <c r="S1084" s="73">
        <v>0</v>
      </c>
      <c r="T1084" s="73">
        <v>0</v>
      </c>
      <c r="U1084" s="73">
        <v>0</v>
      </c>
      <c r="V1084" s="73">
        <v>0</v>
      </c>
      <c r="W1084" s="73">
        <v>0</v>
      </c>
      <c r="X1084" s="73">
        <v>0</v>
      </c>
      <c r="Y1084" s="73">
        <v>0</v>
      </c>
      <c r="Z1084" s="73">
        <v>2993</v>
      </c>
      <c r="AA1084" s="73">
        <v>2094</v>
      </c>
      <c r="AB1084" s="73">
        <v>0</v>
      </c>
      <c r="AC1084" s="73">
        <v>0</v>
      </c>
      <c r="AD1084" s="73">
        <v>0</v>
      </c>
      <c r="AE1084" s="73">
        <v>0</v>
      </c>
      <c r="AF1084" s="74">
        <f>tblData[[#This Row],[Gross Sales]]+tblData[[#This Row],[Trade Discounts]]+tblData[[#This Row],[Returns]]</f>
        <v>1643</v>
      </c>
      <c r="AG1084" s="74">
        <f>tblData[[#This Row],[Material Cost]]+tblData[[#This Row],[Conversion Cost]]+tblData[[#This Row],[Inbound Freight]]</f>
        <v>-697</v>
      </c>
      <c r="AH1084" s="74">
        <f>tblData[[#This Row],[Net Revenue]]+tblData[[#This Row],[COGS]]</f>
        <v>946</v>
      </c>
      <c r="AI1084" s="74">
        <f>tblData[[#This Row],[Advertising]]+tblData[[#This Row],[Promotions]]</f>
        <v>-227</v>
      </c>
      <c r="AJ1084" s="74">
        <f>tblData[[#This Row],[Outbound Logistics]]+tblData[[#This Row],[Direct Selling]]</f>
        <v>-147</v>
      </c>
      <c r="AK1084" s="74">
        <f>tblData[[#This Row],[Gross Profit]]+tblData[[#This Row],[AP Spend]]+tblData[[#This Row],[Cost to Serve]]</f>
        <v>572</v>
      </c>
    </row>
    <row r="1085" spans="2:37" x14ac:dyDescent="0.25">
      <c r="B1085" s="71" t="s">
        <v>51</v>
      </c>
      <c r="C1085" s="71">
        <v>2026</v>
      </c>
      <c r="D1085" s="71">
        <v>5</v>
      </c>
      <c r="E1085" s="71" t="s">
        <v>37</v>
      </c>
      <c r="F1085" s="71" t="s">
        <v>42</v>
      </c>
      <c r="G1085" s="72">
        <v>230.5</v>
      </c>
      <c r="H1085" s="73">
        <v>1379</v>
      </c>
      <c r="I1085" s="73">
        <v>-268</v>
      </c>
      <c r="J1085" s="73">
        <v>-21</v>
      </c>
      <c r="K1085" s="73">
        <v>-442</v>
      </c>
      <c r="L1085" s="73">
        <v>-109</v>
      </c>
      <c r="M1085" s="73">
        <v>-66</v>
      </c>
      <c r="N1085" s="73">
        <v>-28</v>
      </c>
      <c r="O1085" s="73">
        <v>-16</v>
      </c>
      <c r="P1085" s="73">
        <v>-56</v>
      </c>
      <c r="Q1085" s="73">
        <v>-41</v>
      </c>
      <c r="R1085" s="73">
        <v>0</v>
      </c>
      <c r="S1085" s="73">
        <v>0</v>
      </c>
      <c r="T1085" s="73">
        <v>0</v>
      </c>
      <c r="U1085" s="73">
        <v>0</v>
      </c>
      <c r="V1085" s="73">
        <v>0</v>
      </c>
      <c r="W1085" s="73">
        <v>0</v>
      </c>
      <c r="X1085" s="73">
        <v>0</v>
      </c>
      <c r="Y1085" s="73">
        <v>0</v>
      </c>
      <c r="Z1085" s="73">
        <v>2001</v>
      </c>
      <c r="AA1085" s="73">
        <v>2443</v>
      </c>
      <c r="AB1085" s="73">
        <v>0</v>
      </c>
      <c r="AC1085" s="73">
        <v>0</v>
      </c>
      <c r="AD1085" s="73">
        <v>0</v>
      </c>
      <c r="AE1085" s="73">
        <v>0</v>
      </c>
      <c r="AF1085" s="74">
        <f>tblData[[#This Row],[Gross Sales]]+tblData[[#This Row],[Trade Discounts]]+tblData[[#This Row],[Returns]]</f>
        <v>1090</v>
      </c>
      <c r="AG1085" s="74">
        <f>tblData[[#This Row],[Material Cost]]+tblData[[#This Row],[Conversion Cost]]+tblData[[#This Row],[Inbound Freight]]</f>
        <v>-617</v>
      </c>
      <c r="AH1085" s="74">
        <f>tblData[[#This Row],[Net Revenue]]+tblData[[#This Row],[COGS]]</f>
        <v>473</v>
      </c>
      <c r="AI1085" s="74">
        <f>tblData[[#This Row],[Advertising]]+tblData[[#This Row],[Promotions]]</f>
        <v>-44</v>
      </c>
      <c r="AJ1085" s="74">
        <f>tblData[[#This Row],[Outbound Logistics]]+tblData[[#This Row],[Direct Selling]]</f>
        <v>-97</v>
      </c>
      <c r="AK1085" s="74">
        <f>tblData[[#This Row],[Gross Profit]]+tblData[[#This Row],[AP Spend]]+tblData[[#This Row],[Cost to Serve]]</f>
        <v>332</v>
      </c>
    </row>
    <row r="1086" spans="2:37" x14ac:dyDescent="0.25">
      <c r="B1086" s="71" t="s">
        <v>51</v>
      </c>
      <c r="C1086" s="71">
        <v>2026</v>
      </c>
      <c r="D1086" s="71">
        <v>5</v>
      </c>
      <c r="E1086" s="71" t="s">
        <v>37</v>
      </c>
      <c r="F1086" s="71" t="s">
        <v>43</v>
      </c>
      <c r="G1086" s="72">
        <v>44.9</v>
      </c>
      <c r="H1086" s="73">
        <v>808</v>
      </c>
      <c r="I1086" s="73">
        <v>-157</v>
      </c>
      <c r="J1086" s="73">
        <v>-12</v>
      </c>
      <c r="K1086" s="73">
        <v>-223</v>
      </c>
      <c r="L1086" s="73">
        <v>-55</v>
      </c>
      <c r="M1086" s="73">
        <v>-33</v>
      </c>
      <c r="N1086" s="73">
        <v>-78</v>
      </c>
      <c r="O1086" s="73">
        <v>-45</v>
      </c>
      <c r="P1086" s="73">
        <v>-33</v>
      </c>
      <c r="Q1086" s="73">
        <v>-24</v>
      </c>
      <c r="R1086" s="73">
        <v>0</v>
      </c>
      <c r="S1086" s="73">
        <v>0</v>
      </c>
      <c r="T1086" s="73">
        <v>0</v>
      </c>
      <c r="U1086" s="73">
        <v>0</v>
      </c>
      <c r="V1086" s="73">
        <v>0</v>
      </c>
      <c r="W1086" s="73">
        <v>0</v>
      </c>
      <c r="X1086" s="73">
        <v>0</v>
      </c>
      <c r="Y1086" s="73">
        <v>0</v>
      </c>
      <c r="Z1086" s="73">
        <v>1164</v>
      </c>
      <c r="AA1086" s="73">
        <v>1237</v>
      </c>
      <c r="AB1086" s="73">
        <v>0</v>
      </c>
      <c r="AC1086" s="73">
        <v>0</v>
      </c>
      <c r="AD1086" s="73">
        <v>0</v>
      </c>
      <c r="AE1086" s="73">
        <v>0</v>
      </c>
      <c r="AF1086" s="74">
        <f>tblData[[#This Row],[Gross Sales]]+tblData[[#This Row],[Trade Discounts]]+tblData[[#This Row],[Returns]]</f>
        <v>639</v>
      </c>
      <c r="AG1086" s="74">
        <f>tblData[[#This Row],[Material Cost]]+tblData[[#This Row],[Conversion Cost]]+tblData[[#This Row],[Inbound Freight]]</f>
        <v>-311</v>
      </c>
      <c r="AH1086" s="74">
        <f>tblData[[#This Row],[Net Revenue]]+tblData[[#This Row],[COGS]]</f>
        <v>328</v>
      </c>
      <c r="AI1086" s="74">
        <f>tblData[[#This Row],[Advertising]]+tblData[[#This Row],[Promotions]]</f>
        <v>-123</v>
      </c>
      <c r="AJ1086" s="74">
        <f>tblData[[#This Row],[Outbound Logistics]]+tblData[[#This Row],[Direct Selling]]</f>
        <v>-57</v>
      </c>
      <c r="AK1086" s="74">
        <f>tblData[[#This Row],[Gross Profit]]+tblData[[#This Row],[AP Spend]]+tblData[[#This Row],[Cost to Serve]]</f>
        <v>148</v>
      </c>
    </row>
    <row r="1087" spans="2:37" x14ac:dyDescent="0.25">
      <c r="B1087" s="71" t="s">
        <v>51</v>
      </c>
      <c r="C1087" s="71">
        <v>2026</v>
      </c>
      <c r="D1087" s="71">
        <v>5</v>
      </c>
      <c r="E1087" s="71" t="s">
        <v>44</v>
      </c>
      <c r="F1087" s="71" t="s">
        <v>38</v>
      </c>
      <c r="G1087" s="72">
        <v>248.2</v>
      </c>
      <c r="H1087" s="73">
        <v>3500</v>
      </c>
      <c r="I1087" s="73">
        <v>-565</v>
      </c>
      <c r="J1087" s="73">
        <v>-42</v>
      </c>
      <c r="K1087" s="73">
        <v>-764</v>
      </c>
      <c r="L1087" s="73">
        <v>-189</v>
      </c>
      <c r="M1087" s="73">
        <v>-114</v>
      </c>
      <c r="N1087" s="73">
        <v>-188</v>
      </c>
      <c r="O1087" s="73">
        <v>-108</v>
      </c>
      <c r="P1087" s="73">
        <v>-143</v>
      </c>
      <c r="Q1087" s="73">
        <v>-105</v>
      </c>
      <c r="R1087" s="73">
        <v>0</v>
      </c>
      <c r="S1087" s="73">
        <v>0</v>
      </c>
      <c r="T1087" s="73">
        <v>0</v>
      </c>
      <c r="U1087" s="73">
        <v>0</v>
      </c>
      <c r="V1087" s="73">
        <v>0</v>
      </c>
      <c r="W1087" s="73">
        <v>0</v>
      </c>
      <c r="X1087" s="73">
        <v>0</v>
      </c>
      <c r="Y1087" s="73">
        <v>0</v>
      </c>
      <c r="Z1087" s="73">
        <v>4826</v>
      </c>
      <c r="AA1087" s="73">
        <v>3389</v>
      </c>
      <c r="AB1087" s="73">
        <v>0</v>
      </c>
      <c r="AC1087" s="73">
        <v>0</v>
      </c>
      <c r="AD1087" s="73">
        <v>0</v>
      </c>
      <c r="AE1087" s="73">
        <v>0</v>
      </c>
      <c r="AF1087" s="74">
        <f>tblData[[#This Row],[Gross Sales]]+tblData[[#This Row],[Trade Discounts]]+tblData[[#This Row],[Returns]]</f>
        <v>2893</v>
      </c>
      <c r="AG1087" s="74">
        <f>tblData[[#This Row],[Material Cost]]+tblData[[#This Row],[Conversion Cost]]+tblData[[#This Row],[Inbound Freight]]</f>
        <v>-1067</v>
      </c>
      <c r="AH1087" s="74">
        <f>tblData[[#This Row],[Net Revenue]]+tblData[[#This Row],[COGS]]</f>
        <v>1826</v>
      </c>
      <c r="AI1087" s="74">
        <f>tblData[[#This Row],[Advertising]]+tblData[[#This Row],[Promotions]]</f>
        <v>-296</v>
      </c>
      <c r="AJ1087" s="74">
        <f>tblData[[#This Row],[Outbound Logistics]]+tblData[[#This Row],[Direct Selling]]</f>
        <v>-248</v>
      </c>
      <c r="AK1087" s="74">
        <f>tblData[[#This Row],[Gross Profit]]+tblData[[#This Row],[AP Spend]]+tblData[[#This Row],[Cost to Serve]]</f>
        <v>1282</v>
      </c>
    </row>
    <row r="1088" spans="2:37" x14ac:dyDescent="0.25">
      <c r="B1088" s="71" t="s">
        <v>51</v>
      </c>
      <c r="C1088" s="71">
        <v>2026</v>
      </c>
      <c r="D1088" s="71">
        <v>5</v>
      </c>
      <c r="E1088" s="71" t="s">
        <v>44</v>
      </c>
      <c r="F1088" s="71" t="s">
        <v>39</v>
      </c>
      <c r="G1088" s="72">
        <v>324.60000000000002</v>
      </c>
      <c r="H1088" s="73">
        <v>2934</v>
      </c>
      <c r="I1088" s="73">
        <v>-474</v>
      </c>
      <c r="J1088" s="73">
        <v>-35</v>
      </c>
      <c r="K1088" s="73">
        <v>-769</v>
      </c>
      <c r="L1088" s="73">
        <v>-190</v>
      </c>
      <c r="M1088" s="73">
        <v>-115</v>
      </c>
      <c r="N1088" s="73">
        <v>-108</v>
      </c>
      <c r="O1088" s="73">
        <v>-62</v>
      </c>
      <c r="P1088" s="73">
        <v>-120</v>
      </c>
      <c r="Q1088" s="73">
        <v>-88</v>
      </c>
      <c r="R1088" s="73">
        <v>0</v>
      </c>
      <c r="S1088" s="73">
        <v>0</v>
      </c>
      <c r="T1088" s="73">
        <v>0</v>
      </c>
      <c r="U1088" s="73">
        <v>0</v>
      </c>
      <c r="V1088" s="73">
        <v>0</v>
      </c>
      <c r="W1088" s="73">
        <v>0</v>
      </c>
      <c r="X1088" s="73">
        <v>0</v>
      </c>
      <c r="Y1088" s="73">
        <v>0</v>
      </c>
      <c r="Z1088" s="73">
        <v>4054</v>
      </c>
      <c r="AA1088" s="73">
        <v>2899</v>
      </c>
      <c r="AB1088" s="73">
        <v>0</v>
      </c>
      <c r="AC1088" s="73">
        <v>0</v>
      </c>
      <c r="AD1088" s="73">
        <v>0</v>
      </c>
      <c r="AE1088" s="73">
        <v>0</v>
      </c>
      <c r="AF1088" s="74">
        <f>tblData[[#This Row],[Gross Sales]]+tblData[[#This Row],[Trade Discounts]]+tblData[[#This Row],[Returns]]</f>
        <v>2425</v>
      </c>
      <c r="AG1088" s="74">
        <f>tblData[[#This Row],[Material Cost]]+tblData[[#This Row],[Conversion Cost]]+tblData[[#This Row],[Inbound Freight]]</f>
        <v>-1074</v>
      </c>
      <c r="AH1088" s="74">
        <f>tblData[[#This Row],[Net Revenue]]+tblData[[#This Row],[COGS]]</f>
        <v>1351</v>
      </c>
      <c r="AI1088" s="74">
        <f>tblData[[#This Row],[Advertising]]+tblData[[#This Row],[Promotions]]</f>
        <v>-170</v>
      </c>
      <c r="AJ1088" s="74">
        <f>tblData[[#This Row],[Outbound Logistics]]+tblData[[#This Row],[Direct Selling]]</f>
        <v>-208</v>
      </c>
      <c r="AK1088" s="74">
        <f>tblData[[#This Row],[Gross Profit]]+tblData[[#This Row],[AP Spend]]+tblData[[#This Row],[Cost to Serve]]</f>
        <v>973</v>
      </c>
    </row>
    <row r="1089" spans="2:37" x14ac:dyDescent="0.25">
      <c r="B1089" s="71" t="s">
        <v>51</v>
      </c>
      <c r="C1089" s="71">
        <v>2026</v>
      </c>
      <c r="D1089" s="71">
        <v>5</v>
      </c>
      <c r="E1089" s="71" t="s">
        <v>44</v>
      </c>
      <c r="F1089" s="71" t="s">
        <v>40</v>
      </c>
      <c r="G1089" s="72">
        <v>310</v>
      </c>
      <c r="H1089" s="73">
        <v>2176</v>
      </c>
      <c r="I1089" s="73">
        <v>-351</v>
      </c>
      <c r="J1089" s="73">
        <v>-26</v>
      </c>
      <c r="K1089" s="73">
        <v>-634</v>
      </c>
      <c r="L1089" s="73">
        <v>-157</v>
      </c>
      <c r="M1089" s="73">
        <v>-95</v>
      </c>
      <c r="N1089" s="73">
        <v>-54</v>
      </c>
      <c r="O1089" s="73">
        <v>-31</v>
      </c>
      <c r="P1089" s="73">
        <v>-89</v>
      </c>
      <c r="Q1089" s="73">
        <v>-65</v>
      </c>
      <c r="R1089" s="73">
        <v>0</v>
      </c>
      <c r="S1089" s="73">
        <v>0</v>
      </c>
      <c r="T1089" s="73">
        <v>0</v>
      </c>
      <c r="U1089" s="73">
        <v>0</v>
      </c>
      <c r="V1089" s="73">
        <v>0</v>
      </c>
      <c r="W1089" s="73">
        <v>0</v>
      </c>
      <c r="X1089" s="73">
        <v>0</v>
      </c>
      <c r="Y1089" s="73">
        <v>0</v>
      </c>
      <c r="Z1089" s="73">
        <v>2985</v>
      </c>
      <c r="AA1089" s="73">
        <v>2230</v>
      </c>
      <c r="AB1089" s="73">
        <v>0</v>
      </c>
      <c r="AC1089" s="73">
        <v>0</v>
      </c>
      <c r="AD1089" s="73">
        <v>0</v>
      </c>
      <c r="AE1089" s="73">
        <v>0</v>
      </c>
      <c r="AF1089" s="74">
        <f>tblData[[#This Row],[Gross Sales]]+tblData[[#This Row],[Trade Discounts]]+tblData[[#This Row],[Returns]]</f>
        <v>1799</v>
      </c>
      <c r="AG1089" s="74">
        <f>tblData[[#This Row],[Material Cost]]+tblData[[#This Row],[Conversion Cost]]+tblData[[#This Row],[Inbound Freight]]</f>
        <v>-886</v>
      </c>
      <c r="AH1089" s="74">
        <f>tblData[[#This Row],[Net Revenue]]+tblData[[#This Row],[COGS]]</f>
        <v>913</v>
      </c>
      <c r="AI1089" s="74">
        <f>tblData[[#This Row],[Advertising]]+tblData[[#This Row],[Promotions]]</f>
        <v>-85</v>
      </c>
      <c r="AJ1089" s="74">
        <f>tblData[[#This Row],[Outbound Logistics]]+tblData[[#This Row],[Direct Selling]]</f>
        <v>-154</v>
      </c>
      <c r="AK1089" s="74">
        <f>tblData[[#This Row],[Gross Profit]]+tblData[[#This Row],[AP Spend]]+tblData[[#This Row],[Cost to Serve]]</f>
        <v>674</v>
      </c>
    </row>
    <row r="1090" spans="2:37" x14ac:dyDescent="0.25">
      <c r="B1090" s="71" t="s">
        <v>51</v>
      </c>
      <c r="C1090" s="71">
        <v>2026</v>
      </c>
      <c r="D1090" s="71">
        <v>5</v>
      </c>
      <c r="E1090" s="71" t="s">
        <v>44</v>
      </c>
      <c r="F1090" s="71" t="s">
        <v>41</v>
      </c>
      <c r="G1090" s="72">
        <v>156.5</v>
      </c>
      <c r="H1090" s="73">
        <v>1731</v>
      </c>
      <c r="I1090" s="73">
        <v>-279</v>
      </c>
      <c r="J1090" s="73">
        <v>-21</v>
      </c>
      <c r="K1090" s="73">
        <v>-416</v>
      </c>
      <c r="L1090" s="73">
        <v>-103</v>
      </c>
      <c r="M1090" s="73">
        <v>-62</v>
      </c>
      <c r="N1090" s="73">
        <v>-115</v>
      </c>
      <c r="O1090" s="73">
        <v>-66</v>
      </c>
      <c r="P1090" s="73">
        <v>-71</v>
      </c>
      <c r="Q1090" s="73">
        <v>-52</v>
      </c>
      <c r="R1090" s="73">
        <v>0</v>
      </c>
      <c r="S1090" s="73">
        <v>0</v>
      </c>
      <c r="T1090" s="73">
        <v>0</v>
      </c>
      <c r="U1090" s="73">
        <v>0</v>
      </c>
      <c r="V1090" s="73">
        <v>0</v>
      </c>
      <c r="W1090" s="73">
        <v>0</v>
      </c>
      <c r="X1090" s="73">
        <v>0</v>
      </c>
      <c r="Y1090" s="73">
        <v>0</v>
      </c>
      <c r="Z1090" s="73">
        <v>2388</v>
      </c>
      <c r="AA1090" s="73">
        <v>1752</v>
      </c>
      <c r="AB1090" s="73">
        <v>0</v>
      </c>
      <c r="AC1090" s="73">
        <v>0</v>
      </c>
      <c r="AD1090" s="73">
        <v>0</v>
      </c>
      <c r="AE1090" s="73">
        <v>0</v>
      </c>
      <c r="AF1090" s="74">
        <f>tblData[[#This Row],[Gross Sales]]+tblData[[#This Row],[Trade Discounts]]+tblData[[#This Row],[Returns]]</f>
        <v>1431</v>
      </c>
      <c r="AG1090" s="74">
        <f>tblData[[#This Row],[Material Cost]]+tblData[[#This Row],[Conversion Cost]]+tblData[[#This Row],[Inbound Freight]]</f>
        <v>-581</v>
      </c>
      <c r="AH1090" s="74">
        <f>tblData[[#This Row],[Net Revenue]]+tblData[[#This Row],[COGS]]</f>
        <v>850</v>
      </c>
      <c r="AI1090" s="74">
        <f>tblData[[#This Row],[Advertising]]+tblData[[#This Row],[Promotions]]</f>
        <v>-181</v>
      </c>
      <c r="AJ1090" s="74">
        <f>tblData[[#This Row],[Outbound Logistics]]+tblData[[#This Row],[Direct Selling]]</f>
        <v>-123</v>
      </c>
      <c r="AK1090" s="74">
        <f>tblData[[#This Row],[Gross Profit]]+tblData[[#This Row],[AP Spend]]+tblData[[#This Row],[Cost to Serve]]</f>
        <v>546</v>
      </c>
    </row>
    <row r="1091" spans="2:37" x14ac:dyDescent="0.25">
      <c r="B1091" s="71" t="s">
        <v>51</v>
      </c>
      <c r="C1091" s="71">
        <v>2026</v>
      </c>
      <c r="D1091" s="71">
        <v>5</v>
      </c>
      <c r="E1091" s="71" t="s">
        <v>44</v>
      </c>
      <c r="F1091" s="71" t="s">
        <v>42</v>
      </c>
      <c r="G1091" s="72">
        <v>191.3</v>
      </c>
      <c r="H1091" s="73">
        <v>1148</v>
      </c>
      <c r="I1091" s="73">
        <v>-185</v>
      </c>
      <c r="J1091" s="73">
        <v>-14</v>
      </c>
      <c r="K1091" s="73">
        <v>-368</v>
      </c>
      <c r="L1091" s="73">
        <v>-91</v>
      </c>
      <c r="M1091" s="73">
        <v>-55</v>
      </c>
      <c r="N1091" s="73">
        <v>-22</v>
      </c>
      <c r="O1091" s="73">
        <v>-13</v>
      </c>
      <c r="P1091" s="73">
        <v>-47</v>
      </c>
      <c r="Q1091" s="73">
        <v>-34</v>
      </c>
      <c r="R1091" s="73">
        <v>0</v>
      </c>
      <c r="S1091" s="73">
        <v>0</v>
      </c>
      <c r="T1091" s="73">
        <v>0</v>
      </c>
      <c r="U1091" s="73">
        <v>0</v>
      </c>
      <c r="V1091" s="73">
        <v>0</v>
      </c>
      <c r="W1091" s="73">
        <v>0</v>
      </c>
      <c r="X1091" s="73">
        <v>0</v>
      </c>
      <c r="Y1091" s="73">
        <v>0</v>
      </c>
      <c r="Z1091" s="73">
        <v>1587</v>
      </c>
      <c r="AA1091" s="73">
        <v>2031</v>
      </c>
      <c r="AB1091" s="73">
        <v>0</v>
      </c>
      <c r="AC1091" s="73">
        <v>0</v>
      </c>
      <c r="AD1091" s="73">
        <v>0</v>
      </c>
      <c r="AE1091" s="73">
        <v>0</v>
      </c>
      <c r="AF1091" s="74">
        <f>tblData[[#This Row],[Gross Sales]]+tblData[[#This Row],[Trade Discounts]]+tblData[[#This Row],[Returns]]</f>
        <v>949</v>
      </c>
      <c r="AG1091" s="74">
        <f>tblData[[#This Row],[Material Cost]]+tblData[[#This Row],[Conversion Cost]]+tblData[[#This Row],[Inbound Freight]]</f>
        <v>-514</v>
      </c>
      <c r="AH1091" s="74">
        <f>tblData[[#This Row],[Net Revenue]]+tblData[[#This Row],[COGS]]</f>
        <v>435</v>
      </c>
      <c r="AI1091" s="74">
        <f>tblData[[#This Row],[Advertising]]+tblData[[#This Row],[Promotions]]</f>
        <v>-35</v>
      </c>
      <c r="AJ1091" s="74">
        <f>tblData[[#This Row],[Outbound Logistics]]+tblData[[#This Row],[Direct Selling]]</f>
        <v>-81</v>
      </c>
      <c r="AK1091" s="74">
        <f>tblData[[#This Row],[Gross Profit]]+tblData[[#This Row],[AP Spend]]+tblData[[#This Row],[Cost to Serve]]</f>
        <v>319</v>
      </c>
    </row>
    <row r="1092" spans="2:37" x14ac:dyDescent="0.25">
      <c r="B1092" s="71" t="s">
        <v>51</v>
      </c>
      <c r="C1092" s="71">
        <v>2026</v>
      </c>
      <c r="D1092" s="71">
        <v>5</v>
      </c>
      <c r="E1092" s="71" t="s">
        <v>44</v>
      </c>
      <c r="F1092" s="71" t="s">
        <v>43</v>
      </c>
      <c r="G1092" s="72">
        <v>36.799999999999997</v>
      </c>
      <c r="H1092" s="73">
        <v>664</v>
      </c>
      <c r="I1092" s="73">
        <v>-107</v>
      </c>
      <c r="J1092" s="73">
        <v>-8</v>
      </c>
      <c r="K1092" s="73">
        <v>-184</v>
      </c>
      <c r="L1092" s="73">
        <v>-45</v>
      </c>
      <c r="M1092" s="73">
        <v>-27</v>
      </c>
      <c r="N1092" s="73">
        <v>-63</v>
      </c>
      <c r="O1092" s="73">
        <v>-36</v>
      </c>
      <c r="P1092" s="73">
        <v>-27</v>
      </c>
      <c r="Q1092" s="73">
        <v>-20</v>
      </c>
      <c r="R1092" s="73">
        <v>0</v>
      </c>
      <c r="S1092" s="73">
        <v>0</v>
      </c>
      <c r="T1092" s="73">
        <v>0</v>
      </c>
      <c r="U1092" s="73">
        <v>0</v>
      </c>
      <c r="V1092" s="73">
        <v>0</v>
      </c>
      <c r="W1092" s="73">
        <v>0</v>
      </c>
      <c r="X1092" s="73">
        <v>0</v>
      </c>
      <c r="Y1092" s="73">
        <v>0</v>
      </c>
      <c r="Z1092" s="73">
        <v>917</v>
      </c>
      <c r="AA1092" s="73">
        <v>1022</v>
      </c>
      <c r="AB1092" s="73">
        <v>0</v>
      </c>
      <c r="AC1092" s="73">
        <v>0</v>
      </c>
      <c r="AD1092" s="73">
        <v>0</v>
      </c>
      <c r="AE1092" s="73">
        <v>0</v>
      </c>
      <c r="AF1092" s="74">
        <f>tblData[[#This Row],[Gross Sales]]+tblData[[#This Row],[Trade Discounts]]+tblData[[#This Row],[Returns]]</f>
        <v>549</v>
      </c>
      <c r="AG1092" s="74">
        <f>tblData[[#This Row],[Material Cost]]+tblData[[#This Row],[Conversion Cost]]+tblData[[#This Row],[Inbound Freight]]</f>
        <v>-256</v>
      </c>
      <c r="AH1092" s="74">
        <f>tblData[[#This Row],[Net Revenue]]+tblData[[#This Row],[COGS]]</f>
        <v>293</v>
      </c>
      <c r="AI1092" s="74">
        <f>tblData[[#This Row],[Advertising]]+tblData[[#This Row],[Promotions]]</f>
        <v>-99</v>
      </c>
      <c r="AJ1092" s="74">
        <f>tblData[[#This Row],[Outbound Logistics]]+tblData[[#This Row],[Direct Selling]]</f>
        <v>-47</v>
      </c>
      <c r="AK1092" s="74">
        <f>tblData[[#This Row],[Gross Profit]]+tblData[[#This Row],[AP Spend]]+tblData[[#This Row],[Cost to Serve]]</f>
        <v>147</v>
      </c>
    </row>
    <row r="1093" spans="2:37" x14ac:dyDescent="0.25">
      <c r="B1093" s="71" t="s">
        <v>51</v>
      </c>
      <c r="C1093" s="71">
        <v>2026</v>
      </c>
      <c r="D1093" s="71">
        <v>5</v>
      </c>
      <c r="E1093" s="71" t="s">
        <v>45</v>
      </c>
      <c r="F1093" s="71" t="s">
        <v>38</v>
      </c>
      <c r="G1093" s="72">
        <v>141.19999999999999</v>
      </c>
      <c r="H1093" s="73">
        <v>1974</v>
      </c>
      <c r="I1093" s="73">
        <v>-451</v>
      </c>
      <c r="J1093" s="73">
        <v>-20</v>
      </c>
      <c r="K1093" s="73">
        <v>-431</v>
      </c>
      <c r="L1093" s="73">
        <v>-107</v>
      </c>
      <c r="M1093" s="73">
        <v>-64</v>
      </c>
      <c r="N1093" s="73">
        <v>-110</v>
      </c>
      <c r="O1093" s="73">
        <v>-63</v>
      </c>
      <c r="P1093" s="73">
        <v>-71</v>
      </c>
      <c r="Q1093" s="73">
        <v>-39</v>
      </c>
      <c r="R1093" s="73">
        <v>0</v>
      </c>
      <c r="S1093" s="73">
        <v>0</v>
      </c>
      <c r="T1093" s="73">
        <v>0</v>
      </c>
      <c r="U1093" s="73">
        <v>0</v>
      </c>
      <c r="V1093" s="73">
        <v>0</v>
      </c>
      <c r="W1093" s="73">
        <v>0</v>
      </c>
      <c r="X1093" s="73">
        <v>0</v>
      </c>
      <c r="Y1093" s="73">
        <v>0</v>
      </c>
      <c r="Z1093" s="73">
        <v>2273</v>
      </c>
      <c r="AA1093" s="73">
        <v>1917</v>
      </c>
      <c r="AB1093" s="73">
        <v>0</v>
      </c>
      <c r="AC1093" s="73">
        <v>0</v>
      </c>
      <c r="AD1093" s="73">
        <v>0</v>
      </c>
      <c r="AE1093" s="73">
        <v>0</v>
      </c>
      <c r="AF1093" s="74">
        <f>tblData[[#This Row],[Gross Sales]]+tblData[[#This Row],[Trade Discounts]]+tblData[[#This Row],[Returns]]</f>
        <v>1503</v>
      </c>
      <c r="AG1093" s="74">
        <f>tblData[[#This Row],[Material Cost]]+tblData[[#This Row],[Conversion Cost]]+tblData[[#This Row],[Inbound Freight]]</f>
        <v>-602</v>
      </c>
      <c r="AH1093" s="74">
        <f>tblData[[#This Row],[Net Revenue]]+tblData[[#This Row],[COGS]]</f>
        <v>901</v>
      </c>
      <c r="AI1093" s="74">
        <f>tblData[[#This Row],[Advertising]]+tblData[[#This Row],[Promotions]]</f>
        <v>-173</v>
      </c>
      <c r="AJ1093" s="74">
        <f>tblData[[#This Row],[Outbound Logistics]]+tblData[[#This Row],[Direct Selling]]</f>
        <v>-110</v>
      </c>
      <c r="AK1093" s="74">
        <f>tblData[[#This Row],[Gross Profit]]+tblData[[#This Row],[AP Spend]]+tblData[[#This Row],[Cost to Serve]]</f>
        <v>618</v>
      </c>
    </row>
    <row r="1094" spans="2:37" x14ac:dyDescent="0.25">
      <c r="B1094" s="71" t="s">
        <v>51</v>
      </c>
      <c r="C1094" s="71">
        <v>2026</v>
      </c>
      <c r="D1094" s="71">
        <v>5</v>
      </c>
      <c r="E1094" s="71" t="s">
        <v>45</v>
      </c>
      <c r="F1094" s="71" t="s">
        <v>39</v>
      </c>
      <c r="G1094" s="72">
        <v>184.5</v>
      </c>
      <c r="H1094" s="73">
        <v>1653</v>
      </c>
      <c r="I1094" s="73">
        <v>-378</v>
      </c>
      <c r="J1094" s="73">
        <v>-17</v>
      </c>
      <c r="K1094" s="73">
        <v>-433</v>
      </c>
      <c r="L1094" s="73">
        <v>-107</v>
      </c>
      <c r="M1094" s="73">
        <v>-65</v>
      </c>
      <c r="N1094" s="73">
        <v>-63</v>
      </c>
      <c r="O1094" s="73">
        <v>-36</v>
      </c>
      <c r="P1094" s="73">
        <v>-59</v>
      </c>
      <c r="Q1094" s="73">
        <v>-33</v>
      </c>
      <c r="R1094" s="73">
        <v>0</v>
      </c>
      <c r="S1094" s="73">
        <v>0</v>
      </c>
      <c r="T1094" s="73">
        <v>0</v>
      </c>
      <c r="U1094" s="73">
        <v>0</v>
      </c>
      <c r="V1094" s="73">
        <v>0</v>
      </c>
      <c r="W1094" s="73">
        <v>0</v>
      </c>
      <c r="X1094" s="73">
        <v>0</v>
      </c>
      <c r="Y1094" s="73">
        <v>0</v>
      </c>
      <c r="Z1094" s="73">
        <v>1900</v>
      </c>
      <c r="AA1094" s="73">
        <v>1632</v>
      </c>
      <c r="AB1094" s="73">
        <v>0</v>
      </c>
      <c r="AC1094" s="73">
        <v>0</v>
      </c>
      <c r="AD1094" s="73">
        <v>0</v>
      </c>
      <c r="AE1094" s="73">
        <v>0</v>
      </c>
      <c r="AF1094" s="74">
        <f>tblData[[#This Row],[Gross Sales]]+tblData[[#This Row],[Trade Discounts]]+tblData[[#This Row],[Returns]]</f>
        <v>1258</v>
      </c>
      <c r="AG1094" s="74">
        <f>tblData[[#This Row],[Material Cost]]+tblData[[#This Row],[Conversion Cost]]+tblData[[#This Row],[Inbound Freight]]</f>
        <v>-605</v>
      </c>
      <c r="AH1094" s="74">
        <f>tblData[[#This Row],[Net Revenue]]+tblData[[#This Row],[COGS]]</f>
        <v>653</v>
      </c>
      <c r="AI1094" s="74">
        <f>tblData[[#This Row],[Advertising]]+tblData[[#This Row],[Promotions]]</f>
        <v>-99</v>
      </c>
      <c r="AJ1094" s="74">
        <f>tblData[[#This Row],[Outbound Logistics]]+tblData[[#This Row],[Direct Selling]]</f>
        <v>-92</v>
      </c>
      <c r="AK1094" s="74">
        <f>tblData[[#This Row],[Gross Profit]]+tblData[[#This Row],[AP Spend]]+tblData[[#This Row],[Cost to Serve]]</f>
        <v>462</v>
      </c>
    </row>
    <row r="1095" spans="2:37" x14ac:dyDescent="0.25">
      <c r="B1095" s="71" t="s">
        <v>51</v>
      </c>
      <c r="C1095" s="71">
        <v>2026</v>
      </c>
      <c r="D1095" s="71">
        <v>5</v>
      </c>
      <c r="E1095" s="71" t="s">
        <v>45</v>
      </c>
      <c r="F1095" s="71" t="s">
        <v>40</v>
      </c>
      <c r="G1095" s="72">
        <v>176.1</v>
      </c>
      <c r="H1095" s="73">
        <v>1226</v>
      </c>
      <c r="I1095" s="73">
        <v>-280</v>
      </c>
      <c r="J1095" s="73">
        <v>-12</v>
      </c>
      <c r="K1095" s="73">
        <v>-357</v>
      </c>
      <c r="L1095" s="73">
        <v>-88</v>
      </c>
      <c r="M1095" s="73">
        <v>-53</v>
      </c>
      <c r="N1095" s="73">
        <v>-31</v>
      </c>
      <c r="O1095" s="73">
        <v>-18</v>
      </c>
      <c r="P1095" s="73">
        <v>-44</v>
      </c>
      <c r="Q1095" s="73">
        <v>-25</v>
      </c>
      <c r="R1095" s="73">
        <v>0</v>
      </c>
      <c r="S1095" s="73">
        <v>0</v>
      </c>
      <c r="T1095" s="73">
        <v>0</v>
      </c>
      <c r="U1095" s="73">
        <v>0</v>
      </c>
      <c r="V1095" s="73">
        <v>0</v>
      </c>
      <c r="W1095" s="73">
        <v>0</v>
      </c>
      <c r="X1095" s="73">
        <v>0</v>
      </c>
      <c r="Y1095" s="73">
        <v>0</v>
      </c>
      <c r="Z1095" s="73">
        <v>1407</v>
      </c>
      <c r="AA1095" s="73">
        <v>1263</v>
      </c>
      <c r="AB1095" s="73">
        <v>0</v>
      </c>
      <c r="AC1095" s="73">
        <v>0</v>
      </c>
      <c r="AD1095" s="73">
        <v>0</v>
      </c>
      <c r="AE1095" s="73">
        <v>0</v>
      </c>
      <c r="AF1095" s="74">
        <f>tblData[[#This Row],[Gross Sales]]+tblData[[#This Row],[Trade Discounts]]+tblData[[#This Row],[Returns]]</f>
        <v>934</v>
      </c>
      <c r="AG1095" s="74">
        <f>tblData[[#This Row],[Material Cost]]+tblData[[#This Row],[Conversion Cost]]+tblData[[#This Row],[Inbound Freight]]</f>
        <v>-498</v>
      </c>
      <c r="AH1095" s="74">
        <f>tblData[[#This Row],[Net Revenue]]+tblData[[#This Row],[COGS]]</f>
        <v>436</v>
      </c>
      <c r="AI1095" s="74">
        <f>tblData[[#This Row],[Advertising]]+tblData[[#This Row],[Promotions]]</f>
        <v>-49</v>
      </c>
      <c r="AJ1095" s="74">
        <f>tblData[[#This Row],[Outbound Logistics]]+tblData[[#This Row],[Direct Selling]]</f>
        <v>-69</v>
      </c>
      <c r="AK1095" s="74">
        <f>tblData[[#This Row],[Gross Profit]]+tblData[[#This Row],[AP Spend]]+tblData[[#This Row],[Cost to Serve]]</f>
        <v>318</v>
      </c>
    </row>
    <row r="1096" spans="2:37" x14ac:dyDescent="0.25">
      <c r="B1096" s="71" t="s">
        <v>51</v>
      </c>
      <c r="C1096" s="71">
        <v>2026</v>
      </c>
      <c r="D1096" s="71">
        <v>5</v>
      </c>
      <c r="E1096" s="71" t="s">
        <v>45</v>
      </c>
      <c r="F1096" s="71" t="s">
        <v>41</v>
      </c>
      <c r="G1096" s="72">
        <v>88.8</v>
      </c>
      <c r="H1096" s="73">
        <v>973</v>
      </c>
      <c r="I1096" s="73">
        <v>-223</v>
      </c>
      <c r="J1096" s="73">
        <v>-10</v>
      </c>
      <c r="K1096" s="73">
        <v>-234</v>
      </c>
      <c r="L1096" s="73">
        <v>-58</v>
      </c>
      <c r="M1096" s="73">
        <v>-35</v>
      </c>
      <c r="N1096" s="73">
        <v>-67</v>
      </c>
      <c r="O1096" s="73">
        <v>-39</v>
      </c>
      <c r="P1096" s="73">
        <v>-35</v>
      </c>
      <c r="Q1096" s="73">
        <v>-19</v>
      </c>
      <c r="R1096" s="73">
        <v>0</v>
      </c>
      <c r="S1096" s="73">
        <v>0</v>
      </c>
      <c r="T1096" s="73">
        <v>0</v>
      </c>
      <c r="U1096" s="73">
        <v>0</v>
      </c>
      <c r="V1096" s="73">
        <v>0</v>
      </c>
      <c r="W1096" s="73">
        <v>0</v>
      </c>
      <c r="X1096" s="73">
        <v>0</v>
      </c>
      <c r="Y1096" s="73">
        <v>0</v>
      </c>
      <c r="Z1096" s="73">
        <v>1120</v>
      </c>
      <c r="AA1096" s="73">
        <v>987</v>
      </c>
      <c r="AB1096" s="73">
        <v>0</v>
      </c>
      <c r="AC1096" s="73">
        <v>0</v>
      </c>
      <c r="AD1096" s="73">
        <v>0</v>
      </c>
      <c r="AE1096" s="73">
        <v>0</v>
      </c>
      <c r="AF1096" s="74">
        <f>tblData[[#This Row],[Gross Sales]]+tblData[[#This Row],[Trade Discounts]]+tblData[[#This Row],[Returns]]</f>
        <v>740</v>
      </c>
      <c r="AG1096" s="74">
        <f>tblData[[#This Row],[Material Cost]]+tblData[[#This Row],[Conversion Cost]]+tblData[[#This Row],[Inbound Freight]]</f>
        <v>-327</v>
      </c>
      <c r="AH1096" s="74">
        <f>tblData[[#This Row],[Net Revenue]]+tblData[[#This Row],[COGS]]</f>
        <v>413</v>
      </c>
      <c r="AI1096" s="74">
        <f>tblData[[#This Row],[Advertising]]+tblData[[#This Row],[Promotions]]</f>
        <v>-106</v>
      </c>
      <c r="AJ1096" s="74">
        <f>tblData[[#This Row],[Outbound Logistics]]+tblData[[#This Row],[Direct Selling]]</f>
        <v>-54</v>
      </c>
      <c r="AK1096" s="74">
        <f>tblData[[#This Row],[Gross Profit]]+tblData[[#This Row],[AP Spend]]+tblData[[#This Row],[Cost to Serve]]</f>
        <v>253</v>
      </c>
    </row>
    <row r="1097" spans="2:37" x14ac:dyDescent="0.25">
      <c r="B1097" s="71" t="s">
        <v>51</v>
      </c>
      <c r="C1097" s="71">
        <v>2026</v>
      </c>
      <c r="D1097" s="71">
        <v>5</v>
      </c>
      <c r="E1097" s="71" t="s">
        <v>45</v>
      </c>
      <c r="F1097" s="71" t="s">
        <v>42</v>
      </c>
      <c r="G1097" s="72">
        <v>108.4</v>
      </c>
      <c r="H1097" s="73">
        <v>645</v>
      </c>
      <c r="I1097" s="73">
        <v>-147</v>
      </c>
      <c r="J1097" s="73">
        <v>-6</v>
      </c>
      <c r="K1097" s="73">
        <v>-206</v>
      </c>
      <c r="L1097" s="73">
        <v>-51</v>
      </c>
      <c r="M1097" s="73">
        <v>-31</v>
      </c>
      <c r="N1097" s="73">
        <v>-13</v>
      </c>
      <c r="O1097" s="73">
        <v>-8</v>
      </c>
      <c r="P1097" s="73">
        <v>-23</v>
      </c>
      <c r="Q1097" s="73">
        <v>-13</v>
      </c>
      <c r="R1097" s="73">
        <v>0</v>
      </c>
      <c r="S1097" s="73">
        <v>0</v>
      </c>
      <c r="T1097" s="73">
        <v>0</v>
      </c>
      <c r="U1097" s="73">
        <v>0</v>
      </c>
      <c r="V1097" s="73">
        <v>0</v>
      </c>
      <c r="W1097" s="73">
        <v>0</v>
      </c>
      <c r="X1097" s="73">
        <v>0</v>
      </c>
      <c r="Y1097" s="73">
        <v>0</v>
      </c>
      <c r="Z1097" s="73">
        <v>748</v>
      </c>
      <c r="AA1097" s="73">
        <v>1149</v>
      </c>
      <c r="AB1097" s="73">
        <v>0</v>
      </c>
      <c r="AC1097" s="73">
        <v>0</v>
      </c>
      <c r="AD1097" s="73">
        <v>0</v>
      </c>
      <c r="AE1097" s="73">
        <v>0</v>
      </c>
      <c r="AF1097" s="74">
        <f>tblData[[#This Row],[Gross Sales]]+tblData[[#This Row],[Trade Discounts]]+tblData[[#This Row],[Returns]]</f>
        <v>492</v>
      </c>
      <c r="AG1097" s="74">
        <f>tblData[[#This Row],[Material Cost]]+tblData[[#This Row],[Conversion Cost]]+tblData[[#This Row],[Inbound Freight]]</f>
        <v>-288</v>
      </c>
      <c r="AH1097" s="74">
        <f>tblData[[#This Row],[Net Revenue]]+tblData[[#This Row],[COGS]]</f>
        <v>204</v>
      </c>
      <c r="AI1097" s="74">
        <f>tblData[[#This Row],[Advertising]]+tblData[[#This Row],[Promotions]]</f>
        <v>-21</v>
      </c>
      <c r="AJ1097" s="74">
        <f>tblData[[#This Row],[Outbound Logistics]]+tblData[[#This Row],[Direct Selling]]</f>
        <v>-36</v>
      </c>
      <c r="AK1097" s="74">
        <f>tblData[[#This Row],[Gross Profit]]+tblData[[#This Row],[AP Spend]]+tblData[[#This Row],[Cost to Serve]]</f>
        <v>147</v>
      </c>
    </row>
    <row r="1098" spans="2:37" x14ac:dyDescent="0.25">
      <c r="B1098" s="71" t="s">
        <v>51</v>
      </c>
      <c r="C1098" s="71">
        <v>2026</v>
      </c>
      <c r="D1098" s="71">
        <v>5</v>
      </c>
      <c r="E1098" s="71" t="s">
        <v>45</v>
      </c>
      <c r="F1098" s="71" t="s">
        <v>43</v>
      </c>
      <c r="G1098" s="72">
        <v>21.1</v>
      </c>
      <c r="H1098" s="73">
        <v>378</v>
      </c>
      <c r="I1098" s="73">
        <v>-86</v>
      </c>
      <c r="J1098" s="73">
        <v>-4</v>
      </c>
      <c r="K1098" s="73">
        <v>-104</v>
      </c>
      <c r="L1098" s="73">
        <v>-26</v>
      </c>
      <c r="M1098" s="73">
        <v>-16</v>
      </c>
      <c r="N1098" s="73">
        <v>-37</v>
      </c>
      <c r="O1098" s="73">
        <v>-21</v>
      </c>
      <c r="P1098" s="73">
        <v>-13</v>
      </c>
      <c r="Q1098" s="73">
        <v>-8</v>
      </c>
      <c r="R1098" s="73">
        <v>0</v>
      </c>
      <c r="S1098" s="73">
        <v>0</v>
      </c>
      <c r="T1098" s="73">
        <v>0</v>
      </c>
      <c r="U1098" s="73">
        <v>0</v>
      </c>
      <c r="V1098" s="73">
        <v>0</v>
      </c>
      <c r="W1098" s="73">
        <v>0</v>
      </c>
      <c r="X1098" s="73">
        <v>0</v>
      </c>
      <c r="Y1098" s="73">
        <v>0</v>
      </c>
      <c r="Z1098" s="73">
        <v>432</v>
      </c>
      <c r="AA1098" s="73">
        <v>578</v>
      </c>
      <c r="AB1098" s="73">
        <v>0</v>
      </c>
      <c r="AC1098" s="73">
        <v>0</v>
      </c>
      <c r="AD1098" s="73">
        <v>0</v>
      </c>
      <c r="AE1098" s="73">
        <v>0</v>
      </c>
      <c r="AF1098" s="74">
        <f>tblData[[#This Row],[Gross Sales]]+tblData[[#This Row],[Trade Discounts]]+tblData[[#This Row],[Returns]]</f>
        <v>288</v>
      </c>
      <c r="AG1098" s="74">
        <f>tblData[[#This Row],[Material Cost]]+tblData[[#This Row],[Conversion Cost]]+tblData[[#This Row],[Inbound Freight]]</f>
        <v>-146</v>
      </c>
      <c r="AH1098" s="74">
        <f>tblData[[#This Row],[Net Revenue]]+tblData[[#This Row],[COGS]]</f>
        <v>142</v>
      </c>
      <c r="AI1098" s="74">
        <f>tblData[[#This Row],[Advertising]]+tblData[[#This Row],[Promotions]]</f>
        <v>-58</v>
      </c>
      <c r="AJ1098" s="74">
        <f>tblData[[#This Row],[Outbound Logistics]]+tblData[[#This Row],[Direct Selling]]</f>
        <v>-21</v>
      </c>
      <c r="AK1098" s="74">
        <f>tblData[[#This Row],[Gross Profit]]+tblData[[#This Row],[AP Spend]]+tblData[[#This Row],[Cost to Serve]]</f>
        <v>63</v>
      </c>
    </row>
    <row r="1099" spans="2:37" x14ac:dyDescent="0.25">
      <c r="B1099" s="71" t="s">
        <v>51</v>
      </c>
      <c r="C1099" s="71">
        <v>2026</v>
      </c>
      <c r="D1099" s="71">
        <v>5</v>
      </c>
      <c r="E1099" s="71" t="s">
        <v>46</v>
      </c>
      <c r="F1099" s="71" t="s">
        <v>38</v>
      </c>
      <c r="G1099" s="72">
        <v>175.1</v>
      </c>
      <c r="H1099" s="73">
        <v>2466</v>
      </c>
      <c r="I1099" s="73">
        <v>-268</v>
      </c>
      <c r="J1099" s="73">
        <v>-99</v>
      </c>
      <c r="K1099" s="73">
        <v>-538</v>
      </c>
      <c r="L1099" s="73">
        <v>-133</v>
      </c>
      <c r="M1099" s="73">
        <v>-80</v>
      </c>
      <c r="N1099" s="73">
        <v>-125</v>
      </c>
      <c r="O1099" s="73">
        <v>-72</v>
      </c>
      <c r="P1099" s="73">
        <v>-189</v>
      </c>
      <c r="Q1099" s="73">
        <v>-49</v>
      </c>
      <c r="R1099" s="73">
        <v>0</v>
      </c>
      <c r="S1099" s="73">
        <v>0</v>
      </c>
      <c r="T1099" s="73">
        <v>0</v>
      </c>
      <c r="U1099" s="73">
        <v>0</v>
      </c>
      <c r="V1099" s="73">
        <v>0</v>
      </c>
      <c r="W1099" s="73">
        <v>0</v>
      </c>
      <c r="X1099" s="73">
        <v>0</v>
      </c>
      <c r="Y1099" s="73">
        <v>0</v>
      </c>
      <c r="Z1099" s="73">
        <v>1819</v>
      </c>
      <c r="AA1099" s="73">
        <v>2388</v>
      </c>
      <c r="AB1099" s="73">
        <v>0</v>
      </c>
      <c r="AC1099" s="73">
        <v>0</v>
      </c>
      <c r="AD1099" s="73">
        <v>0</v>
      </c>
      <c r="AE1099" s="73">
        <v>0</v>
      </c>
      <c r="AF1099" s="74">
        <f>tblData[[#This Row],[Gross Sales]]+tblData[[#This Row],[Trade Discounts]]+tblData[[#This Row],[Returns]]</f>
        <v>2099</v>
      </c>
      <c r="AG1099" s="74">
        <f>tblData[[#This Row],[Material Cost]]+tblData[[#This Row],[Conversion Cost]]+tblData[[#This Row],[Inbound Freight]]</f>
        <v>-751</v>
      </c>
      <c r="AH1099" s="74">
        <f>tblData[[#This Row],[Net Revenue]]+tblData[[#This Row],[COGS]]</f>
        <v>1348</v>
      </c>
      <c r="AI1099" s="74">
        <f>tblData[[#This Row],[Advertising]]+tblData[[#This Row],[Promotions]]</f>
        <v>-197</v>
      </c>
      <c r="AJ1099" s="74">
        <f>tblData[[#This Row],[Outbound Logistics]]+tblData[[#This Row],[Direct Selling]]</f>
        <v>-238</v>
      </c>
      <c r="AK1099" s="74">
        <f>tblData[[#This Row],[Gross Profit]]+tblData[[#This Row],[AP Spend]]+tblData[[#This Row],[Cost to Serve]]</f>
        <v>913</v>
      </c>
    </row>
    <row r="1100" spans="2:37" x14ac:dyDescent="0.25">
      <c r="B1100" s="71" t="s">
        <v>51</v>
      </c>
      <c r="C1100" s="71">
        <v>2026</v>
      </c>
      <c r="D1100" s="71">
        <v>5</v>
      </c>
      <c r="E1100" s="71" t="s">
        <v>46</v>
      </c>
      <c r="F1100" s="71" t="s">
        <v>39</v>
      </c>
      <c r="G1100" s="72">
        <v>229.3</v>
      </c>
      <c r="H1100" s="73">
        <v>2070</v>
      </c>
      <c r="I1100" s="73">
        <v>-225</v>
      </c>
      <c r="J1100" s="73">
        <v>-83</v>
      </c>
      <c r="K1100" s="73">
        <v>-542</v>
      </c>
      <c r="L1100" s="73">
        <v>-134</v>
      </c>
      <c r="M1100" s="73">
        <v>-81</v>
      </c>
      <c r="N1100" s="73">
        <v>-72</v>
      </c>
      <c r="O1100" s="73">
        <v>-41</v>
      </c>
      <c r="P1100" s="73">
        <v>-159</v>
      </c>
      <c r="Q1100" s="73">
        <v>-41</v>
      </c>
      <c r="R1100" s="73">
        <v>0</v>
      </c>
      <c r="S1100" s="73">
        <v>0</v>
      </c>
      <c r="T1100" s="73">
        <v>0</v>
      </c>
      <c r="U1100" s="73">
        <v>0</v>
      </c>
      <c r="V1100" s="73">
        <v>0</v>
      </c>
      <c r="W1100" s="73">
        <v>0</v>
      </c>
      <c r="X1100" s="73">
        <v>0</v>
      </c>
      <c r="Y1100" s="73">
        <v>0</v>
      </c>
      <c r="Z1100" s="73">
        <v>1528</v>
      </c>
      <c r="AA1100" s="73">
        <v>2043</v>
      </c>
      <c r="AB1100" s="73">
        <v>0</v>
      </c>
      <c r="AC1100" s="73">
        <v>0</v>
      </c>
      <c r="AD1100" s="73">
        <v>0</v>
      </c>
      <c r="AE1100" s="73">
        <v>0</v>
      </c>
      <c r="AF1100" s="74">
        <f>tblData[[#This Row],[Gross Sales]]+tblData[[#This Row],[Trade Discounts]]+tblData[[#This Row],[Returns]]</f>
        <v>1762</v>
      </c>
      <c r="AG1100" s="74">
        <f>tblData[[#This Row],[Material Cost]]+tblData[[#This Row],[Conversion Cost]]+tblData[[#This Row],[Inbound Freight]]</f>
        <v>-757</v>
      </c>
      <c r="AH1100" s="74">
        <f>tblData[[#This Row],[Net Revenue]]+tblData[[#This Row],[COGS]]</f>
        <v>1005</v>
      </c>
      <c r="AI1100" s="74">
        <f>tblData[[#This Row],[Advertising]]+tblData[[#This Row],[Promotions]]</f>
        <v>-113</v>
      </c>
      <c r="AJ1100" s="74">
        <f>tblData[[#This Row],[Outbound Logistics]]+tblData[[#This Row],[Direct Selling]]</f>
        <v>-200</v>
      </c>
      <c r="AK1100" s="74">
        <f>tblData[[#This Row],[Gross Profit]]+tblData[[#This Row],[AP Spend]]+tblData[[#This Row],[Cost to Serve]]</f>
        <v>692</v>
      </c>
    </row>
    <row r="1101" spans="2:37" x14ac:dyDescent="0.25">
      <c r="B1101" s="71" t="s">
        <v>51</v>
      </c>
      <c r="C1101" s="71">
        <v>2026</v>
      </c>
      <c r="D1101" s="71">
        <v>5</v>
      </c>
      <c r="E1101" s="71" t="s">
        <v>46</v>
      </c>
      <c r="F1101" s="71" t="s">
        <v>40</v>
      </c>
      <c r="G1101" s="72">
        <v>219.1</v>
      </c>
      <c r="H1101" s="73">
        <v>1536</v>
      </c>
      <c r="I1101" s="73">
        <v>-167</v>
      </c>
      <c r="J1101" s="73">
        <v>-61</v>
      </c>
      <c r="K1101" s="73">
        <v>-447</v>
      </c>
      <c r="L1101" s="73">
        <v>-111</v>
      </c>
      <c r="M1101" s="73">
        <v>-67</v>
      </c>
      <c r="N1101" s="73">
        <v>-36</v>
      </c>
      <c r="O1101" s="73">
        <v>-21</v>
      </c>
      <c r="P1101" s="73">
        <v>-118</v>
      </c>
      <c r="Q1101" s="73">
        <v>-31</v>
      </c>
      <c r="R1101" s="73">
        <v>0</v>
      </c>
      <c r="S1101" s="73">
        <v>0</v>
      </c>
      <c r="T1101" s="73">
        <v>0</v>
      </c>
      <c r="U1101" s="73">
        <v>0</v>
      </c>
      <c r="V1101" s="73">
        <v>0</v>
      </c>
      <c r="W1101" s="73">
        <v>0</v>
      </c>
      <c r="X1101" s="73">
        <v>0</v>
      </c>
      <c r="Y1101" s="73">
        <v>0</v>
      </c>
      <c r="Z1101" s="73">
        <v>1134</v>
      </c>
      <c r="AA1101" s="73">
        <v>1584</v>
      </c>
      <c r="AB1101" s="73">
        <v>0</v>
      </c>
      <c r="AC1101" s="73">
        <v>0</v>
      </c>
      <c r="AD1101" s="73">
        <v>0</v>
      </c>
      <c r="AE1101" s="73">
        <v>0</v>
      </c>
      <c r="AF1101" s="74">
        <f>tblData[[#This Row],[Gross Sales]]+tblData[[#This Row],[Trade Discounts]]+tblData[[#This Row],[Returns]]</f>
        <v>1308</v>
      </c>
      <c r="AG1101" s="74">
        <f>tblData[[#This Row],[Material Cost]]+tblData[[#This Row],[Conversion Cost]]+tblData[[#This Row],[Inbound Freight]]</f>
        <v>-625</v>
      </c>
      <c r="AH1101" s="74">
        <f>tblData[[#This Row],[Net Revenue]]+tblData[[#This Row],[COGS]]</f>
        <v>683</v>
      </c>
      <c r="AI1101" s="74">
        <f>tblData[[#This Row],[Advertising]]+tblData[[#This Row],[Promotions]]</f>
        <v>-57</v>
      </c>
      <c r="AJ1101" s="74">
        <f>tblData[[#This Row],[Outbound Logistics]]+tblData[[#This Row],[Direct Selling]]</f>
        <v>-149</v>
      </c>
      <c r="AK1101" s="74">
        <f>tblData[[#This Row],[Gross Profit]]+tblData[[#This Row],[AP Spend]]+tblData[[#This Row],[Cost to Serve]]</f>
        <v>477</v>
      </c>
    </row>
    <row r="1102" spans="2:37" x14ac:dyDescent="0.25">
      <c r="B1102" s="71" t="s">
        <v>51</v>
      </c>
      <c r="C1102" s="71">
        <v>2026</v>
      </c>
      <c r="D1102" s="71">
        <v>5</v>
      </c>
      <c r="E1102" s="71" t="s">
        <v>46</v>
      </c>
      <c r="F1102" s="71" t="s">
        <v>41</v>
      </c>
      <c r="G1102" s="72">
        <v>110.6</v>
      </c>
      <c r="H1102" s="73">
        <v>1221</v>
      </c>
      <c r="I1102" s="73">
        <v>-133</v>
      </c>
      <c r="J1102" s="73">
        <v>-49</v>
      </c>
      <c r="K1102" s="73">
        <v>-293</v>
      </c>
      <c r="L1102" s="73">
        <v>-73</v>
      </c>
      <c r="M1102" s="73">
        <v>-44</v>
      </c>
      <c r="N1102" s="73">
        <v>-77</v>
      </c>
      <c r="O1102" s="73">
        <v>-44</v>
      </c>
      <c r="P1102" s="73">
        <v>-94</v>
      </c>
      <c r="Q1102" s="73">
        <v>-24</v>
      </c>
      <c r="R1102" s="73">
        <v>0</v>
      </c>
      <c r="S1102" s="73">
        <v>0</v>
      </c>
      <c r="T1102" s="73">
        <v>0</v>
      </c>
      <c r="U1102" s="73">
        <v>0</v>
      </c>
      <c r="V1102" s="73">
        <v>0</v>
      </c>
      <c r="W1102" s="73">
        <v>0</v>
      </c>
      <c r="X1102" s="73">
        <v>0</v>
      </c>
      <c r="Y1102" s="73">
        <v>0</v>
      </c>
      <c r="Z1102" s="73">
        <v>899</v>
      </c>
      <c r="AA1102" s="73">
        <v>1233</v>
      </c>
      <c r="AB1102" s="73">
        <v>0</v>
      </c>
      <c r="AC1102" s="73">
        <v>0</v>
      </c>
      <c r="AD1102" s="73">
        <v>0</v>
      </c>
      <c r="AE1102" s="73">
        <v>0</v>
      </c>
      <c r="AF1102" s="74">
        <f>tblData[[#This Row],[Gross Sales]]+tblData[[#This Row],[Trade Discounts]]+tblData[[#This Row],[Returns]]</f>
        <v>1039</v>
      </c>
      <c r="AG1102" s="74">
        <f>tblData[[#This Row],[Material Cost]]+tblData[[#This Row],[Conversion Cost]]+tblData[[#This Row],[Inbound Freight]]</f>
        <v>-410</v>
      </c>
      <c r="AH1102" s="74">
        <f>tblData[[#This Row],[Net Revenue]]+tblData[[#This Row],[COGS]]</f>
        <v>629</v>
      </c>
      <c r="AI1102" s="74">
        <f>tblData[[#This Row],[Advertising]]+tblData[[#This Row],[Promotions]]</f>
        <v>-121</v>
      </c>
      <c r="AJ1102" s="74">
        <f>tblData[[#This Row],[Outbound Logistics]]+tblData[[#This Row],[Direct Selling]]</f>
        <v>-118</v>
      </c>
      <c r="AK1102" s="74">
        <f>tblData[[#This Row],[Gross Profit]]+tblData[[#This Row],[AP Spend]]+tblData[[#This Row],[Cost to Serve]]</f>
        <v>390</v>
      </c>
    </row>
    <row r="1103" spans="2:37" x14ac:dyDescent="0.25">
      <c r="B1103" s="71" t="s">
        <v>51</v>
      </c>
      <c r="C1103" s="71">
        <v>2026</v>
      </c>
      <c r="D1103" s="71">
        <v>5</v>
      </c>
      <c r="E1103" s="71" t="s">
        <v>46</v>
      </c>
      <c r="F1103" s="71" t="s">
        <v>42</v>
      </c>
      <c r="G1103" s="72">
        <v>135.4</v>
      </c>
      <c r="H1103" s="73">
        <v>811</v>
      </c>
      <c r="I1103" s="73">
        <v>-88</v>
      </c>
      <c r="J1103" s="73">
        <v>-32</v>
      </c>
      <c r="K1103" s="73">
        <v>-260</v>
      </c>
      <c r="L1103" s="73">
        <v>-64</v>
      </c>
      <c r="M1103" s="73">
        <v>-39</v>
      </c>
      <c r="N1103" s="73">
        <v>-15</v>
      </c>
      <c r="O1103" s="73">
        <v>-9</v>
      </c>
      <c r="P1103" s="73">
        <v>-62</v>
      </c>
      <c r="Q1103" s="73">
        <v>-16</v>
      </c>
      <c r="R1103" s="73">
        <v>0</v>
      </c>
      <c r="S1103" s="73">
        <v>0</v>
      </c>
      <c r="T1103" s="73">
        <v>0</v>
      </c>
      <c r="U1103" s="73">
        <v>0</v>
      </c>
      <c r="V1103" s="73">
        <v>0</v>
      </c>
      <c r="W1103" s="73">
        <v>0</v>
      </c>
      <c r="X1103" s="73">
        <v>0</v>
      </c>
      <c r="Y1103" s="73">
        <v>0</v>
      </c>
      <c r="Z1103" s="73">
        <v>599</v>
      </c>
      <c r="AA1103" s="73">
        <v>1434</v>
      </c>
      <c r="AB1103" s="73">
        <v>0</v>
      </c>
      <c r="AC1103" s="73">
        <v>0</v>
      </c>
      <c r="AD1103" s="73">
        <v>0</v>
      </c>
      <c r="AE1103" s="73">
        <v>0</v>
      </c>
      <c r="AF1103" s="74">
        <f>tblData[[#This Row],[Gross Sales]]+tblData[[#This Row],[Trade Discounts]]+tblData[[#This Row],[Returns]]</f>
        <v>691</v>
      </c>
      <c r="AG1103" s="74">
        <f>tblData[[#This Row],[Material Cost]]+tblData[[#This Row],[Conversion Cost]]+tblData[[#This Row],[Inbound Freight]]</f>
        <v>-363</v>
      </c>
      <c r="AH1103" s="74">
        <f>tblData[[#This Row],[Net Revenue]]+tblData[[#This Row],[COGS]]</f>
        <v>328</v>
      </c>
      <c r="AI1103" s="74">
        <f>tblData[[#This Row],[Advertising]]+tblData[[#This Row],[Promotions]]</f>
        <v>-24</v>
      </c>
      <c r="AJ1103" s="74">
        <f>tblData[[#This Row],[Outbound Logistics]]+tblData[[#This Row],[Direct Selling]]</f>
        <v>-78</v>
      </c>
      <c r="AK1103" s="74">
        <f>tblData[[#This Row],[Gross Profit]]+tblData[[#This Row],[AP Spend]]+tblData[[#This Row],[Cost to Serve]]</f>
        <v>226</v>
      </c>
    </row>
    <row r="1104" spans="2:37" x14ac:dyDescent="0.25">
      <c r="B1104" s="71" t="s">
        <v>51</v>
      </c>
      <c r="C1104" s="71">
        <v>2026</v>
      </c>
      <c r="D1104" s="71">
        <v>5</v>
      </c>
      <c r="E1104" s="71" t="s">
        <v>46</v>
      </c>
      <c r="F1104" s="71" t="s">
        <v>43</v>
      </c>
      <c r="G1104" s="72">
        <v>25.8</v>
      </c>
      <c r="H1104" s="73">
        <v>466</v>
      </c>
      <c r="I1104" s="73">
        <v>-51</v>
      </c>
      <c r="J1104" s="73">
        <v>-19</v>
      </c>
      <c r="K1104" s="73">
        <v>-129</v>
      </c>
      <c r="L1104" s="73">
        <v>-32</v>
      </c>
      <c r="M1104" s="73">
        <v>-19</v>
      </c>
      <c r="N1104" s="73">
        <v>-42</v>
      </c>
      <c r="O1104" s="73">
        <v>-24</v>
      </c>
      <c r="P1104" s="73">
        <v>-36</v>
      </c>
      <c r="Q1104" s="73">
        <v>-9</v>
      </c>
      <c r="R1104" s="73">
        <v>0</v>
      </c>
      <c r="S1104" s="73">
        <v>0</v>
      </c>
      <c r="T1104" s="73">
        <v>0</v>
      </c>
      <c r="U1104" s="73">
        <v>0</v>
      </c>
      <c r="V1104" s="73">
        <v>0</v>
      </c>
      <c r="W1104" s="73">
        <v>0</v>
      </c>
      <c r="X1104" s="73">
        <v>0</v>
      </c>
      <c r="Y1104" s="73">
        <v>0</v>
      </c>
      <c r="Z1104" s="73">
        <v>345</v>
      </c>
      <c r="AA1104" s="73">
        <v>719</v>
      </c>
      <c r="AB1104" s="73">
        <v>0</v>
      </c>
      <c r="AC1104" s="73">
        <v>0</v>
      </c>
      <c r="AD1104" s="73">
        <v>0</v>
      </c>
      <c r="AE1104" s="73">
        <v>0</v>
      </c>
      <c r="AF1104" s="74">
        <f>tblData[[#This Row],[Gross Sales]]+tblData[[#This Row],[Trade Discounts]]+tblData[[#This Row],[Returns]]</f>
        <v>396</v>
      </c>
      <c r="AG1104" s="74">
        <f>tblData[[#This Row],[Material Cost]]+tblData[[#This Row],[Conversion Cost]]+tblData[[#This Row],[Inbound Freight]]</f>
        <v>-180</v>
      </c>
      <c r="AH1104" s="74">
        <f>tblData[[#This Row],[Net Revenue]]+tblData[[#This Row],[COGS]]</f>
        <v>216</v>
      </c>
      <c r="AI1104" s="74">
        <f>tblData[[#This Row],[Advertising]]+tblData[[#This Row],[Promotions]]</f>
        <v>-66</v>
      </c>
      <c r="AJ1104" s="74">
        <f>tblData[[#This Row],[Outbound Logistics]]+tblData[[#This Row],[Direct Selling]]</f>
        <v>-45</v>
      </c>
      <c r="AK1104" s="74">
        <f>tblData[[#This Row],[Gross Profit]]+tblData[[#This Row],[AP Spend]]+tblData[[#This Row],[Cost to Serve]]</f>
        <v>105</v>
      </c>
    </row>
    <row r="1105" spans="2:37" x14ac:dyDescent="0.25">
      <c r="B1105" s="71" t="s">
        <v>51</v>
      </c>
      <c r="C1105" s="71">
        <v>2026</v>
      </c>
      <c r="D1105" s="71">
        <v>5</v>
      </c>
      <c r="E1105" s="71" t="s">
        <v>47</v>
      </c>
      <c r="F1105" s="71" t="s">
        <v>38</v>
      </c>
      <c r="G1105" s="72">
        <v>64.7</v>
      </c>
      <c r="H1105" s="73">
        <v>914</v>
      </c>
      <c r="I1105" s="73">
        <v>-27</v>
      </c>
      <c r="J1105" s="73">
        <v>-46</v>
      </c>
      <c r="K1105" s="73">
        <v>-200</v>
      </c>
      <c r="L1105" s="73">
        <v>-49</v>
      </c>
      <c r="M1105" s="73">
        <v>-30</v>
      </c>
      <c r="N1105" s="73">
        <v>-47</v>
      </c>
      <c r="O1105" s="73">
        <v>-27</v>
      </c>
      <c r="P1105" s="73">
        <v>-112</v>
      </c>
      <c r="Q1105" s="73">
        <v>-37</v>
      </c>
      <c r="R1105" s="73">
        <v>0</v>
      </c>
      <c r="S1105" s="73">
        <v>0</v>
      </c>
      <c r="T1105" s="73">
        <v>0</v>
      </c>
      <c r="U1105" s="73">
        <v>0</v>
      </c>
      <c r="V1105" s="73">
        <v>0</v>
      </c>
      <c r="W1105" s="73">
        <v>0</v>
      </c>
      <c r="X1105" s="73">
        <v>0</v>
      </c>
      <c r="Y1105" s="73">
        <v>0</v>
      </c>
      <c r="Z1105" s="73">
        <v>134</v>
      </c>
      <c r="AA1105" s="73">
        <v>881</v>
      </c>
      <c r="AB1105" s="73">
        <v>0</v>
      </c>
      <c r="AC1105" s="73">
        <v>0</v>
      </c>
      <c r="AD1105" s="73">
        <v>0</v>
      </c>
      <c r="AE1105" s="73">
        <v>0</v>
      </c>
      <c r="AF1105" s="74">
        <f>tblData[[#This Row],[Gross Sales]]+tblData[[#This Row],[Trade Discounts]]+tblData[[#This Row],[Returns]]</f>
        <v>841</v>
      </c>
      <c r="AG1105" s="74">
        <f>tblData[[#This Row],[Material Cost]]+tblData[[#This Row],[Conversion Cost]]+tblData[[#This Row],[Inbound Freight]]</f>
        <v>-279</v>
      </c>
      <c r="AH1105" s="74">
        <f>tblData[[#This Row],[Net Revenue]]+tblData[[#This Row],[COGS]]</f>
        <v>562</v>
      </c>
      <c r="AI1105" s="74">
        <f>tblData[[#This Row],[Advertising]]+tblData[[#This Row],[Promotions]]</f>
        <v>-74</v>
      </c>
      <c r="AJ1105" s="74">
        <f>tblData[[#This Row],[Outbound Logistics]]+tblData[[#This Row],[Direct Selling]]</f>
        <v>-149</v>
      </c>
      <c r="AK1105" s="74">
        <f>tblData[[#This Row],[Gross Profit]]+tblData[[#This Row],[AP Spend]]+tblData[[#This Row],[Cost to Serve]]</f>
        <v>339</v>
      </c>
    </row>
    <row r="1106" spans="2:37" x14ac:dyDescent="0.25">
      <c r="B1106" s="71" t="s">
        <v>51</v>
      </c>
      <c r="C1106" s="71">
        <v>2026</v>
      </c>
      <c r="D1106" s="71">
        <v>5</v>
      </c>
      <c r="E1106" s="71" t="s">
        <v>47</v>
      </c>
      <c r="F1106" s="71" t="s">
        <v>39</v>
      </c>
      <c r="G1106" s="72">
        <v>84.1</v>
      </c>
      <c r="H1106" s="73">
        <v>761</v>
      </c>
      <c r="I1106" s="73">
        <v>-23</v>
      </c>
      <c r="J1106" s="73">
        <v>-38</v>
      </c>
      <c r="K1106" s="73">
        <v>-199</v>
      </c>
      <c r="L1106" s="73">
        <v>-49</v>
      </c>
      <c r="M1106" s="73">
        <v>-30</v>
      </c>
      <c r="N1106" s="73">
        <v>-27</v>
      </c>
      <c r="O1106" s="73">
        <v>-15</v>
      </c>
      <c r="P1106" s="73">
        <v>-93</v>
      </c>
      <c r="Q1106" s="73">
        <v>-30</v>
      </c>
      <c r="R1106" s="73">
        <v>0</v>
      </c>
      <c r="S1106" s="73">
        <v>0</v>
      </c>
      <c r="T1106" s="73">
        <v>0</v>
      </c>
      <c r="U1106" s="73">
        <v>0</v>
      </c>
      <c r="V1106" s="73">
        <v>0</v>
      </c>
      <c r="W1106" s="73">
        <v>0</v>
      </c>
      <c r="X1106" s="73">
        <v>0</v>
      </c>
      <c r="Y1106" s="73">
        <v>0</v>
      </c>
      <c r="Z1106" s="73">
        <v>112</v>
      </c>
      <c r="AA1106" s="73">
        <v>751</v>
      </c>
      <c r="AB1106" s="73">
        <v>0</v>
      </c>
      <c r="AC1106" s="73">
        <v>0</v>
      </c>
      <c r="AD1106" s="73">
        <v>0</v>
      </c>
      <c r="AE1106" s="73">
        <v>0</v>
      </c>
      <c r="AF1106" s="74">
        <f>tblData[[#This Row],[Gross Sales]]+tblData[[#This Row],[Trade Discounts]]+tblData[[#This Row],[Returns]]</f>
        <v>700</v>
      </c>
      <c r="AG1106" s="74">
        <f>tblData[[#This Row],[Material Cost]]+tblData[[#This Row],[Conversion Cost]]+tblData[[#This Row],[Inbound Freight]]</f>
        <v>-278</v>
      </c>
      <c r="AH1106" s="74">
        <f>tblData[[#This Row],[Net Revenue]]+tblData[[#This Row],[COGS]]</f>
        <v>422</v>
      </c>
      <c r="AI1106" s="74">
        <f>tblData[[#This Row],[Advertising]]+tblData[[#This Row],[Promotions]]</f>
        <v>-42</v>
      </c>
      <c r="AJ1106" s="74">
        <f>tblData[[#This Row],[Outbound Logistics]]+tblData[[#This Row],[Direct Selling]]</f>
        <v>-123</v>
      </c>
      <c r="AK1106" s="74">
        <f>tblData[[#This Row],[Gross Profit]]+tblData[[#This Row],[AP Spend]]+tblData[[#This Row],[Cost to Serve]]</f>
        <v>257</v>
      </c>
    </row>
    <row r="1107" spans="2:37" x14ac:dyDescent="0.25">
      <c r="B1107" s="71" t="s">
        <v>51</v>
      </c>
      <c r="C1107" s="71">
        <v>2026</v>
      </c>
      <c r="D1107" s="71">
        <v>5</v>
      </c>
      <c r="E1107" s="71" t="s">
        <v>47</v>
      </c>
      <c r="F1107" s="71" t="s">
        <v>40</v>
      </c>
      <c r="G1107" s="72">
        <v>80.7</v>
      </c>
      <c r="H1107" s="73">
        <v>567</v>
      </c>
      <c r="I1107" s="73">
        <v>-17</v>
      </c>
      <c r="J1107" s="73">
        <v>-28</v>
      </c>
      <c r="K1107" s="73">
        <v>-165</v>
      </c>
      <c r="L1107" s="73">
        <v>-41</v>
      </c>
      <c r="M1107" s="73">
        <v>-25</v>
      </c>
      <c r="N1107" s="73">
        <v>-13</v>
      </c>
      <c r="O1107" s="73">
        <v>-8</v>
      </c>
      <c r="P1107" s="73">
        <v>-70</v>
      </c>
      <c r="Q1107" s="73">
        <v>-23</v>
      </c>
      <c r="R1107" s="73">
        <v>0</v>
      </c>
      <c r="S1107" s="73">
        <v>0</v>
      </c>
      <c r="T1107" s="73">
        <v>0</v>
      </c>
      <c r="U1107" s="73">
        <v>0</v>
      </c>
      <c r="V1107" s="73">
        <v>0</v>
      </c>
      <c r="W1107" s="73">
        <v>0</v>
      </c>
      <c r="X1107" s="73">
        <v>0</v>
      </c>
      <c r="Y1107" s="73">
        <v>0</v>
      </c>
      <c r="Z1107" s="73">
        <v>84</v>
      </c>
      <c r="AA1107" s="73">
        <v>583</v>
      </c>
      <c r="AB1107" s="73">
        <v>0</v>
      </c>
      <c r="AC1107" s="73">
        <v>0</v>
      </c>
      <c r="AD1107" s="73">
        <v>0</v>
      </c>
      <c r="AE1107" s="73">
        <v>0</v>
      </c>
      <c r="AF1107" s="74">
        <f>tblData[[#This Row],[Gross Sales]]+tblData[[#This Row],[Trade Discounts]]+tblData[[#This Row],[Returns]]</f>
        <v>522</v>
      </c>
      <c r="AG1107" s="74">
        <f>tblData[[#This Row],[Material Cost]]+tblData[[#This Row],[Conversion Cost]]+tblData[[#This Row],[Inbound Freight]]</f>
        <v>-231</v>
      </c>
      <c r="AH1107" s="74">
        <f>tblData[[#This Row],[Net Revenue]]+tblData[[#This Row],[COGS]]</f>
        <v>291</v>
      </c>
      <c r="AI1107" s="74">
        <f>tblData[[#This Row],[Advertising]]+tblData[[#This Row],[Promotions]]</f>
        <v>-21</v>
      </c>
      <c r="AJ1107" s="74">
        <f>tblData[[#This Row],[Outbound Logistics]]+tblData[[#This Row],[Direct Selling]]</f>
        <v>-93</v>
      </c>
      <c r="AK1107" s="74">
        <f>tblData[[#This Row],[Gross Profit]]+tblData[[#This Row],[AP Spend]]+tblData[[#This Row],[Cost to Serve]]</f>
        <v>177</v>
      </c>
    </row>
    <row r="1108" spans="2:37" x14ac:dyDescent="0.25">
      <c r="B1108" s="71" t="s">
        <v>51</v>
      </c>
      <c r="C1108" s="71">
        <v>2026</v>
      </c>
      <c r="D1108" s="71">
        <v>5</v>
      </c>
      <c r="E1108" s="71" t="s">
        <v>47</v>
      </c>
      <c r="F1108" s="71" t="s">
        <v>41</v>
      </c>
      <c r="G1108" s="72">
        <v>40.5</v>
      </c>
      <c r="H1108" s="73">
        <v>448</v>
      </c>
      <c r="I1108" s="73">
        <v>-13</v>
      </c>
      <c r="J1108" s="73">
        <v>-22</v>
      </c>
      <c r="K1108" s="73">
        <v>-108</v>
      </c>
      <c r="L1108" s="73">
        <v>-27</v>
      </c>
      <c r="M1108" s="73">
        <v>-16</v>
      </c>
      <c r="N1108" s="73">
        <v>-29</v>
      </c>
      <c r="O1108" s="73">
        <v>-17</v>
      </c>
      <c r="P1108" s="73">
        <v>-55</v>
      </c>
      <c r="Q1108" s="73">
        <v>-18</v>
      </c>
      <c r="R1108" s="73">
        <v>0</v>
      </c>
      <c r="S1108" s="73">
        <v>0</v>
      </c>
      <c r="T1108" s="73">
        <v>0</v>
      </c>
      <c r="U1108" s="73">
        <v>0</v>
      </c>
      <c r="V1108" s="73">
        <v>0</v>
      </c>
      <c r="W1108" s="73">
        <v>0</v>
      </c>
      <c r="X1108" s="73">
        <v>0</v>
      </c>
      <c r="Y1108" s="73">
        <v>0</v>
      </c>
      <c r="Z1108" s="73">
        <v>66</v>
      </c>
      <c r="AA1108" s="73">
        <v>454</v>
      </c>
      <c r="AB1108" s="73">
        <v>0</v>
      </c>
      <c r="AC1108" s="73">
        <v>0</v>
      </c>
      <c r="AD1108" s="73">
        <v>0</v>
      </c>
      <c r="AE1108" s="73">
        <v>0</v>
      </c>
      <c r="AF1108" s="74">
        <f>tblData[[#This Row],[Gross Sales]]+tblData[[#This Row],[Trade Discounts]]+tblData[[#This Row],[Returns]]</f>
        <v>413</v>
      </c>
      <c r="AG1108" s="74">
        <f>tblData[[#This Row],[Material Cost]]+tblData[[#This Row],[Conversion Cost]]+tblData[[#This Row],[Inbound Freight]]</f>
        <v>-151</v>
      </c>
      <c r="AH1108" s="74">
        <f>tblData[[#This Row],[Net Revenue]]+tblData[[#This Row],[COGS]]</f>
        <v>262</v>
      </c>
      <c r="AI1108" s="74">
        <f>tblData[[#This Row],[Advertising]]+tblData[[#This Row],[Promotions]]</f>
        <v>-46</v>
      </c>
      <c r="AJ1108" s="74">
        <f>tblData[[#This Row],[Outbound Logistics]]+tblData[[#This Row],[Direct Selling]]</f>
        <v>-73</v>
      </c>
      <c r="AK1108" s="74">
        <f>tblData[[#This Row],[Gross Profit]]+tblData[[#This Row],[AP Spend]]+tblData[[#This Row],[Cost to Serve]]</f>
        <v>143</v>
      </c>
    </row>
    <row r="1109" spans="2:37" x14ac:dyDescent="0.25">
      <c r="B1109" s="71" t="s">
        <v>51</v>
      </c>
      <c r="C1109" s="71">
        <v>2026</v>
      </c>
      <c r="D1109" s="71">
        <v>5</v>
      </c>
      <c r="E1109" s="71" t="s">
        <v>47</v>
      </c>
      <c r="F1109" s="71" t="s">
        <v>42</v>
      </c>
      <c r="G1109" s="72">
        <v>49.9</v>
      </c>
      <c r="H1109" s="73">
        <v>300</v>
      </c>
      <c r="I1109" s="73">
        <v>-9</v>
      </c>
      <c r="J1109" s="73">
        <v>-15</v>
      </c>
      <c r="K1109" s="73">
        <v>-96</v>
      </c>
      <c r="L1109" s="73">
        <v>-24</v>
      </c>
      <c r="M1109" s="73">
        <v>-14</v>
      </c>
      <c r="N1109" s="73">
        <v>-6</v>
      </c>
      <c r="O1109" s="73">
        <v>-3</v>
      </c>
      <c r="P1109" s="73">
        <v>-37</v>
      </c>
      <c r="Q1109" s="73">
        <v>-12</v>
      </c>
      <c r="R1109" s="73">
        <v>0</v>
      </c>
      <c r="S1109" s="73">
        <v>0</v>
      </c>
      <c r="T1109" s="73">
        <v>0</v>
      </c>
      <c r="U1109" s="73">
        <v>0</v>
      </c>
      <c r="V1109" s="73">
        <v>0</v>
      </c>
      <c r="W1109" s="73">
        <v>0</v>
      </c>
      <c r="X1109" s="73">
        <v>0</v>
      </c>
      <c r="Y1109" s="73">
        <v>0</v>
      </c>
      <c r="Z1109" s="73">
        <v>44</v>
      </c>
      <c r="AA1109" s="73">
        <v>530</v>
      </c>
      <c r="AB1109" s="73">
        <v>0</v>
      </c>
      <c r="AC1109" s="73">
        <v>0</v>
      </c>
      <c r="AD1109" s="73">
        <v>0</v>
      </c>
      <c r="AE1109" s="73">
        <v>0</v>
      </c>
      <c r="AF1109" s="74">
        <f>tblData[[#This Row],[Gross Sales]]+tblData[[#This Row],[Trade Discounts]]+tblData[[#This Row],[Returns]]</f>
        <v>276</v>
      </c>
      <c r="AG1109" s="74">
        <f>tblData[[#This Row],[Material Cost]]+tblData[[#This Row],[Conversion Cost]]+tblData[[#This Row],[Inbound Freight]]</f>
        <v>-134</v>
      </c>
      <c r="AH1109" s="74">
        <f>tblData[[#This Row],[Net Revenue]]+tblData[[#This Row],[COGS]]</f>
        <v>142</v>
      </c>
      <c r="AI1109" s="74">
        <f>tblData[[#This Row],[Advertising]]+tblData[[#This Row],[Promotions]]</f>
        <v>-9</v>
      </c>
      <c r="AJ1109" s="74">
        <f>tblData[[#This Row],[Outbound Logistics]]+tblData[[#This Row],[Direct Selling]]</f>
        <v>-49</v>
      </c>
      <c r="AK1109" s="74">
        <f>tblData[[#This Row],[Gross Profit]]+tblData[[#This Row],[AP Spend]]+tblData[[#This Row],[Cost to Serve]]</f>
        <v>84</v>
      </c>
    </row>
    <row r="1110" spans="2:37" x14ac:dyDescent="0.25">
      <c r="B1110" s="71" t="s">
        <v>51</v>
      </c>
      <c r="C1110" s="71">
        <v>2026</v>
      </c>
      <c r="D1110" s="71">
        <v>5</v>
      </c>
      <c r="E1110" s="71" t="s">
        <v>47</v>
      </c>
      <c r="F1110" s="71" t="s">
        <v>43</v>
      </c>
      <c r="G1110" s="72">
        <v>9.6</v>
      </c>
      <c r="H1110" s="73">
        <v>174</v>
      </c>
      <c r="I1110" s="73">
        <v>-5</v>
      </c>
      <c r="J1110" s="73">
        <v>-9</v>
      </c>
      <c r="K1110" s="73">
        <v>-48</v>
      </c>
      <c r="L1110" s="73">
        <v>-12</v>
      </c>
      <c r="M1110" s="73">
        <v>-7</v>
      </c>
      <c r="N1110" s="73">
        <v>-16</v>
      </c>
      <c r="O1110" s="73">
        <v>-9</v>
      </c>
      <c r="P1110" s="73">
        <v>-21</v>
      </c>
      <c r="Q1110" s="73">
        <v>-7</v>
      </c>
      <c r="R1110" s="73">
        <v>0</v>
      </c>
      <c r="S1110" s="73">
        <v>0</v>
      </c>
      <c r="T1110" s="73">
        <v>0</v>
      </c>
      <c r="U1110" s="73">
        <v>0</v>
      </c>
      <c r="V1110" s="73">
        <v>0</v>
      </c>
      <c r="W1110" s="73">
        <v>0</v>
      </c>
      <c r="X1110" s="73">
        <v>0</v>
      </c>
      <c r="Y1110" s="73">
        <v>0</v>
      </c>
      <c r="Z1110" s="73">
        <v>26</v>
      </c>
      <c r="AA1110" s="73">
        <v>266</v>
      </c>
      <c r="AB1110" s="73">
        <v>0</v>
      </c>
      <c r="AC1110" s="73">
        <v>0</v>
      </c>
      <c r="AD1110" s="73">
        <v>0</v>
      </c>
      <c r="AE1110" s="73">
        <v>0</v>
      </c>
      <c r="AF1110" s="74">
        <f>tblData[[#This Row],[Gross Sales]]+tblData[[#This Row],[Trade Discounts]]+tblData[[#This Row],[Returns]]</f>
        <v>160</v>
      </c>
      <c r="AG1110" s="74">
        <f>tblData[[#This Row],[Material Cost]]+tblData[[#This Row],[Conversion Cost]]+tblData[[#This Row],[Inbound Freight]]</f>
        <v>-67</v>
      </c>
      <c r="AH1110" s="74">
        <f>tblData[[#This Row],[Net Revenue]]+tblData[[#This Row],[COGS]]</f>
        <v>93</v>
      </c>
      <c r="AI1110" s="74">
        <f>tblData[[#This Row],[Advertising]]+tblData[[#This Row],[Promotions]]</f>
        <v>-25</v>
      </c>
      <c r="AJ1110" s="74">
        <f>tblData[[#This Row],[Outbound Logistics]]+tblData[[#This Row],[Direct Selling]]</f>
        <v>-28</v>
      </c>
      <c r="AK1110" s="74">
        <f>tblData[[#This Row],[Gross Profit]]+tblData[[#This Row],[AP Spend]]+tblData[[#This Row],[Cost to Serve]]</f>
        <v>40</v>
      </c>
    </row>
    <row r="1111" spans="2:37" x14ac:dyDescent="0.25">
      <c r="B1111" s="71" t="s">
        <v>51</v>
      </c>
      <c r="C1111" s="71">
        <v>2026</v>
      </c>
      <c r="D1111" s="71">
        <v>5</v>
      </c>
      <c r="E1111" s="71" t="s">
        <v>48</v>
      </c>
      <c r="F1111" s="71" t="s">
        <v>38</v>
      </c>
      <c r="G1111" s="72">
        <v>103.7</v>
      </c>
      <c r="H1111" s="73">
        <v>1458</v>
      </c>
      <c r="I1111" s="73">
        <v>-131</v>
      </c>
      <c r="J1111" s="73">
        <v>-15</v>
      </c>
      <c r="K1111" s="73">
        <v>-318</v>
      </c>
      <c r="L1111" s="73">
        <v>-79</v>
      </c>
      <c r="M1111" s="73">
        <v>-48</v>
      </c>
      <c r="N1111" s="73">
        <v>-78</v>
      </c>
      <c r="O1111" s="73">
        <v>-45</v>
      </c>
      <c r="P1111" s="73">
        <v>-45</v>
      </c>
      <c r="Q1111" s="73">
        <v>-22</v>
      </c>
      <c r="R1111" s="73">
        <v>0</v>
      </c>
      <c r="S1111" s="73">
        <v>0</v>
      </c>
      <c r="T1111" s="73">
        <v>0</v>
      </c>
      <c r="U1111" s="73">
        <v>0</v>
      </c>
      <c r="V1111" s="73">
        <v>0</v>
      </c>
      <c r="W1111" s="73">
        <v>0</v>
      </c>
      <c r="X1111" s="73">
        <v>0</v>
      </c>
      <c r="Y1111" s="73">
        <v>0</v>
      </c>
      <c r="Z1111" s="73">
        <v>3030</v>
      </c>
      <c r="AA1111" s="73">
        <v>1411</v>
      </c>
      <c r="AB1111" s="73">
        <v>0</v>
      </c>
      <c r="AC1111" s="73">
        <v>0</v>
      </c>
      <c r="AD1111" s="73">
        <v>0</v>
      </c>
      <c r="AE1111" s="73">
        <v>0</v>
      </c>
      <c r="AF1111" s="74">
        <f>tblData[[#This Row],[Gross Sales]]+tblData[[#This Row],[Trade Discounts]]+tblData[[#This Row],[Returns]]</f>
        <v>1312</v>
      </c>
      <c r="AG1111" s="74">
        <f>tblData[[#This Row],[Material Cost]]+tblData[[#This Row],[Conversion Cost]]+tblData[[#This Row],[Inbound Freight]]</f>
        <v>-445</v>
      </c>
      <c r="AH1111" s="74">
        <f>tblData[[#This Row],[Net Revenue]]+tblData[[#This Row],[COGS]]</f>
        <v>867</v>
      </c>
      <c r="AI1111" s="74">
        <f>tblData[[#This Row],[Advertising]]+tblData[[#This Row],[Promotions]]</f>
        <v>-123</v>
      </c>
      <c r="AJ1111" s="74">
        <f>tblData[[#This Row],[Outbound Logistics]]+tblData[[#This Row],[Direct Selling]]</f>
        <v>-67</v>
      </c>
      <c r="AK1111" s="74">
        <f>tblData[[#This Row],[Gross Profit]]+tblData[[#This Row],[AP Spend]]+tblData[[#This Row],[Cost to Serve]]</f>
        <v>677</v>
      </c>
    </row>
    <row r="1112" spans="2:37" x14ac:dyDescent="0.25">
      <c r="B1112" s="71" t="s">
        <v>51</v>
      </c>
      <c r="C1112" s="71">
        <v>2026</v>
      </c>
      <c r="D1112" s="71">
        <v>5</v>
      </c>
      <c r="E1112" s="71" t="s">
        <v>48</v>
      </c>
      <c r="F1112" s="71" t="s">
        <v>39</v>
      </c>
      <c r="G1112" s="72">
        <v>136.6</v>
      </c>
      <c r="H1112" s="73">
        <v>1231</v>
      </c>
      <c r="I1112" s="73">
        <v>-111</v>
      </c>
      <c r="J1112" s="73">
        <v>-12</v>
      </c>
      <c r="K1112" s="73">
        <v>-323</v>
      </c>
      <c r="L1112" s="73">
        <v>-80</v>
      </c>
      <c r="M1112" s="73">
        <v>-48</v>
      </c>
      <c r="N1112" s="73">
        <v>-45</v>
      </c>
      <c r="O1112" s="73">
        <v>-26</v>
      </c>
      <c r="P1112" s="73">
        <v>-38</v>
      </c>
      <c r="Q1112" s="73">
        <v>-18</v>
      </c>
      <c r="R1112" s="73">
        <v>0</v>
      </c>
      <c r="S1112" s="73">
        <v>0</v>
      </c>
      <c r="T1112" s="73">
        <v>0</v>
      </c>
      <c r="U1112" s="73">
        <v>0</v>
      </c>
      <c r="V1112" s="73">
        <v>0</v>
      </c>
      <c r="W1112" s="73">
        <v>0</v>
      </c>
      <c r="X1112" s="73">
        <v>0</v>
      </c>
      <c r="Y1112" s="73">
        <v>0</v>
      </c>
      <c r="Z1112" s="73">
        <v>2551</v>
      </c>
      <c r="AA1112" s="73">
        <v>1210</v>
      </c>
      <c r="AB1112" s="73">
        <v>0</v>
      </c>
      <c r="AC1112" s="73">
        <v>0</v>
      </c>
      <c r="AD1112" s="73">
        <v>0</v>
      </c>
      <c r="AE1112" s="73">
        <v>0</v>
      </c>
      <c r="AF1112" s="74">
        <f>tblData[[#This Row],[Gross Sales]]+tblData[[#This Row],[Trade Discounts]]+tblData[[#This Row],[Returns]]</f>
        <v>1108</v>
      </c>
      <c r="AG1112" s="74">
        <f>tblData[[#This Row],[Material Cost]]+tblData[[#This Row],[Conversion Cost]]+tblData[[#This Row],[Inbound Freight]]</f>
        <v>-451</v>
      </c>
      <c r="AH1112" s="74">
        <f>tblData[[#This Row],[Net Revenue]]+tblData[[#This Row],[COGS]]</f>
        <v>657</v>
      </c>
      <c r="AI1112" s="74">
        <f>tblData[[#This Row],[Advertising]]+tblData[[#This Row],[Promotions]]</f>
        <v>-71</v>
      </c>
      <c r="AJ1112" s="74">
        <f>tblData[[#This Row],[Outbound Logistics]]+tblData[[#This Row],[Direct Selling]]</f>
        <v>-56</v>
      </c>
      <c r="AK1112" s="74">
        <f>tblData[[#This Row],[Gross Profit]]+tblData[[#This Row],[AP Spend]]+tblData[[#This Row],[Cost to Serve]]</f>
        <v>530</v>
      </c>
    </row>
    <row r="1113" spans="2:37" x14ac:dyDescent="0.25">
      <c r="B1113" s="71" t="s">
        <v>51</v>
      </c>
      <c r="C1113" s="71">
        <v>2026</v>
      </c>
      <c r="D1113" s="71">
        <v>5</v>
      </c>
      <c r="E1113" s="71" t="s">
        <v>48</v>
      </c>
      <c r="F1113" s="71" t="s">
        <v>40</v>
      </c>
      <c r="G1113" s="72">
        <v>129.9</v>
      </c>
      <c r="H1113" s="73">
        <v>909</v>
      </c>
      <c r="I1113" s="73">
        <v>-82</v>
      </c>
      <c r="J1113" s="73">
        <v>-9</v>
      </c>
      <c r="K1113" s="73">
        <v>-265</v>
      </c>
      <c r="L1113" s="73">
        <v>-65</v>
      </c>
      <c r="M1113" s="73">
        <v>-40</v>
      </c>
      <c r="N1113" s="73">
        <v>-22</v>
      </c>
      <c r="O1113" s="73">
        <v>-13</v>
      </c>
      <c r="P1113" s="73">
        <v>-28</v>
      </c>
      <c r="Q1113" s="73">
        <v>-14</v>
      </c>
      <c r="R1113" s="73">
        <v>0</v>
      </c>
      <c r="S1113" s="73">
        <v>0</v>
      </c>
      <c r="T1113" s="73">
        <v>0</v>
      </c>
      <c r="U1113" s="73">
        <v>0</v>
      </c>
      <c r="V1113" s="73">
        <v>0</v>
      </c>
      <c r="W1113" s="73">
        <v>0</v>
      </c>
      <c r="X1113" s="73">
        <v>0</v>
      </c>
      <c r="Y1113" s="73">
        <v>0</v>
      </c>
      <c r="Z1113" s="73">
        <v>1887</v>
      </c>
      <c r="AA1113" s="73">
        <v>935</v>
      </c>
      <c r="AB1113" s="73">
        <v>0</v>
      </c>
      <c r="AC1113" s="73">
        <v>0</v>
      </c>
      <c r="AD1113" s="73">
        <v>0</v>
      </c>
      <c r="AE1113" s="73">
        <v>0</v>
      </c>
      <c r="AF1113" s="74">
        <f>tblData[[#This Row],[Gross Sales]]+tblData[[#This Row],[Trade Discounts]]+tblData[[#This Row],[Returns]]</f>
        <v>818</v>
      </c>
      <c r="AG1113" s="74">
        <f>tblData[[#This Row],[Material Cost]]+tblData[[#This Row],[Conversion Cost]]+tblData[[#This Row],[Inbound Freight]]</f>
        <v>-370</v>
      </c>
      <c r="AH1113" s="74">
        <f>tblData[[#This Row],[Net Revenue]]+tblData[[#This Row],[COGS]]</f>
        <v>448</v>
      </c>
      <c r="AI1113" s="74">
        <f>tblData[[#This Row],[Advertising]]+tblData[[#This Row],[Promotions]]</f>
        <v>-35</v>
      </c>
      <c r="AJ1113" s="74">
        <f>tblData[[#This Row],[Outbound Logistics]]+tblData[[#This Row],[Direct Selling]]</f>
        <v>-42</v>
      </c>
      <c r="AK1113" s="74">
        <f>tblData[[#This Row],[Gross Profit]]+tblData[[#This Row],[AP Spend]]+tblData[[#This Row],[Cost to Serve]]</f>
        <v>371</v>
      </c>
    </row>
    <row r="1114" spans="2:37" x14ac:dyDescent="0.25">
      <c r="B1114" s="71" t="s">
        <v>51</v>
      </c>
      <c r="C1114" s="71">
        <v>2026</v>
      </c>
      <c r="D1114" s="71">
        <v>5</v>
      </c>
      <c r="E1114" s="71" t="s">
        <v>48</v>
      </c>
      <c r="F1114" s="71" t="s">
        <v>41</v>
      </c>
      <c r="G1114" s="72">
        <v>65.599999999999994</v>
      </c>
      <c r="H1114" s="73">
        <v>724</v>
      </c>
      <c r="I1114" s="73">
        <v>-65</v>
      </c>
      <c r="J1114" s="73">
        <v>-7</v>
      </c>
      <c r="K1114" s="73">
        <v>-174</v>
      </c>
      <c r="L1114" s="73">
        <v>-43</v>
      </c>
      <c r="M1114" s="73">
        <v>-26</v>
      </c>
      <c r="N1114" s="73">
        <v>-48</v>
      </c>
      <c r="O1114" s="73">
        <v>-28</v>
      </c>
      <c r="P1114" s="73">
        <v>-22</v>
      </c>
      <c r="Q1114" s="73">
        <v>-11</v>
      </c>
      <c r="R1114" s="73">
        <v>0</v>
      </c>
      <c r="S1114" s="73">
        <v>0</v>
      </c>
      <c r="T1114" s="73">
        <v>0</v>
      </c>
      <c r="U1114" s="73">
        <v>0</v>
      </c>
      <c r="V1114" s="73">
        <v>0</v>
      </c>
      <c r="W1114" s="73">
        <v>0</v>
      </c>
      <c r="X1114" s="73">
        <v>0</v>
      </c>
      <c r="Y1114" s="73">
        <v>0</v>
      </c>
      <c r="Z1114" s="73">
        <v>1499</v>
      </c>
      <c r="AA1114" s="73">
        <v>729</v>
      </c>
      <c r="AB1114" s="73">
        <v>0</v>
      </c>
      <c r="AC1114" s="73">
        <v>0</v>
      </c>
      <c r="AD1114" s="73">
        <v>0</v>
      </c>
      <c r="AE1114" s="73">
        <v>0</v>
      </c>
      <c r="AF1114" s="74">
        <f>tblData[[#This Row],[Gross Sales]]+tblData[[#This Row],[Trade Discounts]]+tblData[[#This Row],[Returns]]</f>
        <v>652</v>
      </c>
      <c r="AG1114" s="74">
        <f>tblData[[#This Row],[Material Cost]]+tblData[[#This Row],[Conversion Cost]]+tblData[[#This Row],[Inbound Freight]]</f>
        <v>-243</v>
      </c>
      <c r="AH1114" s="74">
        <f>tblData[[#This Row],[Net Revenue]]+tblData[[#This Row],[COGS]]</f>
        <v>409</v>
      </c>
      <c r="AI1114" s="74">
        <f>tblData[[#This Row],[Advertising]]+tblData[[#This Row],[Promotions]]</f>
        <v>-76</v>
      </c>
      <c r="AJ1114" s="74">
        <f>tblData[[#This Row],[Outbound Logistics]]+tblData[[#This Row],[Direct Selling]]</f>
        <v>-33</v>
      </c>
      <c r="AK1114" s="74">
        <f>tblData[[#This Row],[Gross Profit]]+tblData[[#This Row],[AP Spend]]+tblData[[#This Row],[Cost to Serve]]</f>
        <v>300</v>
      </c>
    </row>
    <row r="1115" spans="2:37" x14ac:dyDescent="0.25">
      <c r="B1115" s="71" t="s">
        <v>51</v>
      </c>
      <c r="C1115" s="71">
        <v>2026</v>
      </c>
      <c r="D1115" s="71">
        <v>5</v>
      </c>
      <c r="E1115" s="71" t="s">
        <v>48</v>
      </c>
      <c r="F1115" s="71" t="s">
        <v>42</v>
      </c>
      <c r="G1115" s="72">
        <v>80.3</v>
      </c>
      <c r="H1115" s="73">
        <v>480</v>
      </c>
      <c r="I1115" s="73">
        <v>-43</v>
      </c>
      <c r="J1115" s="73">
        <v>-5</v>
      </c>
      <c r="K1115" s="73">
        <v>-154</v>
      </c>
      <c r="L1115" s="73">
        <v>-38</v>
      </c>
      <c r="M1115" s="73">
        <v>-23</v>
      </c>
      <c r="N1115" s="73">
        <v>-9</v>
      </c>
      <c r="O1115" s="73">
        <v>-5</v>
      </c>
      <c r="P1115" s="73">
        <v>-15</v>
      </c>
      <c r="Q1115" s="73">
        <v>-7</v>
      </c>
      <c r="R1115" s="73">
        <v>0</v>
      </c>
      <c r="S1115" s="73">
        <v>0</v>
      </c>
      <c r="T1115" s="73">
        <v>0</v>
      </c>
      <c r="U1115" s="73">
        <v>0</v>
      </c>
      <c r="V1115" s="73">
        <v>0</v>
      </c>
      <c r="W1115" s="73">
        <v>0</v>
      </c>
      <c r="X1115" s="73">
        <v>0</v>
      </c>
      <c r="Y1115" s="73">
        <v>0</v>
      </c>
      <c r="Z1115" s="73">
        <v>1001</v>
      </c>
      <c r="AA1115" s="73">
        <v>850</v>
      </c>
      <c r="AB1115" s="73">
        <v>0</v>
      </c>
      <c r="AC1115" s="73">
        <v>0</v>
      </c>
      <c r="AD1115" s="73">
        <v>0</v>
      </c>
      <c r="AE1115" s="73">
        <v>0</v>
      </c>
      <c r="AF1115" s="74">
        <f>tblData[[#This Row],[Gross Sales]]+tblData[[#This Row],[Trade Discounts]]+tblData[[#This Row],[Returns]]</f>
        <v>432</v>
      </c>
      <c r="AG1115" s="74">
        <f>tblData[[#This Row],[Material Cost]]+tblData[[#This Row],[Conversion Cost]]+tblData[[#This Row],[Inbound Freight]]</f>
        <v>-215</v>
      </c>
      <c r="AH1115" s="74">
        <f>tblData[[#This Row],[Net Revenue]]+tblData[[#This Row],[COGS]]</f>
        <v>217</v>
      </c>
      <c r="AI1115" s="74">
        <f>tblData[[#This Row],[Advertising]]+tblData[[#This Row],[Promotions]]</f>
        <v>-14</v>
      </c>
      <c r="AJ1115" s="74">
        <f>tblData[[#This Row],[Outbound Logistics]]+tblData[[#This Row],[Direct Selling]]</f>
        <v>-22</v>
      </c>
      <c r="AK1115" s="74">
        <f>tblData[[#This Row],[Gross Profit]]+tblData[[#This Row],[AP Spend]]+tblData[[#This Row],[Cost to Serve]]</f>
        <v>181</v>
      </c>
    </row>
    <row r="1116" spans="2:37" x14ac:dyDescent="0.25">
      <c r="B1116" s="71" t="s">
        <v>51</v>
      </c>
      <c r="C1116" s="71">
        <v>2026</v>
      </c>
      <c r="D1116" s="71">
        <v>5</v>
      </c>
      <c r="E1116" s="71" t="s">
        <v>48</v>
      </c>
      <c r="F1116" s="71" t="s">
        <v>43</v>
      </c>
      <c r="G1116" s="72">
        <v>15.4</v>
      </c>
      <c r="H1116" s="73">
        <v>277</v>
      </c>
      <c r="I1116" s="73">
        <v>-25</v>
      </c>
      <c r="J1116" s="73">
        <v>-3</v>
      </c>
      <c r="K1116" s="73">
        <v>-77</v>
      </c>
      <c r="L1116" s="73">
        <v>-19</v>
      </c>
      <c r="M1116" s="73">
        <v>-11</v>
      </c>
      <c r="N1116" s="73">
        <v>-26</v>
      </c>
      <c r="O1116" s="73">
        <v>-15</v>
      </c>
      <c r="P1116" s="73">
        <v>-8</v>
      </c>
      <c r="Q1116" s="73">
        <v>-4</v>
      </c>
      <c r="R1116" s="73">
        <v>0</v>
      </c>
      <c r="S1116" s="73">
        <v>0</v>
      </c>
      <c r="T1116" s="73">
        <v>0</v>
      </c>
      <c r="U1116" s="73">
        <v>0</v>
      </c>
      <c r="V1116" s="73">
        <v>0</v>
      </c>
      <c r="W1116" s="73">
        <v>0</v>
      </c>
      <c r="X1116" s="73">
        <v>0</v>
      </c>
      <c r="Y1116" s="73">
        <v>0</v>
      </c>
      <c r="Z1116" s="73">
        <v>578</v>
      </c>
      <c r="AA1116" s="73">
        <v>427</v>
      </c>
      <c r="AB1116" s="73">
        <v>0</v>
      </c>
      <c r="AC1116" s="73">
        <v>0</v>
      </c>
      <c r="AD1116" s="73">
        <v>0</v>
      </c>
      <c r="AE1116" s="73">
        <v>0</v>
      </c>
      <c r="AF1116" s="74">
        <f>tblData[[#This Row],[Gross Sales]]+tblData[[#This Row],[Trade Discounts]]+tblData[[#This Row],[Returns]]</f>
        <v>249</v>
      </c>
      <c r="AG1116" s="74">
        <f>tblData[[#This Row],[Material Cost]]+tblData[[#This Row],[Conversion Cost]]+tblData[[#This Row],[Inbound Freight]]</f>
        <v>-107</v>
      </c>
      <c r="AH1116" s="74">
        <f>tblData[[#This Row],[Net Revenue]]+tblData[[#This Row],[COGS]]</f>
        <v>142</v>
      </c>
      <c r="AI1116" s="74">
        <f>tblData[[#This Row],[Advertising]]+tblData[[#This Row],[Promotions]]</f>
        <v>-41</v>
      </c>
      <c r="AJ1116" s="74">
        <f>tblData[[#This Row],[Outbound Logistics]]+tblData[[#This Row],[Direct Selling]]</f>
        <v>-12</v>
      </c>
      <c r="AK1116" s="74">
        <f>tblData[[#This Row],[Gross Profit]]+tblData[[#This Row],[AP Spend]]+tblData[[#This Row],[Cost to Serve]]</f>
        <v>89</v>
      </c>
    </row>
    <row r="1117" spans="2:37" x14ac:dyDescent="0.25">
      <c r="B1117" s="71" t="s">
        <v>51</v>
      </c>
      <c r="C1117" s="71">
        <v>2026</v>
      </c>
      <c r="D1117" s="71">
        <v>5</v>
      </c>
      <c r="E1117" s="71" t="s">
        <v>49</v>
      </c>
      <c r="F1117" s="71" t="s">
        <v>49</v>
      </c>
      <c r="G1117" s="72">
        <v>0</v>
      </c>
      <c r="H1117" s="73">
        <v>0</v>
      </c>
      <c r="I1117" s="73">
        <v>0</v>
      </c>
      <c r="J1117" s="73">
        <v>0</v>
      </c>
      <c r="K1117" s="73">
        <v>0</v>
      </c>
      <c r="L1117" s="73">
        <v>0</v>
      </c>
      <c r="M1117" s="73">
        <v>0</v>
      </c>
      <c r="N1117" s="73">
        <v>0</v>
      </c>
      <c r="O1117" s="73">
        <v>0</v>
      </c>
      <c r="P1117" s="73">
        <v>0</v>
      </c>
      <c r="Q1117" s="73">
        <v>0</v>
      </c>
      <c r="R1117" s="73">
        <v>-4287</v>
      </c>
      <c r="S1117" s="73">
        <v>-1004</v>
      </c>
      <c r="T1117" s="73">
        <v>-1288</v>
      </c>
      <c r="U1117" s="73">
        <v>-1094</v>
      </c>
      <c r="V1117" s="73">
        <v>-1480</v>
      </c>
      <c r="W1117" s="73">
        <v>-703</v>
      </c>
      <c r="X1117" s="73">
        <v>-1532</v>
      </c>
      <c r="Y1117" s="73">
        <v>-1357</v>
      </c>
      <c r="Z1117" s="73">
        <v>0</v>
      </c>
      <c r="AA1117" s="73">
        <v>0</v>
      </c>
      <c r="AB1117" s="73">
        <v>33705</v>
      </c>
      <c r="AC1117" s="73">
        <v>48164</v>
      </c>
      <c r="AD1117" s="73">
        <v>187500</v>
      </c>
      <c r="AE1117" s="73">
        <v>1185</v>
      </c>
      <c r="AF1117" s="74">
        <f>tblData[[#This Row],[Gross Sales]]+tblData[[#This Row],[Trade Discounts]]+tblData[[#This Row],[Returns]]</f>
        <v>0</v>
      </c>
      <c r="AG1117" s="74">
        <f>tblData[[#This Row],[Material Cost]]+tblData[[#This Row],[Conversion Cost]]+tblData[[#This Row],[Inbound Freight]]</f>
        <v>0</v>
      </c>
      <c r="AH1117" s="74">
        <f>tblData[[#This Row],[Net Revenue]]+tblData[[#This Row],[COGS]]</f>
        <v>0</v>
      </c>
      <c r="AI1117" s="74">
        <f>tblData[[#This Row],[Advertising]]+tblData[[#This Row],[Promotions]]</f>
        <v>0</v>
      </c>
      <c r="AJ1117" s="74">
        <f>tblData[[#This Row],[Outbound Logistics]]+tblData[[#This Row],[Direct Selling]]</f>
        <v>0</v>
      </c>
      <c r="AK1117" s="74">
        <f>tblData[[#This Row],[Gross Profit]]+tblData[[#This Row],[AP Spend]]+tblData[[#This Row],[Cost to Serve]]</f>
        <v>0</v>
      </c>
    </row>
    <row r="1118" spans="2:37" x14ac:dyDescent="0.25">
      <c r="B1118" s="71" t="s">
        <v>51</v>
      </c>
      <c r="C1118" s="71">
        <v>2026</v>
      </c>
      <c r="D1118" s="71">
        <v>6</v>
      </c>
      <c r="E1118" s="71" t="s">
        <v>37</v>
      </c>
      <c r="F1118" s="71" t="s">
        <v>38</v>
      </c>
      <c r="G1118" s="72">
        <v>306.89999999999998</v>
      </c>
      <c r="H1118" s="73">
        <v>4315</v>
      </c>
      <c r="I1118" s="73">
        <v>-838</v>
      </c>
      <c r="J1118" s="73">
        <v>-65</v>
      </c>
      <c r="K1118" s="73">
        <v>-942</v>
      </c>
      <c r="L1118" s="73">
        <v>-233</v>
      </c>
      <c r="M1118" s="73">
        <v>-141</v>
      </c>
      <c r="N1118" s="73">
        <v>-241</v>
      </c>
      <c r="O1118" s="73">
        <v>-139</v>
      </c>
      <c r="P1118" s="73">
        <v>-176</v>
      </c>
      <c r="Q1118" s="73">
        <v>-129</v>
      </c>
      <c r="R1118" s="73">
        <v>0</v>
      </c>
      <c r="S1118" s="73">
        <v>0</v>
      </c>
      <c r="T1118" s="73">
        <v>0</v>
      </c>
      <c r="U1118" s="73">
        <v>0</v>
      </c>
      <c r="V1118" s="73">
        <v>0</v>
      </c>
      <c r="W1118" s="73">
        <v>0</v>
      </c>
      <c r="X1118" s="73">
        <v>0</v>
      </c>
      <c r="Y1118" s="73">
        <v>0</v>
      </c>
      <c r="Z1118" s="73">
        <v>6240</v>
      </c>
      <c r="AA1118" s="73">
        <v>4179</v>
      </c>
      <c r="AB1118" s="73">
        <v>0</v>
      </c>
      <c r="AC1118" s="73">
        <v>0</v>
      </c>
      <c r="AD1118" s="73">
        <v>0</v>
      </c>
      <c r="AE1118" s="73">
        <v>0</v>
      </c>
      <c r="AF1118" s="74">
        <f>tblData[[#This Row],[Gross Sales]]+tblData[[#This Row],[Trade Discounts]]+tblData[[#This Row],[Returns]]</f>
        <v>3412</v>
      </c>
      <c r="AG1118" s="74">
        <f>tblData[[#This Row],[Material Cost]]+tblData[[#This Row],[Conversion Cost]]+tblData[[#This Row],[Inbound Freight]]</f>
        <v>-1316</v>
      </c>
      <c r="AH1118" s="74">
        <f>tblData[[#This Row],[Net Revenue]]+tblData[[#This Row],[COGS]]</f>
        <v>2096</v>
      </c>
      <c r="AI1118" s="74">
        <f>tblData[[#This Row],[Advertising]]+tblData[[#This Row],[Promotions]]</f>
        <v>-380</v>
      </c>
      <c r="AJ1118" s="74">
        <f>tblData[[#This Row],[Outbound Logistics]]+tblData[[#This Row],[Direct Selling]]</f>
        <v>-305</v>
      </c>
      <c r="AK1118" s="74">
        <f>tblData[[#This Row],[Gross Profit]]+tblData[[#This Row],[AP Spend]]+tblData[[#This Row],[Cost to Serve]]</f>
        <v>1411</v>
      </c>
    </row>
    <row r="1119" spans="2:37" x14ac:dyDescent="0.25">
      <c r="B1119" s="71" t="s">
        <v>51</v>
      </c>
      <c r="C1119" s="71">
        <v>2026</v>
      </c>
      <c r="D1119" s="71">
        <v>6</v>
      </c>
      <c r="E1119" s="71" t="s">
        <v>37</v>
      </c>
      <c r="F1119" s="71" t="s">
        <v>39</v>
      </c>
      <c r="G1119" s="72">
        <v>402.3</v>
      </c>
      <c r="H1119" s="73">
        <v>3626</v>
      </c>
      <c r="I1119" s="73">
        <v>-705</v>
      </c>
      <c r="J1119" s="73">
        <v>-54</v>
      </c>
      <c r="K1119" s="73">
        <v>-950</v>
      </c>
      <c r="L1119" s="73">
        <v>-235</v>
      </c>
      <c r="M1119" s="73">
        <v>-142</v>
      </c>
      <c r="N1119" s="73">
        <v>-138</v>
      </c>
      <c r="O1119" s="73">
        <v>-79</v>
      </c>
      <c r="P1119" s="73">
        <v>-148</v>
      </c>
      <c r="Q1119" s="73">
        <v>-109</v>
      </c>
      <c r="R1119" s="73">
        <v>0</v>
      </c>
      <c r="S1119" s="73">
        <v>0</v>
      </c>
      <c r="T1119" s="73">
        <v>0</v>
      </c>
      <c r="U1119" s="73">
        <v>0</v>
      </c>
      <c r="V1119" s="73">
        <v>0</v>
      </c>
      <c r="W1119" s="73">
        <v>0</v>
      </c>
      <c r="X1119" s="73">
        <v>0</v>
      </c>
      <c r="Y1119" s="73">
        <v>0</v>
      </c>
      <c r="Z1119" s="73">
        <v>5246</v>
      </c>
      <c r="AA1119" s="73">
        <v>3578</v>
      </c>
      <c r="AB1119" s="73">
        <v>0</v>
      </c>
      <c r="AC1119" s="73">
        <v>0</v>
      </c>
      <c r="AD1119" s="73">
        <v>0</v>
      </c>
      <c r="AE1119" s="73">
        <v>0</v>
      </c>
      <c r="AF1119" s="74">
        <f>tblData[[#This Row],[Gross Sales]]+tblData[[#This Row],[Trade Discounts]]+tblData[[#This Row],[Returns]]</f>
        <v>2867</v>
      </c>
      <c r="AG1119" s="74">
        <f>tblData[[#This Row],[Material Cost]]+tblData[[#This Row],[Conversion Cost]]+tblData[[#This Row],[Inbound Freight]]</f>
        <v>-1327</v>
      </c>
      <c r="AH1119" s="74">
        <f>tblData[[#This Row],[Net Revenue]]+tblData[[#This Row],[COGS]]</f>
        <v>1540</v>
      </c>
      <c r="AI1119" s="74">
        <f>tblData[[#This Row],[Advertising]]+tblData[[#This Row],[Promotions]]</f>
        <v>-217</v>
      </c>
      <c r="AJ1119" s="74">
        <f>tblData[[#This Row],[Outbound Logistics]]+tblData[[#This Row],[Direct Selling]]</f>
        <v>-257</v>
      </c>
      <c r="AK1119" s="74">
        <f>tblData[[#This Row],[Gross Profit]]+tblData[[#This Row],[AP Spend]]+tblData[[#This Row],[Cost to Serve]]</f>
        <v>1066</v>
      </c>
    </row>
    <row r="1120" spans="2:37" x14ac:dyDescent="0.25">
      <c r="B1120" s="71" t="s">
        <v>51</v>
      </c>
      <c r="C1120" s="71">
        <v>2026</v>
      </c>
      <c r="D1120" s="71">
        <v>6</v>
      </c>
      <c r="E1120" s="71" t="s">
        <v>37</v>
      </c>
      <c r="F1120" s="71" t="s">
        <v>40</v>
      </c>
      <c r="G1120" s="72">
        <v>383.1</v>
      </c>
      <c r="H1120" s="73">
        <v>2682</v>
      </c>
      <c r="I1120" s="73">
        <v>-521</v>
      </c>
      <c r="J1120" s="73">
        <v>-40</v>
      </c>
      <c r="K1120" s="73">
        <v>-781</v>
      </c>
      <c r="L1120" s="73">
        <v>-193</v>
      </c>
      <c r="M1120" s="73">
        <v>-117</v>
      </c>
      <c r="N1120" s="73">
        <v>-69</v>
      </c>
      <c r="O1120" s="73">
        <v>-40</v>
      </c>
      <c r="P1120" s="73">
        <v>-110</v>
      </c>
      <c r="Q1120" s="73">
        <v>-80</v>
      </c>
      <c r="R1120" s="73">
        <v>0</v>
      </c>
      <c r="S1120" s="73">
        <v>0</v>
      </c>
      <c r="T1120" s="73">
        <v>0</v>
      </c>
      <c r="U1120" s="73">
        <v>0</v>
      </c>
      <c r="V1120" s="73">
        <v>0</v>
      </c>
      <c r="W1120" s="73">
        <v>0</v>
      </c>
      <c r="X1120" s="73">
        <v>0</v>
      </c>
      <c r="Y1120" s="73">
        <v>0</v>
      </c>
      <c r="Z1120" s="73">
        <v>3876</v>
      </c>
      <c r="AA1120" s="73">
        <v>2762</v>
      </c>
      <c r="AB1120" s="73">
        <v>0</v>
      </c>
      <c r="AC1120" s="73">
        <v>0</v>
      </c>
      <c r="AD1120" s="73">
        <v>0</v>
      </c>
      <c r="AE1120" s="73">
        <v>0</v>
      </c>
      <c r="AF1120" s="74">
        <f>tblData[[#This Row],[Gross Sales]]+tblData[[#This Row],[Trade Discounts]]+tblData[[#This Row],[Returns]]</f>
        <v>2121</v>
      </c>
      <c r="AG1120" s="74">
        <f>tblData[[#This Row],[Material Cost]]+tblData[[#This Row],[Conversion Cost]]+tblData[[#This Row],[Inbound Freight]]</f>
        <v>-1091</v>
      </c>
      <c r="AH1120" s="74">
        <f>tblData[[#This Row],[Net Revenue]]+tblData[[#This Row],[COGS]]</f>
        <v>1030</v>
      </c>
      <c r="AI1120" s="74">
        <f>tblData[[#This Row],[Advertising]]+tblData[[#This Row],[Promotions]]</f>
        <v>-109</v>
      </c>
      <c r="AJ1120" s="74">
        <f>tblData[[#This Row],[Outbound Logistics]]+tblData[[#This Row],[Direct Selling]]</f>
        <v>-190</v>
      </c>
      <c r="AK1120" s="74">
        <f>tblData[[#This Row],[Gross Profit]]+tblData[[#This Row],[AP Spend]]+tblData[[#This Row],[Cost to Serve]]</f>
        <v>731</v>
      </c>
    </row>
    <row r="1121" spans="2:37" x14ac:dyDescent="0.25">
      <c r="B1121" s="71" t="s">
        <v>51</v>
      </c>
      <c r="C1121" s="71">
        <v>2026</v>
      </c>
      <c r="D1121" s="71">
        <v>6</v>
      </c>
      <c r="E1121" s="71" t="s">
        <v>37</v>
      </c>
      <c r="F1121" s="71" t="s">
        <v>41</v>
      </c>
      <c r="G1121" s="72">
        <v>193.6</v>
      </c>
      <c r="H1121" s="73">
        <v>2134</v>
      </c>
      <c r="I1121" s="73">
        <v>-415</v>
      </c>
      <c r="J1121" s="73">
        <v>-32</v>
      </c>
      <c r="K1121" s="73">
        <v>-512</v>
      </c>
      <c r="L1121" s="73">
        <v>-127</v>
      </c>
      <c r="M1121" s="73">
        <v>-77</v>
      </c>
      <c r="N1121" s="73">
        <v>-147</v>
      </c>
      <c r="O1121" s="73">
        <v>-85</v>
      </c>
      <c r="P1121" s="73">
        <v>-87</v>
      </c>
      <c r="Q1121" s="73">
        <v>-64</v>
      </c>
      <c r="R1121" s="73">
        <v>0</v>
      </c>
      <c r="S1121" s="73">
        <v>0</v>
      </c>
      <c r="T1121" s="73">
        <v>0</v>
      </c>
      <c r="U1121" s="73">
        <v>0</v>
      </c>
      <c r="V1121" s="73">
        <v>0</v>
      </c>
      <c r="W1121" s="73">
        <v>0</v>
      </c>
      <c r="X1121" s="73">
        <v>0</v>
      </c>
      <c r="Y1121" s="73">
        <v>0</v>
      </c>
      <c r="Z1121" s="73">
        <v>3078</v>
      </c>
      <c r="AA1121" s="73">
        <v>2153</v>
      </c>
      <c r="AB1121" s="73">
        <v>0</v>
      </c>
      <c r="AC1121" s="73">
        <v>0</v>
      </c>
      <c r="AD1121" s="73">
        <v>0</v>
      </c>
      <c r="AE1121" s="73">
        <v>0</v>
      </c>
      <c r="AF1121" s="74">
        <f>tblData[[#This Row],[Gross Sales]]+tblData[[#This Row],[Trade Discounts]]+tblData[[#This Row],[Returns]]</f>
        <v>1687</v>
      </c>
      <c r="AG1121" s="74">
        <f>tblData[[#This Row],[Material Cost]]+tblData[[#This Row],[Conversion Cost]]+tblData[[#This Row],[Inbound Freight]]</f>
        <v>-716</v>
      </c>
      <c r="AH1121" s="74">
        <f>tblData[[#This Row],[Net Revenue]]+tblData[[#This Row],[COGS]]</f>
        <v>971</v>
      </c>
      <c r="AI1121" s="74">
        <f>tblData[[#This Row],[Advertising]]+tblData[[#This Row],[Promotions]]</f>
        <v>-232</v>
      </c>
      <c r="AJ1121" s="74">
        <f>tblData[[#This Row],[Outbound Logistics]]+tblData[[#This Row],[Direct Selling]]</f>
        <v>-151</v>
      </c>
      <c r="AK1121" s="74">
        <f>tblData[[#This Row],[Gross Profit]]+tblData[[#This Row],[AP Spend]]+tblData[[#This Row],[Cost to Serve]]</f>
        <v>588</v>
      </c>
    </row>
    <row r="1122" spans="2:37" x14ac:dyDescent="0.25">
      <c r="B1122" s="71" t="s">
        <v>51</v>
      </c>
      <c r="C1122" s="71">
        <v>2026</v>
      </c>
      <c r="D1122" s="71">
        <v>6</v>
      </c>
      <c r="E1122" s="71" t="s">
        <v>37</v>
      </c>
      <c r="F1122" s="71" t="s">
        <v>42</v>
      </c>
      <c r="G1122" s="72">
        <v>238.8</v>
      </c>
      <c r="H1122" s="73">
        <v>1429</v>
      </c>
      <c r="I1122" s="73">
        <v>-278</v>
      </c>
      <c r="J1122" s="73">
        <v>-21</v>
      </c>
      <c r="K1122" s="73">
        <v>-457</v>
      </c>
      <c r="L1122" s="73">
        <v>-113</v>
      </c>
      <c r="M1122" s="73">
        <v>-68</v>
      </c>
      <c r="N1122" s="73">
        <v>-29</v>
      </c>
      <c r="O1122" s="73">
        <v>-17</v>
      </c>
      <c r="P1122" s="73">
        <v>-58</v>
      </c>
      <c r="Q1122" s="73">
        <v>-43</v>
      </c>
      <c r="R1122" s="73">
        <v>0</v>
      </c>
      <c r="S1122" s="73">
        <v>0</v>
      </c>
      <c r="T1122" s="73">
        <v>0</v>
      </c>
      <c r="U1122" s="73">
        <v>0</v>
      </c>
      <c r="V1122" s="73">
        <v>0</v>
      </c>
      <c r="W1122" s="73">
        <v>0</v>
      </c>
      <c r="X1122" s="73">
        <v>0</v>
      </c>
      <c r="Y1122" s="73">
        <v>0</v>
      </c>
      <c r="Z1122" s="73">
        <v>2056</v>
      </c>
      <c r="AA1122" s="73">
        <v>2509</v>
      </c>
      <c r="AB1122" s="73">
        <v>0</v>
      </c>
      <c r="AC1122" s="73">
        <v>0</v>
      </c>
      <c r="AD1122" s="73">
        <v>0</v>
      </c>
      <c r="AE1122" s="73">
        <v>0</v>
      </c>
      <c r="AF1122" s="74">
        <f>tblData[[#This Row],[Gross Sales]]+tblData[[#This Row],[Trade Discounts]]+tblData[[#This Row],[Returns]]</f>
        <v>1130</v>
      </c>
      <c r="AG1122" s="74">
        <f>tblData[[#This Row],[Material Cost]]+tblData[[#This Row],[Conversion Cost]]+tblData[[#This Row],[Inbound Freight]]</f>
        <v>-638</v>
      </c>
      <c r="AH1122" s="74">
        <f>tblData[[#This Row],[Net Revenue]]+tblData[[#This Row],[COGS]]</f>
        <v>492</v>
      </c>
      <c r="AI1122" s="74">
        <f>tblData[[#This Row],[Advertising]]+tblData[[#This Row],[Promotions]]</f>
        <v>-46</v>
      </c>
      <c r="AJ1122" s="74">
        <f>tblData[[#This Row],[Outbound Logistics]]+tblData[[#This Row],[Direct Selling]]</f>
        <v>-101</v>
      </c>
      <c r="AK1122" s="74">
        <f>tblData[[#This Row],[Gross Profit]]+tblData[[#This Row],[AP Spend]]+tblData[[#This Row],[Cost to Serve]]</f>
        <v>345</v>
      </c>
    </row>
    <row r="1123" spans="2:37" x14ac:dyDescent="0.25">
      <c r="B1123" s="71" t="s">
        <v>51</v>
      </c>
      <c r="C1123" s="71">
        <v>2026</v>
      </c>
      <c r="D1123" s="71">
        <v>6</v>
      </c>
      <c r="E1123" s="71" t="s">
        <v>37</v>
      </c>
      <c r="F1123" s="71" t="s">
        <v>43</v>
      </c>
      <c r="G1123" s="72">
        <v>45.6</v>
      </c>
      <c r="H1123" s="73">
        <v>820</v>
      </c>
      <c r="I1123" s="73">
        <v>-159</v>
      </c>
      <c r="J1123" s="73">
        <v>-12</v>
      </c>
      <c r="K1123" s="73">
        <v>-227</v>
      </c>
      <c r="L1123" s="73">
        <v>-56</v>
      </c>
      <c r="M1123" s="73">
        <v>-34</v>
      </c>
      <c r="N1123" s="73">
        <v>-80</v>
      </c>
      <c r="O1123" s="73">
        <v>-46</v>
      </c>
      <c r="P1123" s="73">
        <v>-34</v>
      </c>
      <c r="Q1123" s="73">
        <v>-25</v>
      </c>
      <c r="R1123" s="73">
        <v>0</v>
      </c>
      <c r="S1123" s="73">
        <v>0</v>
      </c>
      <c r="T1123" s="73">
        <v>0</v>
      </c>
      <c r="U1123" s="73">
        <v>0</v>
      </c>
      <c r="V1123" s="73">
        <v>0</v>
      </c>
      <c r="W1123" s="73">
        <v>0</v>
      </c>
      <c r="X1123" s="73">
        <v>0</v>
      </c>
      <c r="Y1123" s="73">
        <v>0</v>
      </c>
      <c r="Z1123" s="73">
        <v>1193</v>
      </c>
      <c r="AA1123" s="73">
        <v>1268</v>
      </c>
      <c r="AB1123" s="73">
        <v>0</v>
      </c>
      <c r="AC1123" s="73">
        <v>0</v>
      </c>
      <c r="AD1123" s="73">
        <v>0</v>
      </c>
      <c r="AE1123" s="73">
        <v>0</v>
      </c>
      <c r="AF1123" s="74">
        <f>tblData[[#This Row],[Gross Sales]]+tblData[[#This Row],[Trade Discounts]]+tblData[[#This Row],[Returns]]</f>
        <v>649</v>
      </c>
      <c r="AG1123" s="74">
        <f>tblData[[#This Row],[Material Cost]]+tblData[[#This Row],[Conversion Cost]]+tblData[[#This Row],[Inbound Freight]]</f>
        <v>-317</v>
      </c>
      <c r="AH1123" s="74">
        <f>tblData[[#This Row],[Net Revenue]]+tblData[[#This Row],[COGS]]</f>
        <v>332</v>
      </c>
      <c r="AI1123" s="74">
        <f>tblData[[#This Row],[Advertising]]+tblData[[#This Row],[Promotions]]</f>
        <v>-126</v>
      </c>
      <c r="AJ1123" s="74">
        <f>tblData[[#This Row],[Outbound Logistics]]+tblData[[#This Row],[Direct Selling]]</f>
        <v>-59</v>
      </c>
      <c r="AK1123" s="74">
        <f>tblData[[#This Row],[Gross Profit]]+tblData[[#This Row],[AP Spend]]+tblData[[#This Row],[Cost to Serve]]</f>
        <v>147</v>
      </c>
    </row>
    <row r="1124" spans="2:37" x14ac:dyDescent="0.25">
      <c r="B1124" s="71" t="s">
        <v>51</v>
      </c>
      <c r="C1124" s="71">
        <v>2026</v>
      </c>
      <c r="D1124" s="71">
        <v>6</v>
      </c>
      <c r="E1124" s="71" t="s">
        <v>44</v>
      </c>
      <c r="F1124" s="71" t="s">
        <v>38</v>
      </c>
      <c r="G1124" s="72">
        <v>253.6</v>
      </c>
      <c r="H1124" s="73">
        <v>3576</v>
      </c>
      <c r="I1124" s="73">
        <v>-577</v>
      </c>
      <c r="J1124" s="73">
        <v>-43</v>
      </c>
      <c r="K1124" s="73">
        <v>-781</v>
      </c>
      <c r="L1124" s="73">
        <v>-193</v>
      </c>
      <c r="M1124" s="73">
        <v>-117</v>
      </c>
      <c r="N1124" s="73">
        <v>-193</v>
      </c>
      <c r="O1124" s="73">
        <v>-111</v>
      </c>
      <c r="P1124" s="73">
        <v>-146</v>
      </c>
      <c r="Q1124" s="73">
        <v>-107</v>
      </c>
      <c r="R1124" s="73">
        <v>0</v>
      </c>
      <c r="S1124" s="73">
        <v>0</v>
      </c>
      <c r="T1124" s="73">
        <v>0</v>
      </c>
      <c r="U1124" s="73">
        <v>0</v>
      </c>
      <c r="V1124" s="73">
        <v>0</v>
      </c>
      <c r="W1124" s="73">
        <v>0</v>
      </c>
      <c r="X1124" s="73">
        <v>0</v>
      </c>
      <c r="Y1124" s="73">
        <v>0</v>
      </c>
      <c r="Z1124" s="73">
        <v>4945</v>
      </c>
      <c r="AA1124" s="73">
        <v>3473</v>
      </c>
      <c r="AB1124" s="73">
        <v>0</v>
      </c>
      <c r="AC1124" s="73">
        <v>0</v>
      </c>
      <c r="AD1124" s="73">
        <v>0</v>
      </c>
      <c r="AE1124" s="73">
        <v>0</v>
      </c>
      <c r="AF1124" s="74">
        <f>tblData[[#This Row],[Gross Sales]]+tblData[[#This Row],[Trade Discounts]]+tblData[[#This Row],[Returns]]</f>
        <v>2956</v>
      </c>
      <c r="AG1124" s="74">
        <f>tblData[[#This Row],[Material Cost]]+tblData[[#This Row],[Conversion Cost]]+tblData[[#This Row],[Inbound Freight]]</f>
        <v>-1091</v>
      </c>
      <c r="AH1124" s="74">
        <f>tblData[[#This Row],[Net Revenue]]+tblData[[#This Row],[COGS]]</f>
        <v>1865</v>
      </c>
      <c r="AI1124" s="74">
        <f>tblData[[#This Row],[Advertising]]+tblData[[#This Row],[Promotions]]</f>
        <v>-304</v>
      </c>
      <c r="AJ1124" s="74">
        <f>tblData[[#This Row],[Outbound Logistics]]+tblData[[#This Row],[Direct Selling]]</f>
        <v>-253</v>
      </c>
      <c r="AK1124" s="74">
        <f>tblData[[#This Row],[Gross Profit]]+tblData[[#This Row],[AP Spend]]+tblData[[#This Row],[Cost to Serve]]</f>
        <v>1308</v>
      </c>
    </row>
    <row r="1125" spans="2:37" x14ac:dyDescent="0.25">
      <c r="B1125" s="71" t="s">
        <v>51</v>
      </c>
      <c r="C1125" s="71">
        <v>2026</v>
      </c>
      <c r="D1125" s="71">
        <v>6</v>
      </c>
      <c r="E1125" s="71" t="s">
        <v>44</v>
      </c>
      <c r="F1125" s="71" t="s">
        <v>39</v>
      </c>
      <c r="G1125" s="72">
        <v>334.3</v>
      </c>
      <c r="H1125" s="73">
        <v>3021</v>
      </c>
      <c r="I1125" s="73">
        <v>-488</v>
      </c>
      <c r="J1125" s="73">
        <v>-36</v>
      </c>
      <c r="K1125" s="73">
        <v>-792</v>
      </c>
      <c r="L1125" s="73">
        <v>-196</v>
      </c>
      <c r="M1125" s="73">
        <v>-118</v>
      </c>
      <c r="N1125" s="73">
        <v>-110</v>
      </c>
      <c r="O1125" s="73">
        <v>-63</v>
      </c>
      <c r="P1125" s="73">
        <v>-123</v>
      </c>
      <c r="Q1125" s="73">
        <v>-91</v>
      </c>
      <c r="R1125" s="73">
        <v>0</v>
      </c>
      <c r="S1125" s="73">
        <v>0</v>
      </c>
      <c r="T1125" s="73">
        <v>0</v>
      </c>
      <c r="U1125" s="73">
        <v>0</v>
      </c>
      <c r="V1125" s="73">
        <v>0</v>
      </c>
      <c r="W1125" s="73">
        <v>0</v>
      </c>
      <c r="X1125" s="73">
        <v>0</v>
      </c>
      <c r="Y1125" s="73">
        <v>0</v>
      </c>
      <c r="Z1125" s="73">
        <v>4163</v>
      </c>
      <c r="AA1125" s="73">
        <v>2977</v>
      </c>
      <c r="AB1125" s="73">
        <v>0</v>
      </c>
      <c r="AC1125" s="73">
        <v>0</v>
      </c>
      <c r="AD1125" s="73">
        <v>0</v>
      </c>
      <c r="AE1125" s="73">
        <v>0</v>
      </c>
      <c r="AF1125" s="74">
        <f>tblData[[#This Row],[Gross Sales]]+tblData[[#This Row],[Trade Discounts]]+tblData[[#This Row],[Returns]]</f>
        <v>2497</v>
      </c>
      <c r="AG1125" s="74">
        <f>tblData[[#This Row],[Material Cost]]+tblData[[#This Row],[Conversion Cost]]+tblData[[#This Row],[Inbound Freight]]</f>
        <v>-1106</v>
      </c>
      <c r="AH1125" s="74">
        <f>tblData[[#This Row],[Net Revenue]]+tblData[[#This Row],[COGS]]</f>
        <v>1391</v>
      </c>
      <c r="AI1125" s="74">
        <f>tblData[[#This Row],[Advertising]]+tblData[[#This Row],[Promotions]]</f>
        <v>-173</v>
      </c>
      <c r="AJ1125" s="74">
        <f>tblData[[#This Row],[Outbound Logistics]]+tblData[[#This Row],[Direct Selling]]</f>
        <v>-214</v>
      </c>
      <c r="AK1125" s="74">
        <f>tblData[[#This Row],[Gross Profit]]+tblData[[#This Row],[AP Spend]]+tblData[[#This Row],[Cost to Serve]]</f>
        <v>1004</v>
      </c>
    </row>
    <row r="1126" spans="2:37" x14ac:dyDescent="0.25">
      <c r="B1126" s="71" t="s">
        <v>51</v>
      </c>
      <c r="C1126" s="71">
        <v>2026</v>
      </c>
      <c r="D1126" s="71">
        <v>6</v>
      </c>
      <c r="E1126" s="71" t="s">
        <v>44</v>
      </c>
      <c r="F1126" s="71" t="s">
        <v>40</v>
      </c>
      <c r="G1126" s="72">
        <v>318.60000000000002</v>
      </c>
      <c r="H1126" s="73">
        <v>2237</v>
      </c>
      <c r="I1126" s="73">
        <v>-361</v>
      </c>
      <c r="J1126" s="73">
        <v>-27</v>
      </c>
      <c r="K1126" s="73">
        <v>-651</v>
      </c>
      <c r="L1126" s="73">
        <v>-161</v>
      </c>
      <c r="M1126" s="73">
        <v>-97</v>
      </c>
      <c r="N1126" s="73">
        <v>-55</v>
      </c>
      <c r="O1126" s="73">
        <v>-32</v>
      </c>
      <c r="P1126" s="73">
        <v>-91</v>
      </c>
      <c r="Q1126" s="73">
        <v>-67</v>
      </c>
      <c r="R1126" s="73">
        <v>0</v>
      </c>
      <c r="S1126" s="73">
        <v>0</v>
      </c>
      <c r="T1126" s="73">
        <v>0</v>
      </c>
      <c r="U1126" s="73">
        <v>0</v>
      </c>
      <c r="V1126" s="73">
        <v>0</v>
      </c>
      <c r="W1126" s="73">
        <v>0</v>
      </c>
      <c r="X1126" s="73">
        <v>0</v>
      </c>
      <c r="Y1126" s="73">
        <v>0</v>
      </c>
      <c r="Z1126" s="73">
        <v>3072</v>
      </c>
      <c r="AA1126" s="73">
        <v>2296</v>
      </c>
      <c r="AB1126" s="73">
        <v>0</v>
      </c>
      <c r="AC1126" s="73">
        <v>0</v>
      </c>
      <c r="AD1126" s="73">
        <v>0</v>
      </c>
      <c r="AE1126" s="73">
        <v>0</v>
      </c>
      <c r="AF1126" s="74">
        <f>tblData[[#This Row],[Gross Sales]]+tblData[[#This Row],[Trade Discounts]]+tblData[[#This Row],[Returns]]</f>
        <v>1849</v>
      </c>
      <c r="AG1126" s="74">
        <f>tblData[[#This Row],[Material Cost]]+tblData[[#This Row],[Conversion Cost]]+tblData[[#This Row],[Inbound Freight]]</f>
        <v>-909</v>
      </c>
      <c r="AH1126" s="74">
        <f>tblData[[#This Row],[Net Revenue]]+tblData[[#This Row],[COGS]]</f>
        <v>940</v>
      </c>
      <c r="AI1126" s="74">
        <f>tblData[[#This Row],[Advertising]]+tblData[[#This Row],[Promotions]]</f>
        <v>-87</v>
      </c>
      <c r="AJ1126" s="74">
        <f>tblData[[#This Row],[Outbound Logistics]]+tblData[[#This Row],[Direct Selling]]</f>
        <v>-158</v>
      </c>
      <c r="AK1126" s="74">
        <f>tblData[[#This Row],[Gross Profit]]+tblData[[#This Row],[AP Spend]]+tblData[[#This Row],[Cost to Serve]]</f>
        <v>695</v>
      </c>
    </row>
    <row r="1127" spans="2:37" x14ac:dyDescent="0.25">
      <c r="B1127" s="71" t="s">
        <v>51</v>
      </c>
      <c r="C1127" s="71">
        <v>2026</v>
      </c>
      <c r="D1127" s="71">
        <v>6</v>
      </c>
      <c r="E1127" s="71" t="s">
        <v>44</v>
      </c>
      <c r="F1127" s="71" t="s">
        <v>41</v>
      </c>
      <c r="G1127" s="72">
        <v>161.6</v>
      </c>
      <c r="H1127" s="73">
        <v>1786</v>
      </c>
      <c r="I1127" s="73">
        <v>-288</v>
      </c>
      <c r="J1127" s="73">
        <v>-21</v>
      </c>
      <c r="K1127" s="73">
        <v>-429</v>
      </c>
      <c r="L1127" s="73">
        <v>-106</v>
      </c>
      <c r="M1127" s="73">
        <v>-64</v>
      </c>
      <c r="N1127" s="73">
        <v>-118</v>
      </c>
      <c r="O1127" s="73">
        <v>-68</v>
      </c>
      <c r="P1127" s="73">
        <v>-73</v>
      </c>
      <c r="Q1127" s="73">
        <v>-54</v>
      </c>
      <c r="R1127" s="73">
        <v>0</v>
      </c>
      <c r="S1127" s="73">
        <v>0</v>
      </c>
      <c r="T1127" s="73">
        <v>0</v>
      </c>
      <c r="U1127" s="73">
        <v>0</v>
      </c>
      <c r="V1127" s="73">
        <v>0</v>
      </c>
      <c r="W1127" s="73">
        <v>0</v>
      </c>
      <c r="X1127" s="73">
        <v>0</v>
      </c>
      <c r="Y1127" s="73">
        <v>0</v>
      </c>
      <c r="Z1127" s="73">
        <v>2457</v>
      </c>
      <c r="AA1127" s="73">
        <v>1803</v>
      </c>
      <c r="AB1127" s="73">
        <v>0</v>
      </c>
      <c r="AC1127" s="73">
        <v>0</v>
      </c>
      <c r="AD1127" s="73">
        <v>0</v>
      </c>
      <c r="AE1127" s="73">
        <v>0</v>
      </c>
      <c r="AF1127" s="74">
        <f>tblData[[#This Row],[Gross Sales]]+tblData[[#This Row],[Trade Discounts]]+tblData[[#This Row],[Returns]]</f>
        <v>1477</v>
      </c>
      <c r="AG1127" s="74">
        <f>tblData[[#This Row],[Material Cost]]+tblData[[#This Row],[Conversion Cost]]+tblData[[#This Row],[Inbound Freight]]</f>
        <v>-599</v>
      </c>
      <c r="AH1127" s="74">
        <f>tblData[[#This Row],[Net Revenue]]+tblData[[#This Row],[COGS]]</f>
        <v>878</v>
      </c>
      <c r="AI1127" s="74">
        <f>tblData[[#This Row],[Advertising]]+tblData[[#This Row],[Promotions]]</f>
        <v>-186</v>
      </c>
      <c r="AJ1127" s="74">
        <f>tblData[[#This Row],[Outbound Logistics]]+tblData[[#This Row],[Direct Selling]]</f>
        <v>-127</v>
      </c>
      <c r="AK1127" s="74">
        <f>tblData[[#This Row],[Gross Profit]]+tblData[[#This Row],[AP Spend]]+tblData[[#This Row],[Cost to Serve]]</f>
        <v>565</v>
      </c>
    </row>
    <row r="1128" spans="2:37" x14ac:dyDescent="0.25">
      <c r="B1128" s="71" t="s">
        <v>51</v>
      </c>
      <c r="C1128" s="71">
        <v>2026</v>
      </c>
      <c r="D1128" s="71">
        <v>6</v>
      </c>
      <c r="E1128" s="71" t="s">
        <v>44</v>
      </c>
      <c r="F1128" s="71" t="s">
        <v>42</v>
      </c>
      <c r="G1128" s="72">
        <v>196.7</v>
      </c>
      <c r="H1128" s="73">
        <v>1180</v>
      </c>
      <c r="I1128" s="73">
        <v>-191</v>
      </c>
      <c r="J1128" s="73">
        <v>-14</v>
      </c>
      <c r="K1128" s="73">
        <v>-378</v>
      </c>
      <c r="L1128" s="73">
        <v>-93</v>
      </c>
      <c r="M1128" s="73">
        <v>-56</v>
      </c>
      <c r="N1128" s="73">
        <v>-23</v>
      </c>
      <c r="O1128" s="73">
        <v>-13</v>
      </c>
      <c r="P1128" s="73">
        <v>-48</v>
      </c>
      <c r="Q1128" s="73">
        <v>-35</v>
      </c>
      <c r="R1128" s="73">
        <v>0</v>
      </c>
      <c r="S1128" s="73">
        <v>0</v>
      </c>
      <c r="T1128" s="73">
        <v>0</v>
      </c>
      <c r="U1128" s="73">
        <v>0</v>
      </c>
      <c r="V1128" s="73">
        <v>0</v>
      </c>
      <c r="W1128" s="73">
        <v>0</v>
      </c>
      <c r="X1128" s="73">
        <v>0</v>
      </c>
      <c r="Y1128" s="73">
        <v>0</v>
      </c>
      <c r="Z1128" s="73">
        <v>1630</v>
      </c>
      <c r="AA1128" s="73">
        <v>2086</v>
      </c>
      <c r="AB1128" s="73">
        <v>0</v>
      </c>
      <c r="AC1128" s="73">
        <v>0</v>
      </c>
      <c r="AD1128" s="73">
        <v>0</v>
      </c>
      <c r="AE1128" s="73">
        <v>0</v>
      </c>
      <c r="AF1128" s="74">
        <f>tblData[[#This Row],[Gross Sales]]+tblData[[#This Row],[Trade Discounts]]+tblData[[#This Row],[Returns]]</f>
        <v>975</v>
      </c>
      <c r="AG1128" s="74">
        <f>tblData[[#This Row],[Material Cost]]+tblData[[#This Row],[Conversion Cost]]+tblData[[#This Row],[Inbound Freight]]</f>
        <v>-527</v>
      </c>
      <c r="AH1128" s="74">
        <f>tblData[[#This Row],[Net Revenue]]+tblData[[#This Row],[COGS]]</f>
        <v>448</v>
      </c>
      <c r="AI1128" s="74">
        <f>tblData[[#This Row],[Advertising]]+tblData[[#This Row],[Promotions]]</f>
        <v>-36</v>
      </c>
      <c r="AJ1128" s="74">
        <f>tblData[[#This Row],[Outbound Logistics]]+tblData[[#This Row],[Direct Selling]]</f>
        <v>-83</v>
      </c>
      <c r="AK1128" s="74">
        <f>tblData[[#This Row],[Gross Profit]]+tblData[[#This Row],[AP Spend]]+tblData[[#This Row],[Cost to Serve]]</f>
        <v>329</v>
      </c>
    </row>
    <row r="1129" spans="2:37" x14ac:dyDescent="0.25">
      <c r="B1129" s="71" t="s">
        <v>51</v>
      </c>
      <c r="C1129" s="71">
        <v>2026</v>
      </c>
      <c r="D1129" s="71">
        <v>6</v>
      </c>
      <c r="E1129" s="71" t="s">
        <v>44</v>
      </c>
      <c r="F1129" s="71" t="s">
        <v>43</v>
      </c>
      <c r="G1129" s="72">
        <v>38.1</v>
      </c>
      <c r="H1129" s="73">
        <v>687</v>
      </c>
      <c r="I1129" s="73">
        <v>-111</v>
      </c>
      <c r="J1129" s="73">
        <v>-8</v>
      </c>
      <c r="K1129" s="73">
        <v>-190</v>
      </c>
      <c r="L1129" s="73">
        <v>-47</v>
      </c>
      <c r="M1129" s="73">
        <v>-28</v>
      </c>
      <c r="N1129" s="73">
        <v>-64</v>
      </c>
      <c r="O1129" s="73">
        <v>-37</v>
      </c>
      <c r="P1129" s="73">
        <v>-28</v>
      </c>
      <c r="Q1129" s="73">
        <v>-21</v>
      </c>
      <c r="R1129" s="73">
        <v>0</v>
      </c>
      <c r="S1129" s="73">
        <v>0</v>
      </c>
      <c r="T1129" s="73">
        <v>0</v>
      </c>
      <c r="U1129" s="73">
        <v>0</v>
      </c>
      <c r="V1129" s="73">
        <v>0</v>
      </c>
      <c r="W1129" s="73">
        <v>0</v>
      </c>
      <c r="X1129" s="73">
        <v>0</v>
      </c>
      <c r="Y1129" s="73">
        <v>0</v>
      </c>
      <c r="Z1129" s="73">
        <v>945</v>
      </c>
      <c r="AA1129" s="73">
        <v>1052</v>
      </c>
      <c r="AB1129" s="73">
        <v>0</v>
      </c>
      <c r="AC1129" s="73">
        <v>0</v>
      </c>
      <c r="AD1129" s="73">
        <v>0</v>
      </c>
      <c r="AE1129" s="73">
        <v>0</v>
      </c>
      <c r="AF1129" s="74">
        <f>tblData[[#This Row],[Gross Sales]]+tblData[[#This Row],[Trade Discounts]]+tblData[[#This Row],[Returns]]</f>
        <v>568</v>
      </c>
      <c r="AG1129" s="74">
        <f>tblData[[#This Row],[Material Cost]]+tblData[[#This Row],[Conversion Cost]]+tblData[[#This Row],[Inbound Freight]]</f>
        <v>-265</v>
      </c>
      <c r="AH1129" s="74">
        <f>tblData[[#This Row],[Net Revenue]]+tblData[[#This Row],[COGS]]</f>
        <v>303</v>
      </c>
      <c r="AI1129" s="74">
        <f>tblData[[#This Row],[Advertising]]+tblData[[#This Row],[Promotions]]</f>
        <v>-101</v>
      </c>
      <c r="AJ1129" s="74">
        <f>tblData[[#This Row],[Outbound Logistics]]+tblData[[#This Row],[Direct Selling]]</f>
        <v>-49</v>
      </c>
      <c r="AK1129" s="74">
        <f>tblData[[#This Row],[Gross Profit]]+tblData[[#This Row],[AP Spend]]+tblData[[#This Row],[Cost to Serve]]</f>
        <v>153</v>
      </c>
    </row>
    <row r="1130" spans="2:37" x14ac:dyDescent="0.25">
      <c r="B1130" s="71" t="s">
        <v>51</v>
      </c>
      <c r="C1130" s="71">
        <v>2026</v>
      </c>
      <c r="D1130" s="71">
        <v>6</v>
      </c>
      <c r="E1130" s="71" t="s">
        <v>45</v>
      </c>
      <c r="F1130" s="71" t="s">
        <v>38</v>
      </c>
      <c r="G1130" s="72">
        <v>144.9</v>
      </c>
      <c r="H1130" s="73">
        <v>2025</v>
      </c>
      <c r="I1130" s="73">
        <v>-463</v>
      </c>
      <c r="J1130" s="73">
        <v>-20</v>
      </c>
      <c r="K1130" s="73">
        <v>-442</v>
      </c>
      <c r="L1130" s="73">
        <v>-109</v>
      </c>
      <c r="M1130" s="73">
        <v>-66</v>
      </c>
      <c r="N1130" s="73">
        <v>-112</v>
      </c>
      <c r="O1130" s="73">
        <v>-65</v>
      </c>
      <c r="P1130" s="73">
        <v>-72</v>
      </c>
      <c r="Q1130" s="73">
        <v>-40</v>
      </c>
      <c r="R1130" s="73">
        <v>0</v>
      </c>
      <c r="S1130" s="73">
        <v>0</v>
      </c>
      <c r="T1130" s="73">
        <v>0</v>
      </c>
      <c r="U1130" s="73">
        <v>0</v>
      </c>
      <c r="V1130" s="73">
        <v>0</v>
      </c>
      <c r="W1130" s="73">
        <v>0</v>
      </c>
      <c r="X1130" s="73">
        <v>0</v>
      </c>
      <c r="Y1130" s="73">
        <v>0</v>
      </c>
      <c r="Z1130" s="73">
        <v>2326</v>
      </c>
      <c r="AA1130" s="73">
        <v>1962</v>
      </c>
      <c r="AB1130" s="73">
        <v>0</v>
      </c>
      <c r="AC1130" s="73">
        <v>0</v>
      </c>
      <c r="AD1130" s="73">
        <v>0</v>
      </c>
      <c r="AE1130" s="73">
        <v>0</v>
      </c>
      <c r="AF1130" s="74">
        <f>tblData[[#This Row],[Gross Sales]]+tblData[[#This Row],[Trade Discounts]]+tblData[[#This Row],[Returns]]</f>
        <v>1542</v>
      </c>
      <c r="AG1130" s="74">
        <f>tblData[[#This Row],[Material Cost]]+tblData[[#This Row],[Conversion Cost]]+tblData[[#This Row],[Inbound Freight]]</f>
        <v>-617</v>
      </c>
      <c r="AH1130" s="74">
        <f>tblData[[#This Row],[Net Revenue]]+tblData[[#This Row],[COGS]]</f>
        <v>925</v>
      </c>
      <c r="AI1130" s="74">
        <f>tblData[[#This Row],[Advertising]]+tblData[[#This Row],[Promotions]]</f>
        <v>-177</v>
      </c>
      <c r="AJ1130" s="74">
        <f>tblData[[#This Row],[Outbound Logistics]]+tblData[[#This Row],[Direct Selling]]</f>
        <v>-112</v>
      </c>
      <c r="AK1130" s="74">
        <f>tblData[[#This Row],[Gross Profit]]+tblData[[#This Row],[AP Spend]]+tblData[[#This Row],[Cost to Serve]]</f>
        <v>636</v>
      </c>
    </row>
    <row r="1131" spans="2:37" x14ac:dyDescent="0.25">
      <c r="B1131" s="71" t="s">
        <v>51</v>
      </c>
      <c r="C1131" s="71">
        <v>2026</v>
      </c>
      <c r="D1131" s="71">
        <v>6</v>
      </c>
      <c r="E1131" s="71" t="s">
        <v>45</v>
      </c>
      <c r="F1131" s="71" t="s">
        <v>39</v>
      </c>
      <c r="G1131" s="72">
        <v>189.9</v>
      </c>
      <c r="H1131" s="73">
        <v>1702</v>
      </c>
      <c r="I1131" s="73">
        <v>-389</v>
      </c>
      <c r="J1131" s="73">
        <v>-17</v>
      </c>
      <c r="K1131" s="73">
        <v>-446</v>
      </c>
      <c r="L1131" s="73">
        <v>-110</v>
      </c>
      <c r="M1131" s="73">
        <v>-67</v>
      </c>
      <c r="N1131" s="73">
        <v>-64</v>
      </c>
      <c r="O1131" s="73">
        <v>-37</v>
      </c>
      <c r="P1131" s="73">
        <v>-61</v>
      </c>
      <c r="Q1131" s="73">
        <v>-34</v>
      </c>
      <c r="R1131" s="73">
        <v>0</v>
      </c>
      <c r="S1131" s="73">
        <v>0</v>
      </c>
      <c r="T1131" s="73">
        <v>0</v>
      </c>
      <c r="U1131" s="73">
        <v>0</v>
      </c>
      <c r="V1131" s="73">
        <v>0</v>
      </c>
      <c r="W1131" s="73">
        <v>0</v>
      </c>
      <c r="X1131" s="73">
        <v>0</v>
      </c>
      <c r="Y1131" s="73">
        <v>0</v>
      </c>
      <c r="Z1131" s="73">
        <v>1953</v>
      </c>
      <c r="AA1131" s="73">
        <v>1677</v>
      </c>
      <c r="AB1131" s="73">
        <v>0</v>
      </c>
      <c r="AC1131" s="73">
        <v>0</v>
      </c>
      <c r="AD1131" s="73">
        <v>0</v>
      </c>
      <c r="AE1131" s="73">
        <v>0</v>
      </c>
      <c r="AF1131" s="74">
        <f>tblData[[#This Row],[Gross Sales]]+tblData[[#This Row],[Trade Discounts]]+tblData[[#This Row],[Returns]]</f>
        <v>1296</v>
      </c>
      <c r="AG1131" s="74">
        <f>tblData[[#This Row],[Material Cost]]+tblData[[#This Row],[Conversion Cost]]+tblData[[#This Row],[Inbound Freight]]</f>
        <v>-623</v>
      </c>
      <c r="AH1131" s="74">
        <f>tblData[[#This Row],[Net Revenue]]+tblData[[#This Row],[COGS]]</f>
        <v>673</v>
      </c>
      <c r="AI1131" s="74">
        <f>tblData[[#This Row],[Advertising]]+tblData[[#This Row],[Promotions]]</f>
        <v>-101</v>
      </c>
      <c r="AJ1131" s="74">
        <f>tblData[[#This Row],[Outbound Logistics]]+tblData[[#This Row],[Direct Selling]]</f>
        <v>-95</v>
      </c>
      <c r="AK1131" s="74">
        <f>tblData[[#This Row],[Gross Profit]]+tblData[[#This Row],[AP Spend]]+tblData[[#This Row],[Cost to Serve]]</f>
        <v>477</v>
      </c>
    </row>
    <row r="1132" spans="2:37" x14ac:dyDescent="0.25">
      <c r="B1132" s="71" t="s">
        <v>51</v>
      </c>
      <c r="C1132" s="71">
        <v>2026</v>
      </c>
      <c r="D1132" s="71">
        <v>6</v>
      </c>
      <c r="E1132" s="71" t="s">
        <v>45</v>
      </c>
      <c r="F1132" s="71" t="s">
        <v>40</v>
      </c>
      <c r="G1132" s="72">
        <v>180.2</v>
      </c>
      <c r="H1132" s="73">
        <v>1254</v>
      </c>
      <c r="I1132" s="73">
        <v>-287</v>
      </c>
      <c r="J1132" s="73">
        <v>-13</v>
      </c>
      <c r="K1132" s="73">
        <v>-365</v>
      </c>
      <c r="L1132" s="73">
        <v>-90</v>
      </c>
      <c r="M1132" s="73">
        <v>-54</v>
      </c>
      <c r="N1132" s="73">
        <v>-32</v>
      </c>
      <c r="O1132" s="73">
        <v>-18</v>
      </c>
      <c r="P1132" s="73">
        <v>-45</v>
      </c>
      <c r="Q1132" s="73">
        <v>-25</v>
      </c>
      <c r="R1132" s="73">
        <v>0</v>
      </c>
      <c r="S1132" s="73">
        <v>0</v>
      </c>
      <c r="T1132" s="73">
        <v>0</v>
      </c>
      <c r="U1132" s="73">
        <v>0</v>
      </c>
      <c r="V1132" s="73">
        <v>0</v>
      </c>
      <c r="W1132" s="73">
        <v>0</v>
      </c>
      <c r="X1132" s="73">
        <v>0</v>
      </c>
      <c r="Y1132" s="73">
        <v>0</v>
      </c>
      <c r="Z1132" s="73">
        <v>1441</v>
      </c>
      <c r="AA1132" s="73">
        <v>1293</v>
      </c>
      <c r="AB1132" s="73">
        <v>0</v>
      </c>
      <c r="AC1132" s="73">
        <v>0</v>
      </c>
      <c r="AD1132" s="73">
        <v>0</v>
      </c>
      <c r="AE1132" s="73">
        <v>0</v>
      </c>
      <c r="AF1132" s="74">
        <f>tblData[[#This Row],[Gross Sales]]+tblData[[#This Row],[Trade Discounts]]+tblData[[#This Row],[Returns]]</f>
        <v>954</v>
      </c>
      <c r="AG1132" s="74">
        <f>tblData[[#This Row],[Material Cost]]+tblData[[#This Row],[Conversion Cost]]+tblData[[#This Row],[Inbound Freight]]</f>
        <v>-509</v>
      </c>
      <c r="AH1132" s="74">
        <f>tblData[[#This Row],[Net Revenue]]+tblData[[#This Row],[COGS]]</f>
        <v>445</v>
      </c>
      <c r="AI1132" s="74">
        <f>tblData[[#This Row],[Advertising]]+tblData[[#This Row],[Promotions]]</f>
        <v>-50</v>
      </c>
      <c r="AJ1132" s="74">
        <f>tblData[[#This Row],[Outbound Logistics]]+tblData[[#This Row],[Direct Selling]]</f>
        <v>-70</v>
      </c>
      <c r="AK1132" s="74">
        <f>tblData[[#This Row],[Gross Profit]]+tblData[[#This Row],[AP Spend]]+tblData[[#This Row],[Cost to Serve]]</f>
        <v>325</v>
      </c>
    </row>
    <row r="1133" spans="2:37" x14ac:dyDescent="0.25">
      <c r="B1133" s="71" t="s">
        <v>51</v>
      </c>
      <c r="C1133" s="71">
        <v>2026</v>
      </c>
      <c r="D1133" s="71">
        <v>6</v>
      </c>
      <c r="E1133" s="71" t="s">
        <v>45</v>
      </c>
      <c r="F1133" s="71" t="s">
        <v>41</v>
      </c>
      <c r="G1133" s="72">
        <v>91.4</v>
      </c>
      <c r="H1133" s="73">
        <v>1002</v>
      </c>
      <c r="I1133" s="73">
        <v>-229</v>
      </c>
      <c r="J1133" s="73">
        <v>-10</v>
      </c>
      <c r="K1133" s="73">
        <v>-241</v>
      </c>
      <c r="L1133" s="73">
        <v>-60</v>
      </c>
      <c r="M1133" s="73">
        <v>-36</v>
      </c>
      <c r="N1133" s="73">
        <v>-69</v>
      </c>
      <c r="O1133" s="73">
        <v>-40</v>
      </c>
      <c r="P1133" s="73">
        <v>-36</v>
      </c>
      <c r="Q1133" s="73">
        <v>-20</v>
      </c>
      <c r="R1133" s="73">
        <v>0</v>
      </c>
      <c r="S1133" s="73">
        <v>0</v>
      </c>
      <c r="T1133" s="73">
        <v>0</v>
      </c>
      <c r="U1133" s="73">
        <v>0</v>
      </c>
      <c r="V1133" s="73">
        <v>0</v>
      </c>
      <c r="W1133" s="73">
        <v>0</v>
      </c>
      <c r="X1133" s="73">
        <v>0</v>
      </c>
      <c r="Y1133" s="73">
        <v>0</v>
      </c>
      <c r="Z1133" s="73">
        <v>1148</v>
      </c>
      <c r="AA1133" s="73">
        <v>1012</v>
      </c>
      <c r="AB1133" s="73">
        <v>0</v>
      </c>
      <c r="AC1133" s="73">
        <v>0</v>
      </c>
      <c r="AD1133" s="73">
        <v>0</v>
      </c>
      <c r="AE1133" s="73">
        <v>0</v>
      </c>
      <c r="AF1133" s="74">
        <f>tblData[[#This Row],[Gross Sales]]+tblData[[#This Row],[Trade Discounts]]+tblData[[#This Row],[Returns]]</f>
        <v>763</v>
      </c>
      <c r="AG1133" s="74">
        <f>tblData[[#This Row],[Material Cost]]+tblData[[#This Row],[Conversion Cost]]+tblData[[#This Row],[Inbound Freight]]</f>
        <v>-337</v>
      </c>
      <c r="AH1133" s="74">
        <f>tblData[[#This Row],[Net Revenue]]+tblData[[#This Row],[COGS]]</f>
        <v>426</v>
      </c>
      <c r="AI1133" s="74">
        <f>tblData[[#This Row],[Advertising]]+tblData[[#This Row],[Promotions]]</f>
        <v>-109</v>
      </c>
      <c r="AJ1133" s="74">
        <f>tblData[[#This Row],[Outbound Logistics]]+tblData[[#This Row],[Direct Selling]]</f>
        <v>-56</v>
      </c>
      <c r="AK1133" s="74">
        <f>tblData[[#This Row],[Gross Profit]]+tblData[[#This Row],[AP Spend]]+tblData[[#This Row],[Cost to Serve]]</f>
        <v>261</v>
      </c>
    </row>
    <row r="1134" spans="2:37" x14ac:dyDescent="0.25">
      <c r="B1134" s="71" t="s">
        <v>51</v>
      </c>
      <c r="C1134" s="71">
        <v>2026</v>
      </c>
      <c r="D1134" s="71">
        <v>6</v>
      </c>
      <c r="E1134" s="71" t="s">
        <v>45</v>
      </c>
      <c r="F1134" s="71" t="s">
        <v>42</v>
      </c>
      <c r="G1134" s="72">
        <v>112.3</v>
      </c>
      <c r="H1134" s="73">
        <v>668</v>
      </c>
      <c r="I1134" s="73">
        <v>-153</v>
      </c>
      <c r="J1134" s="73">
        <v>-7</v>
      </c>
      <c r="K1134" s="73">
        <v>-214</v>
      </c>
      <c r="L1134" s="73">
        <v>-53</v>
      </c>
      <c r="M1134" s="73">
        <v>-32</v>
      </c>
      <c r="N1134" s="73">
        <v>-13</v>
      </c>
      <c r="O1134" s="73">
        <v>-8</v>
      </c>
      <c r="P1134" s="73">
        <v>-24</v>
      </c>
      <c r="Q1134" s="73">
        <v>-13</v>
      </c>
      <c r="R1134" s="73">
        <v>0</v>
      </c>
      <c r="S1134" s="73">
        <v>0</v>
      </c>
      <c r="T1134" s="73">
        <v>0</v>
      </c>
      <c r="U1134" s="73">
        <v>0</v>
      </c>
      <c r="V1134" s="73">
        <v>0</v>
      </c>
      <c r="W1134" s="73">
        <v>0</v>
      </c>
      <c r="X1134" s="73">
        <v>0</v>
      </c>
      <c r="Y1134" s="73">
        <v>0</v>
      </c>
      <c r="Z1134" s="73">
        <v>767</v>
      </c>
      <c r="AA1134" s="73">
        <v>1179</v>
      </c>
      <c r="AB1134" s="73">
        <v>0</v>
      </c>
      <c r="AC1134" s="73">
        <v>0</v>
      </c>
      <c r="AD1134" s="73">
        <v>0</v>
      </c>
      <c r="AE1134" s="73">
        <v>0</v>
      </c>
      <c r="AF1134" s="74">
        <f>tblData[[#This Row],[Gross Sales]]+tblData[[#This Row],[Trade Discounts]]+tblData[[#This Row],[Returns]]</f>
        <v>508</v>
      </c>
      <c r="AG1134" s="74">
        <f>tblData[[#This Row],[Material Cost]]+tblData[[#This Row],[Conversion Cost]]+tblData[[#This Row],[Inbound Freight]]</f>
        <v>-299</v>
      </c>
      <c r="AH1134" s="74">
        <f>tblData[[#This Row],[Net Revenue]]+tblData[[#This Row],[COGS]]</f>
        <v>209</v>
      </c>
      <c r="AI1134" s="74">
        <f>tblData[[#This Row],[Advertising]]+tblData[[#This Row],[Promotions]]</f>
        <v>-21</v>
      </c>
      <c r="AJ1134" s="74">
        <f>tblData[[#This Row],[Outbound Logistics]]+tblData[[#This Row],[Direct Selling]]</f>
        <v>-37</v>
      </c>
      <c r="AK1134" s="74">
        <f>tblData[[#This Row],[Gross Profit]]+tblData[[#This Row],[AP Spend]]+tblData[[#This Row],[Cost to Serve]]</f>
        <v>151</v>
      </c>
    </row>
    <row r="1135" spans="2:37" x14ac:dyDescent="0.25">
      <c r="B1135" s="71" t="s">
        <v>51</v>
      </c>
      <c r="C1135" s="71">
        <v>2026</v>
      </c>
      <c r="D1135" s="71">
        <v>6</v>
      </c>
      <c r="E1135" s="71" t="s">
        <v>45</v>
      </c>
      <c r="F1135" s="71" t="s">
        <v>43</v>
      </c>
      <c r="G1135" s="72">
        <v>21.6</v>
      </c>
      <c r="H1135" s="73">
        <v>387</v>
      </c>
      <c r="I1135" s="73">
        <v>-88</v>
      </c>
      <c r="J1135" s="73">
        <v>-4</v>
      </c>
      <c r="K1135" s="73">
        <v>-107</v>
      </c>
      <c r="L1135" s="73">
        <v>-26</v>
      </c>
      <c r="M1135" s="73">
        <v>-16</v>
      </c>
      <c r="N1135" s="73">
        <v>-37</v>
      </c>
      <c r="O1135" s="73">
        <v>-22</v>
      </c>
      <c r="P1135" s="73">
        <v>-14</v>
      </c>
      <c r="Q1135" s="73">
        <v>-8</v>
      </c>
      <c r="R1135" s="73">
        <v>0</v>
      </c>
      <c r="S1135" s="73">
        <v>0</v>
      </c>
      <c r="T1135" s="73">
        <v>0</v>
      </c>
      <c r="U1135" s="73">
        <v>0</v>
      </c>
      <c r="V1135" s="73">
        <v>0</v>
      </c>
      <c r="W1135" s="73">
        <v>0</v>
      </c>
      <c r="X1135" s="73">
        <v>0</v>
      </c>
      <c r="Y1135" s="73">
        <v>0</v>
      </c>
      <c r="Z1135" s="73">
        <v>444</v>
      </c>
      <c r="AA1135" s="73">
        <v>594</v>
      </c>
      <c r="AB1135" s="73">
        <v>0</v>
      </c>
      <c r="AC1135" s="73">
        <v>0</v>
      </c>
      <c r="AD1135" s="73">
        <v>0</v>
      </c>
      <c r="AE1135" s="73">
        <v>0</v>
      </c>
      <c r="AF1135" s="74">
        <f>tblData[[#This Row],[Gross Sales]]+tblData[[#This Row],[Trade Discounts]]+tblData[[#This Row],[Returns]]</f>
        <v>295</v>
      </c>
      <c r="AG1135" s="74">
        <f>tblData[[#This Row],[Material Cost]]+tblData[[#This Row],[Conversion Cost]]+tblData[[#This Row],[Inbound Freight]]</f>
        <v>-149</v>
      </c>
      <c r="AH1135" s="74">
        <f>tblData[[#This Row],[Net Revenue]]+tblData[[#This Row],[COGS]]</f>
        <v>146</v>
      </c>
      <c r="AI1135" s="74">
        <f>tblData[[#This Row],[Advertising]]+tblData[[#This Row],[Promotions]]</f>
        <v>-59</v>
      </c>
      <c r="AJ1135" s="74">
        <f>tblData[[#This Row],[Outbound Logistics]]+tblData[[#This Row],[Direct Selling]]</f>
        <v>-22</v>
      </c>
      <c r="AK1135" s="74">
        <f>tblData[[#This Row],[Gross Profit]]+tblData[[#This Row],[AP Spend]]+tblData[[#This Row],[Cost to Serve]]</f>
        <v>65</v>
      </c>
    </row>
    <row r="1136" spans="2:37" x14ac:dyDescent="0.25">
      <c r="B1136" s="71" t="s">
        <v>51</v>
      </c>
      <c r="C1136" s="71">
        <v>2026</v>
      </c>
      <c r="D1136" s="71">
        <v>6</v>
      </c>
      <c r="E1136" s="71" t="s">
        <v>46</v>
      </c>
      <c r="F1136" s="71" t="s">
        <v>38</v>
      </c>
      <c r="G1136" s="72">
        <v>179.4</v>
      </c>
      <c r="H1136" s="73">
        <v>2526</v>
      </c>
      <c r="I1136" s="73">
        <v>-274</v>
      </c>
      <c r="J1136" s="73">
        <v>-101</v>
      </c>
      <c r="K1136" s="73">
        <v>-551</v>
      </c>
      <c r="L1136" s="73">
        <v>-136</v>
      </c>
      <c r="M1136" s="73">
        <v>-82</v>
      </c>
      <c r="N1136" s="73">
        <v>-129</v>
      </c>
      <c r="O1136" s="73">
        <v>-74</v>
      </c>
      <c r="P1136" s="73">
        <v>-194</v>
      </c>
      <c r="Q1136" s="73">
        <v>-51</v>
      </c>
      <c r="R1136" s="73">
        <v>0</v>
      </c>
      <c r="S1136" s="73">
        <v>0</v>
      </c>
      <c r="T1136" s="73">
        <v>0</v>
      </c>
      <c r="U1136" s="73">
        <v>0</v>
      </c>
      <c r="V1136" s="73">
        <v>0</v>
      </c>
      <c r="W1136" s="73">
        <v>0</v>
      </c>
      <c r="X1136" s="73">
        <v>0</v>
      </c>
      <c r="Y1136" s="73">
        <v>0</v>
      </c>
      <c r="Z1136" s="73">
        <v>1863</v>
      </c>
      <c r="AA1136" s="73">
        <v>2446</v>
      </c>
      <c r="AB1136" s="73">
        <v>0</v>
      </c>
      <c r="AC1136" s="73">
        <v>0</v>
      </c>
      <c r="AD1136" s="73">
        <v>0</v>
      </c>
      <c r="AE1136" s="73">
        <v>0</v>
      </c>
      <c r="AF1136" s="74">
        <f>tblData[[#This Row],[Gross Sales]]+tblData[[#This Row],[Trade Discounts]]+tblData[[#This Row],[Returns]]</f>
        <v>2151</v>
      </c>
      <c r="AG1136" s="74">
        <f>tblData[[#This Row],[Material Cost]]+tblData[[#This Row],[Conversion Cost]]+tblData[[#This Row],[Inbound Freight]]</f>
        <v>-769</v>
      </c>
      <c r="AH1136" s="74">
        <f>tblData[[#This Row],[Net Revenue]]+tblData[[#This Row],[COGS]]</f>
        <v>1382</v>
      </c>
      <c r="AI1136" s="74">
        <f>tblData[[#This Row],[Advertising]]+tblData[[#This Row],[Promotions]]</f>
        <v>-203</v>
      </c>
      <c r="AJ1136" s="74">
        <f>tblData[[#This Row],[Outbound Logistics]]+tblData[[#This Row],[Direct Selling]]</f>
        <v>-245</v>
      </c>
      <c r="AK1136" s="74">
        <f>tblData[[#This Row],[Gross Profit]]+tblData[[#This Row],[AP Spend]]+tblData[[#This Row],[Cost to Serve]]</f>
        <v>934</v>
      </c>
    </row>
    <row r="1137" spans="2:37" x14ac:dyDescent="0.25">
      <c r="B1137" s="71" t="s">
        <v>51</v>
      </c>
      <c r="C1137" s="71">
        <v>2026</v>
      </c>
      <c r="D1137" s="71">
        <v>6</v>
      </c>
      <c r="E1137" s="71" t="s">
        <v>46</v>
      </c>
      <c r="F1137" s="71" t="s">
        <v>39</v>
      </c>
      <c r="G1137" s="72">
        <v>235.6</v>
      </c>
      <c r="H1137" s="73">
        <v>2127</v>
      </c>
      <c r="I1137" s="73">
        <v>-231</v>
      </c>
      <c r="J1137" s="73">
        <v>-85</v>
      </c>
      <c r="K1137" s="73">
        <v>-557</v>
      </c>
      <c r="L1137" s="73">
        <v>-138</v>
      </c>
      <c r="M1137" s="73">
        <v>-83</v>
      </c>
      <c r="N1137" s="73">
        <v>-73</v>
      </c>
      <c r="O1137" s="73">
        <v>-42</v>
      </c>
      <c r="P1137" s="73">
        <v>-163</v>
      </c>
      <c r="Q1137" s="73">
        <v>-43</v>
      </c>
      <c r="R1137" s="73">
        <v>0</v>
      </c>
      <c r="S1137" s="73">
        <v>0</v>
      </c>
      <c r="T1137" s="73">
        <v>0</v>
      </c>
      <c r="U1137" s="73">
        <v>0</v>
      </c>
      <c r="V1137" s="73">
        <v>0</v>
      </c>
      <c r="W1137" s="73">
        <v>0</v>
      </c>
      <c r="X1137" s="73">
        <v>0</v>
      </c>
      <c r="Y1137" s="73">
        <v>0</v>
      </c>
      <c r="Z1137" s="73">
        <v>1568</v>
      </c>
      <c r="AA1137" s="73">
        <v>2097</v>
      </c>
      <c r="AB1137" s="73">
        <v>0</v>
      </c>
      <c r="AC1137" s="73">
        <v>0</v>
      </c>
      <c r="AD1137" s="73">
        <v>0</v>
      </c>
      <c r="AE1137" s="73">
        <v>0</v>
      </c>
      <c r="AF1137" s="74">
        <f>tblData[[#This Row],[Gross Sales]]+tblData[[#This Row],[Trade Discounts]]+tblData[[#This Row],[Returns]]</f>
        <v>1811</v>
      </c>
      <c r="AG1137" s="74">
        <f>tblData[[#This Row],[Material Cost]]+tblData[[#This Row],[Conversion Cost]]+tblData[[#This Row],[Inbound Freight]]</f>
        <v>-778</v>
      </c>
      <c r="AH1137" s="74">
        <f>tblData[[#This Row],[Net Revenue]]+tblData[[#This Row],[COGS]]</f>
        <v>1033</v>
      </c>
      <c r="AI1137" s="74">
        <f>tblData[[#This Row],[Advertising]]+tblData[[#This Row],[Promotions]]</f>
        <v>-115</v>
      </c>
      <c r="AJ1137" s="74">
        <f>tblData[[#This Row],[Outbound Logistics]]+tblData[[#This Row],[Direct Selling]]</f>
        <v>-206</v>
      </c>
      <c r="AK1137" s="74">
        <f>tblData[[#This Row],[Gross Profit]]+tblData[[#This Row],[AP Spend]]+tblData[[#This Row],[Cost to Serve]]</f>
        <v>712</v>
      </c>
    </row>
    <row r="1138" spans="2:37" x14ac:dyDescent="0.25">
      <c r="B1138" s="71" t="s">
        <v>51</v>
      </c>
      <c r="C1138" s="71">
        <v>2026</v>
      </c>
      <c r="D1138" s="71">
        <v>6</v>
      </c>
      <c r="E1138" s="71" t="s">
        <v>46</v>
      </c>
      <c r="F1138" s="71" t="s">
        <v>40</v>
      </c>
      <c r="G1138" s="72">
        <v>222.5</v>
      </c>
      <c r="H1138" s="73">
        <v>1560</v>
      </c>
      <c r="I1138" s="73">
        <v>-169</v>
      </c>
      <c r="J1138" s="73">
        <v>-62</v>
      </c>
      <c r="K1138" s="73">
        <v>-454</v>
      </c>
      <c r="L1138" s="73">
        <v>-112</v>
      </c>
      <c r="M1138" s="73">
        <v>-68</v>
      </c>
      <c r="N1138" s="73">
        <v>-37</v>
      </c>
      <c r="O1138" s="73">
        <v>-21</v>
      </c>
      <c r="P1138" s="73">
        <v>-120</v>
      </c>
      <c r="Q1138" s="73">
        <v>-31</v>
      </c>
      <c r="R1138" s="73">
        <v>0</v>
      </c>
      <c r="S1138" s="73">
        <v>0</v>
      </c>
      <c r="T1138" s="73">
        <v>0</v>
      </c>
      <c r="U1138" s="73">
        <v>0</v>
      </c>
      <c r="V1138" s="73">
        <v>0</v>
      </c>
      <c r="W1138" s="73">
        <v>0</v>
      </c>
      <c r="X1138" s="73">
        <v>0</v>
      </c>
      <c r="Y1138" s="73">
        <v>0</v>
      </c>
      <c r="Z1138" s="73">
        <v>1159</v>
      </c>
      <c r="AA1138" s="73">
        <v>1619</v>
      </c>
      <c r="AB1138" s="73">
        <v>0</v>
      </c>
      <c r="AC1138" s="73">
        <v>0</v>
      </c>
      <c r="AD1138" s="73">
        <v>0</v>
      </c>
      <c r="AE1138" s="73">
        <v>0</v>
      </c>
      <c r="AF1138" s="74">
        <f>tblData[[#This Row],[Gross Sales]]+tblData[[#This Row],[Trade Discounts]]+tblData[[#This Row],[Returns]]</f>
        <v>1329</v>
      </c>
      <c r="AG1138" s="74">
        <f>tblData[[#This Row],[Material Cost]]+tblData[[#This Row],[Conversion Cost]]+tblData[[#This Row],[Inbound Freight]]</f>
        <v>-634</v>
      </c>
      <c r="AH1138" s="74">
        <f>tblData[[#This Row],[Net Revenue]]+tblData[[#This Row],[COGS]]</f>
        <v>695</v>
      </c>
      <c r="AI1138" s="74">
        <f>tblData[[#This Row],[Advertising]]+tblData[[#This Row],[Promotions]]</f>
        <v>-58</v>
      </c>
      <c r="AJ1138" s="74">
        <f>tblData[[#This Row],[Outbound Logistics]]+tblData[[#This Row],[Direct Selling]]</f>
        <v>-151</v>
      </c>
      <c r="AK1138" s="74">
        <f>tblData[[#This Row],[Gross Profit]]+tblData[[#This Row],[AP Spend]]+tblData[[#This Row],[Cost to Serve]]</f>
        <v>486</v>
      </c>
    </row>
    <row r="1139" spans="2:37" x14ac:dyDescent="0.25">
      <c r="B1139" s="71" t="s">
        <v>51</v>
      </c>
      <c r="C1139" s="71">
        <v>2026</v>
      </c>
      <c r="D1139" s="71">
        <v>6</v>
      </c>
      <c r="E1139" s="71" t="s">
        <v>46</v>
      </c>
      <c r="F1139" s="71" t="s">
        <v>41</v>
      </c>
      <c r="G1139" s="72">
        <v>112.8</v>
      </c>
      <c r="H1139" s="73">
        <v>1245</v>
      </c>
      <c r="I1139" s="73">
        <v>-135</v>
      </c>
      <c r="J1139" s="73">
        <v>-50</v>
      </c>
      <c r="K1139" s="73">
        <v>-299</v>
      </c>
      <c r="L1139" s="73">
        <v>-74</v>
      </c>
      <c r="M1139" s="73">
        <v>-45</v>
      </c>
      <c r="N1139" s="73">
        <v>-79</v>
      </c>
      <c r="O1139" s="73">
        <v>-45</v>
      </c>
      <c r="P1139" s="73">
        <v>-95</v>
      </c>
      <c r="Q1139" s="73">
        <v>-25</v>
      </c>
      <c r="R1139" s="73">
        <v>0</v>
      </c>
      <c r="S1139" s="73">
        <v>0</v>
      </c>
      <c r="T1139" s="73">
        <v>0</v>
      </c>
      <c r="U1139" s="73">
        <v>0</v>
      </c>
      <c r="V1139" s="73">
        <v>0</v>
      </c>
      <c r="W1139" s="73">
        <v>0</v>
      </c>
      <c r="X1139" s="73">
        <v>0</v>
      </c>
      <c r="Y1139" s="73">
        <v>0</v>
      </c>
      <c r="Z1139" s="73">
        <v>922</v>
      </c>
      <c r="AA1139" s="73">
        <v>1264</v>
      </c>
      <c r="AB1139" s="73">
        <v>0</v>
      </c>
      <c r="AC1139" s="73">
        <v>0</v>
      </c>
      <c r="AD1139" s="73">
        <v>0</v>
      </c>
      <c r="AE1139" s="73">
        <v>0</v>
      </c>
      <c r="AF1139" s="74">
        <f>tblData[[#This Row],[Gross Sales]]+tblData[[#This Row],[Trade Discounts]]+tblData[[#This Row],[Returns]]</f>
        <v>1060</v>
      </c>
      <c r="AG1139" s="74">
        <f>tblData[[#This Row],[Material Cost]]+tblData[[#This Row],[Conversion Cost]]+tblData[[#This Row],[Inbound Freight]]</f>
        <v>-418</v>
      </c>
      <c r="AH1139" s="74">
        <f>tblData[[#This Row],[Net Revenue]]+tblData[[#This Row],[COGS]]</f>
        <v>642</v>
      </c>
      <c r="AI1139" s="74">
        <f>tblData[[#This Row],[Advertising]]+tblData[[#This Row],[Promotions]]</f>
        <v>-124</v>
      </c>
      <c r="AJ1139" s="74">
        <f>tblData[[#This Row],[Outbound Logistics]]+tblData[[#This Row],[Direct Selling]]</f>
        <v>-120</v>
      </c>
      <c r="AK1139" s="74">
        <f>tblData[[#This Row],[Gross Profit]]+tblData[[#This Row],[AP Spend]]+tblData[[#This Row],[Cost to Serve]]</f>
        <v>398</v>
      </c>
    </row>
    <row r="1140" spans="2:37" x14ac:dyDescent="0.25">
      <c r="B1140" s="71" t="s">
        <v>51</v>
      </c>
      <c r="C1140" s="71">
        <v>2026</v>
      </c>
      <c r="D1140" s="71">
        <v>6</v>
      </c>
      <c r="E1140" s="71" t="s">
        <v>46</v>
      </c>
      <c r="F1140" s="71" t="s">
        <v>42</v>
      </c>
      <c r="G1140" s="72">
        <v>139</v>
      </c>
      <c r="H1140" s="73">
        <v>833</v>
      </c>
      <c r="I1140" s="73">
        <v>-90</v>
      </c>
      <c r="J1140" s="73">
        <v>-33</v>
      </c>
      <c r="K1140" s="73">
        <v>-267</v>
      </c>
      <c r="L1140" s="73">
        <v>-66</v>
      </c>
      <c r="M1140" s="73">
        <v>-40</v>
      </c>
      <c r="N1140" s="73">
        <v>-15</v>
      </c>
      <c r="O1140" s="73">
        <v>-9</v>
      </c>
      <c r="P1140" s="73">
        <v>-64</v>
      </c>
      <c r="Q1140" s="73">
        <v>-17</v>
      </c>
      <c r="R1140" s="73">
        <v>0</v>
      </c>
      <c r="S1140" s="73">
        <v>0</v>
      </c>
      <c r="T1140" s="73">
        <v>0</v>
      </c>
      <c r="U1140" s="73">
        <v>0</v>
      </c>
      <c r="V1140" s="73">
        <v>0</v>
      </c>
      <c r="W1140" s="73">
        <v>0</v>
      </c>
      <c r="X1140" s="73">
        <v>0</v>
      </c>
      <c r="Y1140" s="73">
        <v>0</v>
      </c>
      <c r="Z1140" s="73">
        <v>614</v>
      </c>
      <c r="AA1140" s="73">
        <v>1469</v>
      </c>
      <c r="AB1140" s="73">
        <v>0</v>
      </c>
      <c r="AC1140" s="73">
        <v>0</v>
      </c>
      <c r="AD1140" s="73">
        <v>0</v>
      </c>
      <c r="AE1140" s="73">
        <v>0</v>
      </c>
      <c r="AF1140" s="74">
        <f>tblData[[#This Row],[Gross Sales]]+tblData[[#This Row],[Trade Discounts]]+tblData[[#This Row],[Returns]]</f>
        <v>710</v>
      </c>
      <c r="AG1140" s="74">
        <f>tblData[[#This Row],[Material Cost]]+tblData[[#This Row],[Conversion Cost]]+tblData[[#This Row],[Inbound Freight]]</f>
        <v>-373</v>
      </c>
      <c r="AH1140" s="74">
        <f>tblData[[#This Row],[Net Revenue]]+tblData[[#This Row],[COGS]]</f>
        <v>337</v>
      </c>
      <c r="AI1140" s="74">
        <f>tblData[[#This Row],[Advertising]]+tblData[[#This Row],[Promotions]]</f>
        <v>-24</v>
      </c>
      <c r="AJ1140" s="74">
        <f>tblData[[#This Row],[Outbound Logistics]]+tblData[[#This Row],[Direct Selling]]</f>
        <v>-81</v>
      </c>
      <c r="AK1140" s="74">
        <f>tblData[[#This Row],[Gross Profit]]+tblData[[#This Row],[AP Spend]]+tblData[[#This Row],[Cost to Serve]]</f>
        <v>232</v>
      </c>
    </row>
    <row r="1141" spans="2:37" x14ac:dyDescent="0.25">
      <c r="B1141" s="71" t="s">
        <v>51</v>
      </c>
      <c r="C1141" s="71">
        <v>2026</v>
      </c>
      <c r="D1141" s="71">
        <v>6</v>
      </c>
      <c r="E1141" s="71" t="s">
        <v>46</v>
      </c>
      <c r="F1141" s="71" t="s">
        <v>43</v>
      </c>
      <c r="G1141" s="72">
        <v>26.6</v>
      </c>
      <c r="H1141" s="73">
        <v>480</v>
      </c>
      <c r="I1141" s="73">
        <v>-52</v>
      </c>
      <c r="J1141" s="73">
        <v>-19</v>
      </c>
      <c r="K1141" s="73">
        <v>-133</v>
      </c>
      <c r="L1141" s="73">
        <v>-33</v>
      </c>
      <c r="M1141" s="73">
        <v>-20</v>
      </c>
      <c r="N1141" s="73">
        <v>-43</v>
      </c>
      <c r="O1141" s="73">
        <v>-25</v>
      </c>
      <c r="P1141" s="73">
        <v>-37</v>
      </c>
      <c r="Q1141" s="73">
        <v>-10</v>
      </c>
      <c r="R1141" s="73">
        <v>0</v>
      </c>
      <c r="S1141" s="73">
        <v>0</v>
      </c>
      <c r="T1141" s="73">
        <v>0</v>
      </c>
      <c r="U1141" s="73">
        <v>0</v>
      </c>
      <c r="V1141" s="73">
        <v>0</v>
      </c>
      <c r="W1141" s="73">
        <v>0</v>
      </c>
      <c r="X1141" s="73">
        <v>0</v>
      </c>
      <c r="Y1141" s="73">
        <v>0</v>
      </c>
      <c r="Z1141" s="73">
        <v>354</v>
      </c>
      <c r="AA1141" s="73">
        <v>737</v>
      </c>
      <c r="AB1141" s="73">
        <v>0</v>
      </c>
      <c r="AC1141" s="73">
        <v>0</v>
      </c>
      <c r="AD1141" s="73">
        <v>0</v>
      </c>
      <c r="AE1141" s="73">
        <v>0</v>
      </c>
      <c r="AF1141" s="74">
        <f>tblData[[#This Row],[Gross Sales]]+tblData[[#This Row],[Trade Discounts]]+tblData[[#This Row],[Returns]]</f>
        <v>409</v>
      </c>
      <c r="AG1141" s="74">
        <f>tblData[[#This Row],[Material Cost]]+tblData[[#This Row],[Conversion Cost]]+tblData[[#This Row],[Inbound Freight]]</f>
        <v>-186</v>
      </c>
      <c r="AH1141" s="74">
        <f>tblData[[#This Row],[Net Revenue]]+tblData[[#This Row],[COGS]]</f>
        <v>223</v>
      </c>
      <c r="AI1141" s="74">
        <f>tblData[[#This Row],[Advertising]]+tblData[[#This Row],[Promotions]]</f>
        <v>-68</v>
      </c>
      <c r="AJ1141" s="74">
        <f>tblData[[#This Row],[Outbound Logistics]]+tblData[[#This Row],[Direct Selling]]</f>
        <v>-47</v>
      </c>
      <c r="AK1141" s="74">
        <f>tblData[[#This Row],[Gross Profit]]+tblData[[#This Row],[AP Spend]]+tblData[[#This Row],[Cost to Serve]]</f>
        <v>108</v>
      </c>
    </row>
    <row r="1142" spans="2:37" x14ac:dyDescent="0.25">
      <c r="B1142" s="71" t="s">
        <v>51</v>
      </c>
      <c r="C1142" s="71">
        <v>2026</v>
      </c>
      <c r="D1142" s="71">
        <v>6</v>
      </c>
      <c r="E1142" s="71" t="s">
        <v>47</v>
      </c>
      <c r="F1142" s="71" t="s">
        <v>38</v>
      </c>
      <c r="G1142" s="72">
        <v>65.7</v>
      </c>
      <c r="H1142" s="73">
        <v>928</v>
      </c>
      <c r="I1142" s="73">
        <v>-28</v>
      </c>
      <c r="J1142" s="73">
        <v>-46</v>
      </c>
      <c r="K1142" s="73">
        <v>-203</v>
      </c>
      <c r="L1142" s="73">
        <v>-50</v>
      </c>
      <c r="M1142" s="73">
        <v>-30</v>
      </c>
      <c r="N1142" s="73">
        <v>-48</v>
      </c>
      <c r="O1142" s="73">
        <v>-28</v>
      </c>
      <c r="P1142" s="73">
        <v>-114</v>
      </c>
      <c r="Q1142" s="73">
        <v>-37</v>
      </c>
      <c r="R1142" s="73">
        <v>0</v>
      </c>
      <c r="S1142" s="73">
        <v>0</v>
      </c>
      <c r="T1142" s="73">
        <v>0</v>
      </c>
      <c r="U1142" s="73">
        <v>0</v>
      </c>
      <c r="V1142" s="73">
        <v>0</v>
      </c>
      <c r="W1142" s="73">
        <v>0</v>
      </c>
      <c r="X1142" s="73">
        <v>0</v>
      </c>
      <c r="Y1142" s="73">
        <v>0</v>
      </c>
      <c r="Z1142" s="73">
        <v>138</v>
      </c>
      <c r="AA1142" s="73">
        <v>903</v>
      </c>
      <c r="AB1142" s="73">
        <v>0</v>
      </c>
      <c r="AC1142" s="73">
        <v>0</v>
      </c>
      <c r="AD1142" s="73">
        <v>0</v>
      </c>
      <c r="AE1142" s="73">
        <v>0</v>
      </c>
      <c r="AF1142" s="74">
        <f>tblData[[#This Row],[Gross Sales]]+tblData[[#This Row],[Trade Discounts]]+tblData[[#This Row],[Returns]]</f>
        <v>854</v>
      </c>
      <c r="AG1142" s="74">
        <f>tblData[[#This Row],[Material Cost]]+tblData[[#This Row],[Conversion Cost]]+tblData[[#This Row],[Inbound Freight]]</f>
        <v>-283</v>
      </c>
      <c r="AH1142" s="74">
        <f>tblData[[#This Row],[Net Revenue]]+tblData[[#This Row],[COGS]]</f>
        <v>571</v>
      </c>
      <c r="AI1142" s="74">
        <f>tblData[[#This Row],[Advertising]]+tblData[[#This Row],[Promotions]]</f>
        <v>-76</v>
      </c>
      <c r="AJ1142" s="74">
        <f>tblData[[#This Row],[Outbound Logistics]]+tblData[[#This Row],[Direct Selling]]</f>
        <v>-151</v>
      </c>
      <c r="AK1142" s="74">
        <f>tblData[[#This Row],[Gross Profit]]+tblData[[#This Row],[AP Spend]]+tblData[[#This Row],[Cost to Serve]]</f>
        <v>344</v>
      </c>
    </row>
    <row r="1143" spans="2:37" x14ac:dyDescent="0.25">
      <c r="B1143" s="71" t="s">
        <v>51</v>
      </c>
      <c r="C1143" s="71">
        <v>2026</v>
      </c>
      <c r="D1143" s="71">
        <v>6</v>
      </c>
      <c r="E1143" s="71" t="s">
        <v>47</v>
      </c>
      <c r="F1143" s="71" t="s">
        <v>39</v>
      </c>
      <c r="G1143" s="72">
        <v>86.4</v>
      </c>
      <c r="H1143" s="73">
        <v>782</v>
      </c>
      <c r="I1143" s="73">
        <v>-23</v>
      </c>
      <c r="J1143" s="73">
        <v>-39</v>
      </c>
      <c r="K1143" s="73">
        <v>-205</v>
      </c>
      <c r="L1143" s="73">
        <v>-51</v>
      </c>
      <c r="M1143" s="73">
        <v>-31</v>
      </c>
      <c r="N1143" s="73">
        <v>-28</v>
      </c>
      <c r="O1143" s="73">
        <v>-16</v>
      </c>
      <c r="P1143" s="73">
        <v>-96</v>
      </c>
      <c r="Q1143" s="73">
        <v>-31</v>
      </c>
      <c r="R1143" s="73">
        <v>0</v>
      </c>
      <c r="S1143" s="73">
        <v>0</v>
      </c>
      <c r="T1143" s="73">
        <v>0</v>
      </c>
      <c r="U1143" s="73">
        <v>0</v>
      </c>
      <c r="V1143" s="73">
        <v>0</v>
      </c>
      <c r="W1143" s="73">
        <v>0</v>
      </c>
      <c r="X1143" s="73">
        <v>0</v>
      </c>
      <c r="Y1143" s="73">
        <v>0</v>
      </c>
      <c r="Z1143" s="73">
        <v>115</v>
      </c>
      <c r="AA1143" s="73">
        <v>769</v>
      </c>
      <c r="AB1143" s="73">
        <v>0</v>
      </c>
      <c r="AC1143" s="73">
        <v>0</v>
      </c>
      <c r="AD1143" s="73">
        <v>0</v>
      </c>
      <c r="AE1143" s="73">
        <v>0</v>
      </c>
      <c r="AF1143" s="74">
        <f>tblData[[#This Row],[Gross Sales]]+tblData[[#This Row],[Trade Discounts]]+tblData[[#This Row],[Returns]]</f>
        <v>720</v>
      </c>
      <c r="AG1143" s="74">
        <f>tblData[[#This Row],[Material Cost]]+tblData[[#This Row],[Conversion Cost]]+tblData[[#This Row],[Inbound Freight]]</f>
        <v>-287</v>
      </c>
      <c r="AH1143" s="74">
        <f>tblData[[#This Row],[Net Revenue]]+tblData[[#This Row],[COGS]]</f>
        <v>433</v>
      </c>
      <c r="AI1143" s="74">
        <f>tblData[[#This Row],[Advertising]]+tblData[[#This Row],[Promotions]]</f>
        <v>-44</v>
      </c>
      <c r="AJ1143" s="74">
        <f>tblData[[#This Row],[Outbound Logistics]]+tblData[[#This Row],[Direct Selling]]</f>
        <v>-127</v>
      </c>
      <c r="AK1143" s="74">
        <f>tblData[[#This Row],[Gross Profit]]+tblData[[#This Row],[AP Spend]]+tblData[[#This Row],[Cost to Serve]]</f>
        <v>262</v>
      </c>
    </row>
    <row r="1144" spans="2:37" x14ac:dyDescent="0.25">
      <c r="B1144" s="71" t="s">
        <v>51</v>
      </c>
      <c r="C1144" s="71">
        <v>2026</v>
      </c>
      <c r="D1144" s="71">
        <v>6</v>
      </c>
      <c r="E1144" s="71" t="s">
        <v>47</v>
      </c>
      <c r="F1144" s="71" t="s">
        <v>40</v>
      </c>
      <c r="G1144" s="72">
        <v>82.4</v>
      </c>
      <c r="H1144" s="73">
        <v>579</v>
      </c>
      <c r="I1144" s="73">
        <v>-17</v>
      </c>
      <c r="J1144" s="73">
        <v>-29</v>
      </c>
      <c r="K1144" s="73">
        <v>-169</v>
      </c>
      <c r="L1144" s="73">
        <v>-42</v>
      </c>
      <c r="M1144" s="73">
        <v>-25</v>
      </c>
      <c r="N1144" s="73">
        <v>-14</v>
      </c>
      <c r="O1144" s="73">
        <v>-8</v>
      </c>
      <c r="P1144" s="73">
        <v>-71</v>
      </c>
      <c r="Q1144" s="73">
        <v>-23</v>
      </c>
      <c r="R1144" s="73">
        <v>0</v>
      </c>
      <c r="S1144" s="73">
        <v>0</v>
      </c>
      <c r="T1144" s="73">
        <v>0</v>
      </c>
      <c r="U1144" s="73">
        <v>0</v>
      </c>
      <c r="V1144" s="73">
        <v>0</v>
      </c>
      <c r="W1144" s="73">
        <v>0</v>
      </c>
      <c r="X1144" s="73">
        <v>0</v>
      </c>
      <c r="Y1144" s="73">
        <v>0</v>
      </c>
      <c r="Z1144" s="73">
        <v>86</v>
      </c>
      <c r="AA1144" s="73">
        <v>598</v>
      </c>
      <c r="AB1144" s="73">
        <v>0</v>
      </c>
      <c r="AC1144" s="73">
        <v>0</v>
      </c>
      <c r="AD1144" s="73">
        <v>0</v>
      </c>
      <c r="AE1144" s="73">
        <v>0</v>
      </c>
      <c r="AF1144" s="74">
        <f>tblData[[#This Row],[Gross Sales]]+tblData[[#This Row],[Trade Discounts]]+tblData[[#This Row],[Returns]]</f>
        <v>533</v>
      </c>
      <c r="AG1144" s="74">
        <f>tblData[[#This Row],[Material Cost]]+tblData[[#This Row],[Conversion Cost]]+tblData[[#This Row],[Inbound Freight]]</f>
        <v>-236</v>
      </c>
      <c r="AH1144" s="74">
        <f>tblData[[#This Row],[Net Revenue]]+tblData[[#This Row],[COGS]]</f>
        <v>297</v>
      </c>
      <c r="AI1144" s="74">
        <f>tblData[[#This Row],[Advertising]]+tblData[[#This Row],[Promotions]]</f>
        <v>-22</v>
      </c>
      <c r="AJ1144" s="74">
        <f>tblData[[#This Row],[Outbound Logistics]]+tblData[[#This Row],[Direct Selling]]</f>
        <v>-94</v>
      </c>
      <c r="AK1144" s="74">
        <f>tblData[[#This Row],[Gross Profit]]+tblData[[#This Row],[AP Spend]]+tblData[[#This Row],[Cost to Serve]]</f>
        <v>181</v>
      </c>
    </row>
    <row r="1145" spans="2:37" x14ac:dyDescent="0.25">
      <c r="B1145" s="71" t="s">
        <v>51</v>
      </c>
      <c r="C1145" s="71">
        <v>2026</v>
      </c>
      <c r="D1145" s="71">
        <v>6</v>
      </c>
      <c r="E1145" s="71" t="s">
        <v>47</v>
      </c>
      <c r="F1145" s="71" t="s">
        <v>41</v>
      </c>
      <c r="G1145" s="72">
        <v>41.4</v>
      </c>
      <c r="H1145" s="73">
        <v>458</v>
      </c>
      <c r="I1145" s="73">
        <v>-14</v>
      </c>
      <c r="J1145" s="73">
        <v>-23</v>
      </c>
      <c r="K1145" s="73">
        <v>-110</v>
      </c>
      <c r="L1145" s="73">
        <v>-27</v>
      </c>
      <c r="M1145" s="73">
        <v>-16</v>
      </c>
      <c r="N1145" s="73">
        <v>-29</v>
      </c>
      <c r="O1145" s="73">
        <v>-17</v>
      </c>
      <c r="P1145" s="73">
        <v>-56</v>
      </c>
      <c r="Q1145" s="73">
        <v>-18</v>
      </c>
      <c r="R1145" s="73">
        <v>0</v>
      </c>
      <c r="S1145" s="73">
        <v>0</v>
      </c>
      <c r="T1145" s="73">
        <v>0</v>
      </c>
      <c r="U1145" s="73">
        <v>0</v>
      </c>
      <c r="V1145" s="73">
        <v>0</v>
      </c>
      <c r="W1145" s="73">
        <v>0</v>
      </c>
      <c r="X1145" s="73">
        <v>0</v>
      </c>
      <c r="Y1145" s="73">
        <v>0</v>
      </c>
      <c r="Z1145" s="73">
        <v>68</v>
      </c>
      <c r="AA1145" s="73">
        <v>465</v>
      </c>
      <c r="AB1145" s="73">
        <v>0</v>
      </c>
      <c r="AC1145" s="73">
        <v>0</v>
      </c>
      <c r="AD1145" s="73">
        <v>0</v>
      </c>
      <c r="AE1145" s="73">
        <v>0</v>
      </c>
      <c r="AF1145" s="74">
        <f>tblData[[#This Row],[Gross Sales]]+tblData[[#This Row],[Trade Discounts]]+tblData[[#This Row],[Returns]]</f>
        <v>421</v>
      </c>
      <c r="AG1145" s="74">
        <f>tblData[[#This Row],[Material Cost]]+tblData[[#This Row],[Conversion Cost]]+tblData[[#This Row],[Inbound Freight]]</f>
        <v>-153</v>
      </c>
      <c r="AH1145" s="74">
        <f>tblData[[#This Row],[Net Revenue]]+tblData[[#This Row],[COGS]]</f>
        <v>268</v>
      </c>
      <c r="AI1145" s="74">
        <f>tblData[[#This Row],[Advertising]]+tblData[[#This Row],[Promotions]]</f>
        <v>-46</v>
      </c>
      <c r="AJ1145" s="74">
        <f>tblData[[#This Row],[Outbound Logistics]]+tblData[[#This Row],[Direct Selling]]</f>
        <v>-74</v>
      </c>
      <c r="AK1145" s="74">
        <f>tblData[[#This Row],[Gross Profit]]+tblData[[#This Row],[AP Spend]]+tblData[[#This Row],[Cost to Serve]]</f>
        <v>148</v>
      </c>
    </row>
    <row r="1146" spans="2:37" x14ac:dyDescent="0.25">
      <c r="B1146" s="71" t="s">
        <v>51</v>
      </c>
      <c r="C1146" s="71">
        <v>2026</v>
      </c>
      <c r="D1146" s="71">
        <v>6</v>
      </c>
      <c r="E1146" s="71" t="s">
        <v>47</v>
      </c>
      <c r="F1146" s="71" t="s">
        <v>42</v>
      </c>
      <c r="G1146" s="72">
        <v>51</v>
      </c>
      <c r="H1146" s="73">
        <v>306</v>
      </c>
      <c r="I1146" s="73">
        <v>-9</v>
      </c>
      <c r="J1146" s="73">
        <v>-15</v>
      </c>
      <c r="K1146" s="73">
        <v>-98</v>
      </c>
      <c r="L1146" s="73">
        <v>-24</v>
      </c>
      <c r="M1146" s="73">
        <v>-15</v>
      </c>
      <c r="N1146" s="73">
        <v>-6</v>
      </c>
      <c r="O1146" s="73">
        <v>-3</v>
      </c>
      <c r="P1146" s="73">
        <v>-38</v>
      </c>
      <c r="Q1146" s="73">
        <v>-12</v>
      </c>
      <c r="R1146" s="73">
        <v>0</v>
      </c>
      <c r="S1146" s="73">
        <v>0</v>
      </c>
      <c r="T1146" s="73">
        <v>0</v>
      </c>
      <c r="U1146" s="73">
        <v>0</v>
      </c>
      <c r="V1146" s="73">
        <v>0</v>
      </c>
      <c r="W1146" s="73">
        <v>0</v>
      </c>
      <c r="X1146" s="73">
        <v>0</v>
      </c>
      <c r="Y1146" s="73">
        <v>0</v>
      </c>
      <c r="Z1146" s="73">
        <v>45</v>
      </c>
      <c r="AA1146" s="73">
        <v>542</v>
      </c>
      <c r="AB1146" s="73">
        <v>0</v>
      </c>
      <c r="AC1146" s="73">
        <v>0</v>
      </c>
      <c r="AD1146" s="73">
        <v>0</v>
      </c>
      <c r="AE1146" s="73">
        <v>0</v>
      </c>
      <c r="AF1146" s="74">
        <f>tblData[[#This Row],[Gross Sales]]+tblData[[#This Row],[Trade Discounts]]+tblData[[#This Row],[Returns]]</f>
        <v>282</v>
      </c>
      <c r="AG1146" s="74">
        <f>tblData[[#This Row],[Material Cost]]+tblData[[#This Row],[Conversion Cost]]+tblData[[#This Row],[Inbound Freight]]</f>
        <v>-137</v>
      </c>
      <c r="AH1146" s="74">
        <f>tblData[[#This Row],[Net Revenue]]+tblData[[#This Row],[COGS]]</f>
        <v>145</v>
      </c>
      <c r="AI1146" s="74">
        <f>tblData[[#This Row],[Advertising]]+tblData[[#This Row],[Promotions]]</f>
        <v>-9</v>
      </c>
      <c r="AJ1146" s="74">
        <f>tblData[[#This Row],[Outbound Logistics]]+tblData[[#This Row],[Direct Selling]]</f>
        <v>-50</v>
      </c>
      <c r="AK1146" s="74">
        <f>tblData[[#This Row],[Gross Profit]]+tblData[[#This Row],[AP Spend]]+tblData[[#This Row],[Cost to Serve]]</f>
        <v>86</v>
      </c>
    </row>
    <row r="1147" spans="2:37" x14ac:dyDescent="0.25">
      <c r="B1147" s="71" t="s">
        <v>51</v>
      </c>
      <c r="C1147" s="71">
        <v>2026</v>
      </c>
      <c r="D1147" s="71">
        <v>6</v>
      </c>
      <c r="E1147" s="71" t="s">
        <v>47</v>
      </c>
      <c r="F1147" s="71" t="s">
        <v>43</v>
      </c>
      <c r="G1147" s="72">
        <v>9.8000000000000007</v>
      </c>
      <c r="H1147" s="73">
        <v>177</v>
      </c>
      <c r="I1147" s="73">
        <v>-5</v>
      </c>
      <c r="J1147" s="73">
        <v>-9</v>
      </c>
      <c r="K1147" s="73">
        <v>-49</v>
      </c>
      <c r="L1147" s="73">
        <v>-12</v>
      </c>
      <c r="M1147" s="73">
        <v>-7</v>
      </c>
      <c r="N1147" s="73">
        <v>-16</v>
      </c>
      <c r="O1147" s="73">
        <v>-9</v>
      </c>
      <c r="P1147" s="73">
        <v>-22</v>
      </c>
      <c r="Q1147" s="73">
        <v>-7</v>
      </c>
      <c r="R1147" s="73">
        <v>0</v>
      </c>
      <c r="S1147" s="73">
        <v>0</v>
      </c>
      <c r="T1147" s="73">
        <v>0</v>
      </c>
      <c r="U1147" s="73">
        <v>0</v>
      </c>
      <c r="V1147" s="73">
        <v>0</v>
      </c>
      <c r="W1147" s="73">
        <v>0</v>
      </c>
      <c r="X1147" s="73">
        <v>0</v>
      </c>
      <c r="Y1147" s="73">
        <v>0</v>
      </c>
      <c r="Z1147" s="73">
        <v>26</v>
      </c>
      <c r="AA1147" s="73">
        <v>273</v>
      </c>
      <c r="AB1147" s="73">
        <v>0</v>
      </c>
      <c r="AC1147" s="73">
        <v>0</v>
      </c>
      <c r="AD1147" s="73">
        <v>0</v>
      </c>
      <c r="AE1147" s="73">
        <v>0</v>
      </c>
      <c r="AF1147" s="74">
        <f>tblData[[#This Row],[Gross Sales]]+tblData[[#This Row],[Trade Discounts]]+tblData[[#This Row],[Returns]]</f>
        <v>163</v>
      </c>
      <c r="AG1147" s="74">
        <f>tblData[[#This Row],[Material Cost]]+tblData[[#This Row],[Conversion Cost]]+tblData[[#This Row],[Inbound Freight]]</f>
        <v>-68</v>
      </c>
      <c r="AH1147" s="74">
        <f>tblData[[#This Row],[Net Revenue]]+tblData[[#This Row],[COGS]]</f>
        <v>95</v>
      </c>
      <c r="AI1147" s="74">
        <f>tblData[[#This Row],[Advertising]]+tblData[[#This Row],[Promotions]]</f>
        <v>-25</v>
      </c>
      <c r="AJ1147" s="74">
        <f>tblData[[#This Row],[Outbound Logistics]]+tblData[[#This Row],[Direct Selling]]</f>
        <v>-29</v>
      </c>
      <c r="AK1147" s="74">
        <f>tblData[[#This Row],[Gross Profit]]+tblData[[#This Row],[AP Spend]]+tblData[[#This Row],[Cost to Serve]]</f>
        <v>41</v>
      </c>
    </row>
    <row r="1148" spans="2:37" x14ac:dyDescent="0.25">
      <c r="B1148" s="71" t="s">
        <v>51</v>
      </c>
      <c r="C1148" s="71">
        <v>2026</v>
      </c>
      <c r="D1148" s="71">
        <v>6</v>
      </c>
      <c r="E1148" s="71" t="s">
        <v>48</v>
      </c>
      <c r="F1148" s="71" t="s">
        <v>38</v>
      </c>
      <c r="G1148" s="72">
        <v>106.5</v>
      </c>
      <c r="H1148" s="73">
        <v>1497</v>
      </c>
      <c r="I1148" s="73">
        <v>-135</v>
      </c>
      <c r="J1148" s="73">
        <v>-15</v>
      </c>
      <c r="K1148" s="73">
        <v>-327</v>
      </c>
      <c r="L1148" s="73">
        <v>-81</v>
      </c>
      <c r="M1148" s="73">
        <v>-49</v>
      </c>
      <c r="N1148" s="73">
        <v>-80</v>
      </c>
      <c r="O1148" s="73">
        <v>-46</v>
      </c>
      <c r="P1148" s="73">
        <v>-46</v>
      </c>
      <c r="Q1148" s="73">
        <v>-22</v>
      </c>
      <c r="R1148" s="73">
        <v>0</v>
      </c>
      <c r="S1148" s="73">
        <v>0</v>
      </c>
      <c r="T1148" s="73">
        <v>0</v>
      </c>
      <c r="U1148" s="73">
        <v>0</v>
      </c>
      <c r="V1148" s="73">
        <v>0</v>
      </c>
      <c r="W1148" s="73">
        <v>0</v>
      </c>
      <c r="X1148" s="73">
        <v>0</v>
      </c>
      <c r="Y1148" s="73">
        <v>0</v>
      </c>
      <c r="Z1148" s="73">
        <v>3110</v>
      </c>
      <c r="AA1148" s="73">
        <v>1449</v>
      </c>
      <c r="AB1148" s="73">
        <v>0</v>
      </c>
      <c r="AC1148" s="73">
        <v>0</v>
      </c>
      <c r="AD1148" s="73">
        <v>0</v>
      </c>
      <c r="AE1148" s="73">
        <v>0</v>
      </c>
      <c r="AF1148" s="74">
        <f>tblData[[#This Row],[Gross Sales]]+tblData[[#This Row],[Trade Discounts]]+tblData[[#This Row],[Returns]]</f>
        <v>1347</v>
      </c>
      <c r="AG1148" s="74">
        <f>tblData[[#This Row],[Material Cost]]+tblData[[#This Row],[Conversion Cost]]+tblData[[#This Row],[Inbound Freight]]</f>
        <v>-457</v>
      </c>
      <c r="AH1148" s="74">
        <f>tblData[[#This Row],[Net Revenue]]+tblData[[#This Row],[COGS]]</f>
        <v>890</v>
      </c>
      <c r="AI1148" s="74">
        <f>tblData[[#This Row],[Advertising]]+tblData[[#This Row],[Promotions]]</f>
        <v>-126</v>
      </c>
      <c r="AJ1148" s="74">
        <f>tblData[[#This Row],[Outbound Logistics]]+tblData[[#This Row],[Direct Selling]]</f>
        <v>-68</v>
      </c>
      <c r="AK1148" s="74">
        <f>tblData[[#This Row],[Gross Profit]]+tblData[[#This Row],[AP Spend]]+tblData[[#This Row],[Cost to Serve]]</f>
        <v>696</v>
      </c>
    </row>
    <row r="1149" spans="2:37" x14ac:dyDescent="0.25">
      <c r="B1149" s="71" t="s">
        <v>51</v>
      </c>
      <c r="C1149" s="71">
        <v>2026</v>
      </c>
      <c r="D1149" s="71">
        <v>6</v>
      </c>
      <c r="E1149" s="71" t="s">
        <v>48</v>
      </c>
      <c r="F1149" s="71" t="s">
        <v>39</v>
      </c>
      <c r="G1149" s="72">
        <v>139.69999999999999</v>
      </c>
      <c r="H1149" s="73">
        <v>1259</v>
      </c>
      <c r="I1149" s="73">
        <v>-113</v>
      </c>
      <c r="J1149" s="73">
        <v>-13</v>
      </c>
      <c r="K1149" s="73">
        <v>-330</v>
      </c>
      <c r="L1149" s="73">
        <v>-82</v>
      </c>
      <c r="M1149" s="73">
        <v>-49</v>
      </c>
      <c r="N1149" s="73">
        <v>-46</v>
      </c>
      <c r="O1149" s="73">
        <v>-26</v>
      </c>
      <c r="P1149" s="73">
        <v>-39</v>
      </c>
      <c r="Q1149" s="73">
        <v>-19</v>
      </c>
      <c r="R1149" s="73">
        <v>0</v>
      </c>
      <c r="S1149" s="73">
        <v>0</v>
      </c>
      <c r="T1149" s="73">
        <v>0</v>
      </c>
      <c r="U1149" s="73">
        <v>0</v>
      </c>
      <c r="V1149" s="73">
        <v>0</v>
      </c>
      <c r="W1149" s="73">
        <v>0</v>
      </c>
      <c r="X1149" s="73">
        <v>0</v>
      </c>
      <c r="Y1149" s="73">
        <v>0</v>
      </c>
      <c r="Z1149" s="73">
        <v>2617</v>
      </c>
      <c r="AA1149" s="73">
        <v>1241</v>
      </c>
      <c r="AB1149" s="73">
        <v>0</v>
      </c>
      <c r="AC1149" s="73">
        <v>0</v>
      </c>
      <c r="AD1149" s="73">
        <v>0</v>
      </c>
      <c r="AE1149" s="73">
        <v>0</v>
      </c>
      <c r="AF1149" s="74">
        <f>tblData[[#This Row],[Gross Sales]]+tblData[[#This Row],[Trade Discounts]]+tblData[[#This Row],[Returns]]</f>
        <v>1133</v>
      </c>
      <c r="AG1149" s="74">
        <f>tblData[[#This Row],[Material Cost]]+tblData[[#This Row],[Conversion Cost]]+tblData[[#This Row],[Inbound Freight]]</f>
        <v>-461</v>
      </c>
      <c r="AH1149" s="74">
        <f>tblData[[#This Row],[Net Revenue]]+tblData[[#This Row],[COGS]]</f>
        <v>672</v>
      </c>
      <c r="AI1149" s="74">
        <f>tblData[[#This Row],[Advertising]]+tblData[[#This Row],[Promotions]]</f>
        <v>-72</v>
      </c>
      <c r="AJ1149" s="74">
        <f>tblData[[#This Row],[Outbound Logistics]]+tblData[[#This Row],[Direct Selling]]</f>
        <v>-58</v>
      </c>
      <c r="AK1149" s="74">
        <f>tblData[[#This Row],[Gross Profit]]+tblData[[#This Row],[AP Spend]]+tblData[[#This Row],[Cost to Serve]]</f>
        <v>542</v>
      </c>
    </row>
    <row r="1150" spans="2:37" x14ac:dyDescent="0.25">
      <c r="B1150" s="71" t="s">
        <v>51</v>
      </c>
      <c r="C1150" s="71">
        <v>2026</v>
      </c>
      <c r="D1150" s="71">
        <v>6</v>
      </c>
      <c r="E1150" s="71" t="s">
        <v>48</v>
      </c>
      <c r="F1150" s="71" t="s">
        <v>40</v>
      </c>
      <c r="G1150" s="72">
        <v>133.19999999999999</v>
      </c>
      <c r="H1150" s="73">
        <v>932</v>
      </c>
      <c r="I1150" s="73">
        <v>-84</v>
      </c>
      <c r="J1150" s="73">
        <v>-9</v>
      </c>
      <c r="K1150" s="73">
        <v>-271</v>
      </c>
      <c r="L1150" s="73">
        <v>-67</v>
      </c>
      <c r="M1150" s="73">
        <v>-41</v>
      </c>
      <c r="N1150" s="73">
        <v>-23</v>
      </c>
      <c r="O1150" s="73">
        <v>-13</v>
      </c>
      <c r="P1150" s="73">
        <v>-29</v>
      </c>
      <c r="Q1150" s="73">
        <v>-14</v>
      </c>
      <c r="R1150" s="73">
        <v>0</v>
      </c>
      <c r="S1150" s="73">
        <v>0</v>
      </c>
      <c r="T1150" s="73">
        <v>0</v>
      </c>
      <c r="U1150" s="73">
        <v>0</v>
      </c>
      <c r="V1150" s="73">
        <v>0</v>
      </c>
      <c r="W1150" s="73">
        <v>0</v>
      </c>
      <c r="X1150" s="73">
        <v>0</v>
      </c>
      <c r="Y1150" s="73">
        <v>0</v>
      </c>
      <c r="Z1150" s="73">
        <v>1938</v>
      </c>
      <c r="AA1150" s="73">
        <v>960</v>
      </c>
      <c r="AB1150" s="73">
        <v>0</v>
      </c>
      <c r="AC1150" s="73">
        <v>0</v>
      </c>
      <c r="AD1150" s="73">
        <v>0</v>
      </c>
      <c r="AE1150" s="73">
        <v>0</v>
      </c>
      <c r="AF1150" s="74">
        <f>tblData[[#This Row],[Gross Sales]]+tblData[[#This Row],[Trade Discounts]]+tblData[[#This Row],[Returns]]</f>
        <v>839</v>
      </c>
      <c r="AG1150" s="74">
        <f>tblData[[#This Row],[Material Cost]]+tblData[[#This Row],[Conversion Cost]]+tblData[[#This Row],[Inbound Freight]]</f>
        <v>-379</v>
      </c>
      <c r="AH1150" s="74">
        <f>tblData[[#This Row],[Net Revenue]]+tblData[[#This Row],[COGS]]</f>
        <v>460</v>
      </c>
      <c r="AI1150" s="74">
        <f>tblData[[#This Row],[Advertising]]+tblData[[#This Row],[Promotions]]</f>
        <v>-36</v>
      </c>
      <c r="AJ1150" s="74">
        <f>tblData[[#This Row],[Outbound Logistics]]+tblData[[#This Row],[Direct Selling]]</f>
        <v>-43</v>
      </c>
      <c r="AK1150" s="74">
        <f>tblData[[#This Row],[Gross Profit]]+tblData[[#This Row],[AP Spend]]+tblData[[#This Row],[Cost to Serve]]</f>
        <v>381</v>
      </c>
    </row>
    <row r="1151" spans="2:37" x14ac:dyDescent="0.25">
      <c r="B1151" s="71" t="s">
        <v>51</v>
      </c>
      <c r="C1151" s="71">
        <v>2026</v>
      </c>
      <c r="D1151" s="71">
        <v>6</v>
      </c>
      <c r="E1151" s="71" t="s">
        <v>48</v>
      </c>
      <c r="F1151" s="71" t="s">
        <v>41</v>
      </c>
      <c r="G1151" s="72">
        <v>67.5</v>
      </c>
      <c r="H1151" s="73">
        <v>744</v>
      </c>
      <c r="I1151" s="73">
        <v>-67</v>
      </c>
      <c r="J1151" s="73">
        <v>-7</v>
      </c>
      <c r="K1151" s="73">
        <v>-179</v>
      </c>
      <c r="L1151" s="73">
        <v>-44</v>
      </c>
      <c r="M1151" s="73">
        <v>-27</v>
      </c>
      <c r="N1151" s="73">
        <v>-49</v>
      </c>
      <c r="O1151" s="73">
        <v>-28</v>
      </c>
      <c r="P1151" s="73">
        <v>-23</v>
      </c>
      <c r="Q1151" s="73">
        <v>-11</v>
      </c>
      <c r="R1151" s="73">
        <v>0</v>
      </c>
      <c r="S1151" s="73">
        <v>0</v>
      </c>
      <c r="T1151" s="73">
        <v>0</v>
      </c>
      <c r="U1151" s="73">
        <v>0</v>
      </c>
      <c r="V1151" s="73">
        <v>0</v>
      </c>
      <c r="W1151" s="73">
        <v>0</v>
      </c>
      <c r="X1151" s="73">
        <v>0</v>
      </c>
      <c r="Y1151" s="73">
        <v>0</v>
      </c>
      <c r="Z1151" s="73">
        <v>1543</v>
      </c>
      <c r="AA1151" s="73">
        <v>751</v>
      </c>
      <c r="AB1151" s="73">
        <v>0</v>
      </c>
      <c r="AC1151" s="73">
        <v>0</v>
      </c>
      <c r="AD1151" s="73">
        <v>0</v>
      </c>
      <c r="AE1151" s="73">
        <v>0</v>
      </c>
      <c r="AF1151" s="74">
        <f>tblData[[#This Row],[Gross Sales]]+tblData[[#This Row],[Trade Discounts]]+tblData[[#This Row],[Returns]]</f>
        <v>670</v>
      </c>
      <c r="AG1151" s="74">
        <f>tblData[[#This Row],[Material Cost]]+tblData[[#This Row],[Conversion Cost]]+tblData[[#This Row],[Inbound Freight]]</f>
        <v>-250</v>
      </c>
      <c r="AH1151" s="74">
        <f>tblData[[#This Row],[Net Revenue]]+tblData[[#This Row],[COGS]]</f>
        <v>420</v>
      </c>
      <c r="AI1151" s="74">
        <f>tblData[[#This Row],[Advertising]]+tblData[[#This Row],[Promotions]]</f>
        <v>-77</v>
      </c>
      <c r="AJ1151" s="74">
        <f>tblData[[#This Row],[Outbound Logistics]]+tblData[[#This Row],[Direct Selling]]</f>
        <v>-34</v>
      </c>
      <c r="AK1151" s="74">
        <f>tblData[[#This Row],[Gross Profit]]+tblData[[#This Row],[AP Spend]]+tblData[[#This Row],[Cost to Serve]]</f>
        <v>309</v>
      </c>
    </row>
    <row r="1152" spans="2:37" x14ac:dyDescent="0.25">
      <c r="B1152" s="71" t="s">
        <v>51</v>
      </c>
      <c r="C1152" s="71">
        <v>2026</v>
      </c>
      <c r="D1152" s="71">
        <v>6</v>
      </c>
      <c r="E1152" s="71" t="s">
        <v>48</v>
      </c>
      <c r="F1152" s="71" t="s">
        <v>42</v>
      </c>
      <c r="G1152" s="72">
        <v>82</v>
      </c>
      <c r="H1152" s="73">
        <v>491</v>
      </c>
      <c r="I1152" s="73">
        <v>-44</v>
      </c>
      <c r="J1152" s="73">
        <v>-5</v>
      </c>
      <c r="K1152" s="73">
        <v>-157</v>
      </c>
      <c r="L1152" s="73">
        <v>-39</v>
      </c>
      <c r="M1152" s="73">
        <v>-23</v>
      </c>
      <c r="N1152" s="73">
        <v>-10</v>
      </c>
      <c r="O1152" s="73">
        <v>-6</v>
      </c>
      <c r="P1152" s="73">
        <v>-15</v>
      </c>
      <c r="Q1152" s="73">
        <v>-7</v>
      </c>
      <c r="R1152" s="73">
        <v>0</v>
      </c>
      <c r="S1152" s="73">
        <v>0</v>
      </c>
      <c r="T1152" s="73">
        <v>0</v>
      </c>
      <c r="U1152" s="73">
        <v>0</v>
      </c>
      <c r="V1152" s="73">
        <v>0</v>
      </c>
      <c r="W1152" s="73">
        <v>0</v>
      </c>
      <c r="X1152" s="73">
        <v>0</v>
      </c>
      <c r="Y1152" s="73">
        <v>0</v>
      </c>
      <c r="Z1152" s="73">
        <v>1025</v>
      </c>
      <c r="AA1152" s="73">
        <v>870</v>
      </c>
      <c r="AB1152" s="73">
        <v>0</v>
      </c>
      <c r="AC1152" s="73">
        <v>0</v>
      </c>
      <c r="AD1152" s="73">
        <v>0</v>
      </c>
      <c r="AE1152" s="73">
        <v>0</v>
      </c>
      <c r="AF1152" s="74">
        <f>tblData[[#This Row],[Gross Sales]]+tblData[[#This Row],[Trade Discounts]]+tblData[[#This Row],[Returns]]</f>
        <v>442</v>
      </c>
      <c r="AG1152" s="74">
        <f>tblData[[#This Row],[Material Cost]]+tblData[[#This Row],[Conversion Cost]]+tblData[[#This Row],[Inbound Freight]]</f>
        <v>-219</v>
      </c>
      <c r="AH1152" s="74">
        <f>tblData[[#This Row],[Net Revenue]]+tblData[[#This Row],[COGS]]</f>
        <v>223</v>
      </c>
      <c r="AI1152" s="74">
        <f>tblData[[#This Row],[Advertising]]+tblData[[#This Row],[Promotions]]</f>
        <v>-16</v>
      </c>
      <c r="AJ1152" s="74">
        <f>tblData[[#This Row],[Outbound Logistics]]+tblData[[#This Row],[Direct Selling]]</f>
        <v>-22</v>
      </c>
      <c r="AK1152" s="74">
        <f>tblData[[#This Row],[Gross Profit]]+tblData[[#This Row],[AP Spend]]+tblData[[#This Row],[Cost to Serve]]</f>
        <v>185</v>
      </c>
    </row>
    <row r="1153" spans="2:37" x14ac:dyDescent="0.25">
      <c r="B1153" s="71" t="s">
        <v>51</v>
      </c>
      <c r="C1153" s="71">
        <v>2026</v>
      </c>
      <c r="D1153" s="71">
        <v>6</v>
      </c>
      <c r="E1153" s="71" t="s">
        <v>48</v>
      </c>
      <c r="F1153" s="71" t="s">
        <v>43</v>
      </c>
      <c r="G1153" s="72">
        <v>15.8</v>
      </c>
      <c r="H1153" s="73">
        <v>284</v>
      </c>
      <c r="I1153" s="73">
        <v>-26</v>
      </c>
      <c r="J1153" s="73">
        <v>-3</v>
      </c>
      <c r="K1153" s="73">
        <v>-79</v>
      </c>
      <c r="L1153" s="73">
        <v>-19</v>
      </c>
      <c r="M1153" s="73">
        <v>-12</v>
      </c>
      <c r="N1153" s="73">
        <v>-27</v>
      </c>
      <c r="O1153" s="73">
        <v>-15</v>
      </c>
      <c r="P1153" s="73">
        <v>-9</v>
      </c>
      <c r="Q1153" s="73">
        <v>-4</v>
      </c>
      <c r="R1153" s="73">
        <v>0</v>
      </c>
      <c r="S1153" s="73">
        <v>0</v>
      </c>
      <c r="T1153" s="73">
        <v>0</v>
      </c>
      <c r="U1153" s="73">
        <v>0</v>
      </c>
      <c r="V1153" s="73">
        <v>0</v>
      </c>
      <c r="W1153" s="73">
        <v>0</v>
      </c>
      <c r="X1153" s="73">
        <v>0</v>
      </c>
      <c r="Y1153" s="73">
        <v>0</v>
      </c>
      <c r="Z1153" s="73">
        <v>592</v>
      </c>
      <c r="AA1153" s="73">
        <v>437</v>
      </c>
      <c r="AB1153" s="73">
        <v>0</v>
      </c>
      <c r="AC1153" s="73">
        <v>0</v>
      </c>
      <c r="AD1153" s="73">
        <v>0</v>
      </c>
      <c r="AE1153" s="73">
        <v>0</v>
      </c>
      <c r="AF1153" s="74">
        <f>tblData[[#This Row],[Gross Sales]]+tblData[[#This Row],[Trade Discounts]]+tblData[[#This Row],[Returns]]</f>
        <v>255</v>
      </c>
      <c r="AG1153" s="74">
        <f>tblData[[#This Row],[Material Cost]]+tblData[[#This Row],[Conversion Cost]]+tblData[[#This Row],[Inbound Freight]]</f>
        <v>-110</v>
      </c>
      <c r="AH1153" s="74">
        <f>tblData[[#This Row],[Net Revenue]]+tblData[[#This Row],[COGS]]</f>
        <v>145</v>
      </c>
      <c r="AI1153" s="74">
        <f>tblData[[#This Row],[Advertising]]+tblData[[#This Row],[Promotions]]</f>
        <v>-42</v>
      </c>
      <c r="AJ1153" s="74">
        <f>tblData[[#This Row],[Outbound Logistics]]+tblData[[#This Row],[Direct Selling]]</f>
        <v>-13</v>
      </c>
      <c r="AK1153" s="74">
        <f>tblData[[#This Row],[Gross Profit]]+tblData[[#This Row],[AP Spend]]+tblData[[#This Row],[Cost to Serve]]</f>
        <v>90</v>
      </c>
    </row>
    <row r="1154" spans="2:37" x14ac:dyDescent="0.25">
      <c r="B1154" s="71" t="s">
        <v>51</v>
      </c>
      <c r="C1154" s="71">
        <v>2026</v>
      </c>
      <c r="D1154" s="71">
        <v>6</v>
      </c>
      <c r="E1154" s="71" t="s">
        <v>49</v>
      </c>
      <c r="F1154" s="71" t="s">
        <v>49</v>
      </c>
      <c r="G1154" s="72">
        <v>0</v>
      </c>
      <c r="H1154" s="73">
        <v>0</v>
      </c>
      <c r="I1154" s="73">
        <v>0</v>
      </c>
      <c r="J1154" s="73">
        <v>0</v>
      </c>
      <c r="K1154" s="73">
        <v>0</v>
      </c>
      <c r="L1154" s="73">
        <v>0</v>
      </c>
      <c r="M1154" s="73">
        <v>0</v>
      </c>
      <c r="N1154" s="73">
        <v>0</v>
      </c>
      <c r="O1154" s="73">
        <v>0</v>
      </c>
      <c r="P1154" s="73">
        <v>0</v>
      </c>
      <c r="Q1154" s="73">
        <v>0</v>
      </c>
      <c r="R1154" s="73">
        <v>-4304</v>
      </c>
      <c r="S1154" s="73">
        <v>-1004</v>
      </c>
      <c r="T1154" s="73">
        <v>-1288</v>
      </c>
      <c r="U1154" s="73">
        <v>-1094</v>
      </c>
      <c r="V1154" s="73">
        <v>-1480</v>
      </c>
      <c r="W1154" s="73">
        <v>-703</v>
      </c>
      <c r="X1154" s="73">
        <v>-1629</v>
      </c>
      <c r="Y1154" s="73">
        <v>-1391</v>
      </c>
      <c r="Z1154" s="73">
        <v>0</v>
      </c>
      <c r="AA1154" s="73">
        <v>0</v>
      </c>
      <c r="AB1154" s="73">
        <v>34569</v>
      </c>
      <c r="AC1154" s="73">
        <v>48423</v>
      </c>
      <c r="AD1154" s="73">
        <v>185000</v>
      </c>
      <c r="AE1154" s="73">
        <v>1187</v>
      </c>
      <c r="AF1154" s="74">
        <f>tblData[[#This Row],[Gross Sales]]+tblData[[#This Row],[Trade Discounts]]+tblData[[#This Row],[Returns]]</f>
        <v>0</v>
      </c>
      <c r="AG1154" s="74">
        <f>tblData[[#This Row],[Material Cost]]+tblData[[#This Row],[Conversion Cost]]+tblData[[#This Row],[Inbound Freight]]</f>
        <v>0</v>
      </c>
      <c r="AH1154" s="74">
        <f>tblData[[#This Row],[Net Revenue]]+tblData[[#This Row],[COGS]]</f>
        <v>0</v>
      </c>
      <c r="AI1154" s="74">
        <f>tblData[[#This Row],[Advertising]]+tblData[[#This Row],[Promotions]]</f>
        <v>0</v>
      </c>
      <c r="AJ1154" s="74">
        <f>tblData[[#This Row],[Outbound Logistics]]+tblData[[#This Row],[Direct Selling]]</f>
        <v>0</v>
      </c>
      <c r="AK1154" s="74">
        <f>tblData[[#This Row],[Gross Profit]]+tblData[[#This Row],[AP Spend]]+tblData[[#This Row],[Cost to Serve]]</f>
        <v>0</v>
      </c>
    </row>
    <row r="1155" spans="2:37" x14ac:dyDescent="0.25">
      <c r="B1155" s="71" t="s">
        <v>51</v>
      </c>
      <c r="C1155" s="71">
        <v>2026</v>
      </c>
      <c r="D1155" s="71">
        <v>7</v>
      </c>
      <c r="E1155" s="71" t="s">
        <v>37</v>
      </c>
      <c r="F1155" s="71" t="s">
        <v>38</v>
      </c>
      <c r="G1155" s="72">
        <v>299.39999999999998</v>
      </c>
      <c r="H1155" s="73">
        <v>4210</v>
      </c>
      <c r="I1155" s="73">
        <v>-818</v>
      </c>
      <c r="J1155" s="73">
        <v>-63</v>
      </c>
      <c r="K1155" s="73">
        <v>-919</v>
      </c>
      <c r="L1155" s="73">
        <v>-227</v>
      </c>
      <c r="M1155" s="73">
        <v>-137</v>
      </c>
      <c r="N1155" s="73">
        <v>-235</v>
      </c>
      <c r="O1155" s="73">
        <v>-135</v>
      </c>
      <c r="P1155" s="73">
        <v>-172</v>
      </c>
      <c r="Q1155" s="73">
        <v>-126</v>
      </c>
      <c r="R1155" s="73">
        <v>0</v>
      </c>
      <c r="S1155" s="73">
        <v>0</v>
      </c>
      <c r="T1155" s="73">
        <v>0</v>
      </c>
      <c r="U1155" s="73">
        <v>0</v>
      </c>
      <c r="V1155" s="73">
        <v>0</v>
      </c>
      <c r="W1155" s="73">
        <v>0</v>
      </c>
      <c r="X1155" s="73">
        <v>0</v>
      </c>
      <c r="Y1155" s="73">
        <v>0</v>
      </c>
      <c r="Z1155" s="73">
        <v>6301</v>
      </c>
      <c r="AA1155" s="73">
        <v>4220</v>
      </c>
      <c r="AB1155" s="73">
        <v>0</v>
      </c>
      <c r="AC1155" s="73">
        <v>0</v>
      </c>
      <c r="AD1155" s="73">
        <v>0</v>
      </c>
      <c r="AE1155" s="73">
        <v>0</v>
      </c>
      <c r="AF1155" s="74">
        <f>tblData[[#This Row],[Gross Sales]]+tblData[[#This Row],[Trade Discounts]]+tblData[[#This Row],[Returns]]</f>
        <v>3329</v>
      </c>
      <c r="AG1155" s="74">
        <f>tblData[[#This Row],[Material Cost]]+tblData[[#This Row],[Conversion Cost]]+tblData[[#This Row],[Inbound Freight]]</f>
        <v>-1283</v>
      </c>
      <c r="AH1155" s="74">
        <f>tblData[[#This Row],[Net Revenue]]+tblData[[#This Row],[COGS]]</f>
        <v>2046</v>
      </c>
      <c r="AI1155" s="74">
        <f>tblData[[#This Row],[Advertising]]+tblData[[#This Row],[Promotions]]</f>
        <v>-370</v>
      </c>
      <c r="AJ1155" s="74">
        <f>tblData[[#This Row],[Outbound Logistics]]+tblData[[#This Row],[Direct Selling]]</f>
        <v>-298</v>
      </c>
      <c r="AK1155" s="74">
        <f>tblData[[#This Row],[Gross Profit]]+tblData[[#This Row],[AP Spend]]+tblData[[#This Row],[Cost to Serve]]</f>
        <v>1378</v>
      </c>
    </row>
    <row r="1156" spans="2:37" x14ac:dyDescent="0.25">
      <c r="B1156" s="71" t="s">
        <v>51</v>
      </c>
      <c r="C1156" s="71">
        <v>2026</v>
      </c>
      <c r="D1156" s="71">
        <v>7</v>
      </c>
      <c r="E1156" s="71" t="s">
        <v>37</v>
      </c>
      <c r="F1156" s="71" t="s">
        <v>39</v>
      </c>
      <c r="G1156" s="72">
        <v>393</v>
      </c>
      <c r="H1156" s="73">
        <v>3543</v>
      </c>
      <c r="I1156" s="73">
        <v>-688</v>
      </c>
      <c r="J1156" s="73">
        <v>-53</v>
      </c>
      <c r="K1156" s="73">
        <v>-928</v>
      </c>
      <c r="L1156" s="73">
        <v>-230</v>
      </c>
      <c r="M1156" s="73">
        <v>-139</v>
      </c>
      <c r="N1156" s="73">
        <v>-134</v>
      </c>
      <c r="O1156" s="73">
        <v>-77</v>
      </c>
      <c r="P1156" s="73">
        <v>-145</v>
      </c>
      <c r="Q1156" s="73">
        <v>-106</v>
      </c>
      <c r="R1156" s="73">
        <v>0</v>
      </c>
      <c r="S1156" s="73">
        <v>0</v>
      </c>
      <c r="T1156" s="73">
        <v>0</v>
      </c>
      <c r="U1156" s="73">
        <v>0</v>
      </c>
      <c r="V1156" s="73">
        <v>0</v>
      </c>
      <c r="W1156" s="73">
        <v>0</v>
      </c>
      <c r="X1156" s="73">
        <v>0</v>
      </c>
      <c r="Y1156" s="73">
        <v>0</v>
      </c>
      <c r="Z1156" s="73">
        <v>5294</v>
      </c>
      <c r="AA1156" s="73">
        <v>3611</v>
      </c>
      <c r="AB1156" s="73">
        <v>0</v>
      </c>
      <c r="AC1156" s="73">
        <v>0</v>
      </c>
      <c r="AD1156" s="73">
        <v>0</v>
      </c>
      <c r="AE1156" s="73">
        <v>0</v>
      </c>
      <c r="AF1156" s="74">
        <f>tblData[[#This Row],[Gross Sales]]+tblData[[#This Row],[Trade Discounts]]+tblData[[#This Row],[Returns]]</f>
        <v>2802</v>
      </c>
      <c r="AG1156" s="74">
        <f>tblData[[#This Row],[Material Cost]]+tblData[[#This Row],[Conversion Cost]]+tblData[[#This Row],[Inbound Freight]]</f>
        <v>-1297</v>
      </c>
      <c r="AH1156" s="74">
        <f>tblData[[#This Row],[Net Revenue]]+tblData[[#This Row],[COGS]]</f>
        <v>1505</v>
      </c>
      <c r="AI1156" s="74">
        <f>tblData[[#This Row],[Advertising]]+tblData[[#This Row],[Promotions]]</f>
        <v>-211</v>
      </c>
      <c r="AJ1156" s="74">
        <f>tblData[[#This Row],[Outbound Logistics]]+tblData[[#This Row],[Direct Selling]]</f>
        <v>-251</v>
      </c>
      <c r="AK1156" s="74">
        <f>tblData[[#This Row],[Gross Profit]]+tblData[[#This Row],[AP Spend]]+tblData[[#This Row],[Cost to Serve]]</f>
        <v>1043</v>
      </c>
    </row>
    <row r="1157" spans="2:37" x14ac:dyDescent="0.25">
      <c r="B1157" s="71" t="s">
        <v>51</v>
      </c>
      <c r="C1157" s="71">
        <v>2026</v>
      </c>
      <c r="D1157" s="71">
        <v>7</v>
      </c>
      <c r="E1157" s="71" t="s">
        <v>37</v>
      </c>
      <c r="F1157" s="71" t="s">
        <v>40</v>
      </c>
      <c r="G1157" s="72">
        <v>374.2</v>
      </c>
      <c r="H1157" s="73">
        <v>2620</v>
      </c>
      <c r="I1157" s="73">
        <v>-509</v>
      </c>
      <c r="J1157" s="73">
        <v>-39</v>
      </c>
      <c r="K1157" s="73">
        <v>-763</v>
      </c>
      <c r="L1157" s="73">
        <v>-189</v>
      </c>
      <c r="M1157" s="73">
        <v>-114</v>
      </c>
      <c r="N1157" s="73">
        <v>-67</v>
      </c>
      <c r="O1157" s="73">
        <v>-39</v>
      </c>
      <c r="P1157" s="73">
        <v>-107</v>
      </c>
      <c r="Q1157" s="73">
        <v>-79</v>
      </c>
      <c r="R1157" s="73">
        <v>0</v>
      </c>
      <c r="S1157" s="73">
        <v>0</v>
      </c>
      <c r="T1157" s="73">
        <v>0</v>
      </c>
      <c r="U1157" s="73">
        <v>0</v>
      </c>
      <c r="V1157" s="73">
        <v>0</v>
      </c>
      <c r="W1157" s="73">
        <v>0</v>
      </c>
      <c r="X1157" s="73">
        <v>0</v>
      </c>
      <c r="Y1157" s="73">
        <v>0</v>
      </c>
      <c r="Z1157" s="73">
        <v>3908</v>
      </c>
      <c r="AA1157" s="73">
        <v>2785</v>
      </c>
      <c r="AB1157" s="73">
        <v>0</v>
      </c>
      <c r="AC1157" s="73">
        <v>0</v>
      </c>
      <c r="AD1157" s="73">
        <v>0</v>
      </c>
      <c r="AE1157" s="73">
        <v>0</v>
      </c>
      <c r="AF1157" s="74">
        <f>tblData[[#This Row],[Gross Sales]]+tblData[[#This Row],[Trade Discounts]]+tblData[[#This Row],[Returns]]</f>
        <v>2072</v>
      </c>
      <c r="AG1157" s="74">
        <f>tblData[[#This Row],[Material Cost]]+tblData[[#This Row],[Conversion Cost]]+tblData[[#This Row],[Inbound Freight]]</f>
        <v>-1066</v>
      </c>
      <c r="AH1157" s="74">
        <f>tblData[[#This Row],[Net Revenue]]+tblData[[#This Row],[COGS]]</f>
        <v>1006</v>
      </c>
      <c r="AI1157" s="74">
        <f>tblData[[#This Row],[Advertising]]+tblData[[#This Row],[Promotions]]</f>
        <v>-106</v>
      </c>
      <c r="AJ1157" s="74">
        <f>tblData[[#This Row],[Outbound Logistics]]+tblData[[#This Row],[Direct Selling]]</f>
        <v>-186</v>
      </c>
      <c r="AK1157" s="74">
        <f>tblData[[#This Row],[Gross Profit]]+tblData[[#This Row],[AP Spend]]+tblData[[#This Row],[Cost to Serve]]</f>
        <v>714</v>
      </c>
    </row>
    <row r="1158" spans="2:37" x14ac:dyDescent="0.25">
      <c r="B1158" s="71" t="s">
        <v>51</v>
      </c>
      <c r="C1158" s="71">
        <v>2026</v>
      </c>
      <c r="D1158" s="71">
        <v>7</v>
      </c>
      <c r="E1158" s="71" t="s">
        <v>37</v>
      </c>
      <c r="F1158" s="71" t="s">
        <v>41</v>
      </c>
      <c r="G1158" s="72">
        <v>188.1</v>
      </c>
      <c r="H1158" s="73">
        <v>2074</v>
      </c>
      <c r="I1158" s="73">
        <v>-403</v>
      </c>
      <c r="J1158" s="73">
        <v>-31</v>
      </c>
      <c r="K1158" s="73">
        <v>-498</v>
      </c>
      <c r="L1158" s="73">
        <v>-123</v>
      </c>
      <c r="M1158" s="73">
        <v>-74</v>
      </c>
      <c r="N1158" s="73">
        <v>-144</v>
      </c>
      <c r="O1158" s="73">
        <v>-83</v>
      </c>
      <c r="P1158" s="73">
        <v>-85</v>
      </c>
      <c r="Q1158" s="73">
        <v>-62</v>
      </c>
      <c r="R1158" s="73">
        <v>0</v>
      </c>
      <c r="S1158" s="73">
        <v>0</v>
      </c>
      <c r="T1158" s="73">
        <v>0</v>
      </c>
      <c r="U1158" s="73">
        <v>0</v>
      </c>
      <c r="V1158" s="73">
        <v>0</v>
      </c>
      <c r="W1158" s="73">
        <v>0</v>
      </c>
      <c r="X1158" s="73">
        <v>0</v>
      </c>
      <c r="Y1158" s="73">
        <v>0</v>
      </c>
      <c r="Z1158" s="73">
        <v>3106</v>
      </c>
      <c r="AA1158" s="73">
        <v>2173</v>
      </c>
      <c r="AB1158" s="73">
        <v>0</v>
      </c>
      <c r="AC1158" s="73">
        <v>0</v>
      </c>
      <c r="AD1158" s="73">
        <v>0</v>
      </c>
      <c r="AE1158" s="73">
        <v>0</v>
      </c>
      <c r="AF1158" s="74">
        <f>tblData[[#This Row],[Gross Sales]]+tblData[[#This Row],[Trade Discounts]]+tblData[[#This Row],[Returns]]</f>
        <v>1640</v>
      </c>
      <c r="AG1158" s="74">
        <f>tblData[[#This Row],[Material Cost]]+tblData[[#This Row],[Conversion Cost]]+tblData[[#This Row],[Inbound Freight]]</f>
        <v>-695</v>
      </c>
      <c r="AH1158" s="74">
        <f>tblData[[#This Row],[Net Revenue]]+tblData[[#This Row],[COGS]]</f>
        <v>945</v>
      </c>
      <c r="AI1158" s="74">
        <f>tblData[[#This Row],[Advertising]]+tblData[[#This Row],[Promotions]]</f>
        <v>-227</v>
      </c>
      <c r="AJ1158" s="74">
        <f>tblData[[#This Row],[Outbound Logistics]]+tblData[[#This Row],[Direct Selling]]</f>
        <v>-147</v>
      </c>
      <c r="AK1158" s="74">
        <f>tblData[[#This Row],[Gross Profit]]+tblData[[#This Row],[AP Spend]]+tblData[[#This Row],[Cost to Serve]]</f>
        <v>571</v>
      </c>
    </row>
    <row r="1159" spans="2:37" x14ac:dyDescent="0.25">
      <c r="B1159" s="71" t="s">
        <v>51</v>
      </c>
      <c r="C1159" s="71">
        <v>2026</v>
      </c>
      <c r="D1159" s="71">
        <v>7</v>
      </c>
      <c r="E1159" s="71" t="s">
        <v>37</v>
      </c>
      <c r="F1159" s="71" t="s">
        <v>42</v>
      </c>
      <c r="G1159" s="72">
        <v>230.9</v>
      </c>
      <c r="H1159" s="73">
        <v>1381</v>
      </c>
      <c r="I1159" s="73">
        <v>-268</v>
      </c>
      <c r="J1159" s="73">
        <v>-21</v>
      </c>
      <c r="K1159" s="73">
        <v>-442</v>
      </c>
      <c r="L1159" s="73">
        <v>-109</v>
      </c>
      <c r="M1159" s="73">
        <v>-66</v>
      </c>
      <c r="N1159" s="73">
        <v>-28</v>
      </c>
      <c r="O1159" s="73">
        <v>-16</v>
      </c>
      <c r="P1159" s="73">
        <v>-56</v>
      </c>
      <c r="Q1159" s="73">
        <v>-41</v>
      </c>
      <c r="R1159" s="73">
        <v>0</v>
      </c>
      <c r="S1159" s="73">
        <v>0</v>
      </c>
      <c r="T1159" s="73">
        <v>0</v>
      </c>
      <c r="U1159" s="73">
        <v>0</v>
      </c>
      <c r="V1159" s="73">
        <v>0</v>
      </c>
      <c r="W1159" s="73">
        <v>0</v>
      </c>
      <c r="X1159" s="73">
        <v>0</v>
      </c>
      <c r="Y1159" s="73">
        <v>0</v>
      </c>
      <c r="Z1159" s="73">
        <v>2070</v>
      </c>
      <c r="AA1159" s="73">
        <v>2527</v>
      </c>
      <c r="AB1159" s="73">
        <v>0</v>
      </c>
      <c r="AC1159" s="73">
        <v>0</v>
      </c>
      <c r="AD1159" s="73">
        <v>0</v>
      </c>
      <c r="AE1159" s="73">
        <v>0</v>
      </c>
      <c r="AF1159" s="74">
        <f>tblData[[#This Row],[Gross Sales]]+tblData[[#This Row],[Trade Discounts]]+tblData[[#This Row],[Returns]]</f>
        <v>1092</v>
      </c>
      <c r="AG1159" s="74">
        <f>tblData[[#This Row],[Material Cost]]+tblData[[#This Row],[Conversion Cost]]+tblData[[#This Row],[Inbound Freight]]</f>
        <v>-617</v>
      </c>
      <c r="AH1159" s="74">
        <f>tblData[[#This Row],[Net Revenue]]+tblData[[#This Row],[COGS]]</f>
        <v>475</v>
      </c>
      <c r="AI1159" s="74">
        <f>tblData[[#This Row],[Advertising]]+tblData[[#This Row],[Promotions]]</f>
        <v>-44</v>
      </c>
      <c r="AJ1159" s="74">
        <f>tblData[[#This Row],[Outbound Logistics]]+tblData[[#This Row],[Direct Selling]]</f>
        <v>-97</v>
      </c>
      <c r="AK1159" s="74">
        <f>tblData[[#This Row],[Gross Profit]]+tblData[[#This Row],[AP Spend]]+tblData[[#This Row],[Cost to Serve]]</f>
        <v>334</v>
      </c>
    </row>
    <row r="1160" spans="2:37" x14ac:dyDescent="0.25">
      <c r="B1160" s="71" t="s">
        <v>51</v>
      </c>
      <c r="C1160" s="71">
        <v>2026</v>
      </c>
      <c r="D1160" s="71">
        <v>7</v>
      </c>
      <c r="E1160" s="71" t="s">
        <v>37</v>
      </c>
      <c r="F1160" s="71" t="s">
        <v>43</v>
      </c>
      <c r="G1160" s="72">
        <v>44.6</v>
      </c>
      <c r="H1160" s="73">
        <v>803</v>
      </c>
      <c r="I1160" s="73">
        <v>-156</v>
      </c>
      <c r="J1160" s="73">
        <v>-12</v>
      </c>
      <c r="K1160" s="73">
        <v>-222</v>
      </c>
      <c r="L1160" s="73">
        <v>-55</v>
      </c>
      <c r="M1160" s="73">
        <v>-33</v>
      </c>
      <c r="N1160" s="73">
        <v>-78</v>
      </c>
      <c r="O1160" s="73">
        <v>-45</v>
      </c>
      <c r="P1160" s="73">
        <v>-33</v>
      </c>
      <c r="Q1160" s="73">
        <v>-24</v>
      </c>
      <c r="R1160" s="73">
        <v>0</v>
      </c>
      <c r="S1160" s="73">
        <v>0</v>
      </c>
      <c r="T1160" s="73">
        <v>0</v>
      </c>
      <c r="U1160" s="73">
        <v>0</v>
      </c>
      <c r="V1160" s="73">
        <v>0</v>
      </c>
      <c r="W1160" s="73">
        <v>0</v>
      </c>
      <c r="X1160" s="73">
        <v>0</v>
      </c>
      <c r="Y1160" s="73">
        <v>0</v>
      </c>
      <c r="Z1160" s="73">
        <v>1202</v>
      </c>
      <c r="AA1160" s="73">
        <v>1277</v>
      </c>
      <c r="AB1160" s="73">
        <v>0</v>
      </c>
      <c r="AC1160" s="73">
        <v>0</v>
      </c>
      <c r="AD1160" s="73">
        <v>0</v>
      </c>
      <c r="AE1160" s="73">
        <v>0</v>
      </c>
      <c r="AF1160" s="74">
        <f>tblData[[#This Row],[Gross Sales]]+tblData[[#This Row],[Trade Discounts]]+tblData[[#This Row],[Returns]]</f>
        <v>635</v>
      </c>
      <c r="AG1160" s="74">
        <f>tblData[[#This Row],[Material Cost]]+tblData[[#This Row],[Conversion Cost]]+tblData[[#This Row],[Inbound Freight]]</f>
        <v>-310</v>
      </c>
      <c r="AH1160" s="74">
        <f>tblData[[#This Row],[Net Revenue]]+tblData[[#This Row],[COGS]]</f>
        <v>325</v>
      </c>
      <c r="AI1160" s="74">
        <f>tblData[[#This Row],[Advertising]]+tblData[[#This Row],[Promotions]]</f>
        <v>-123</v>
      </c>
      <c r="AJ1160" s="74">
        <f>tblData[[#This Row],[Outbound Logistics]]+tblData[[#This Row],[Direct Selling]]</f>
        <v>-57</v>
      </c>
      <c r="AK1160" s="74">
        <f>tblData[[#This Row],[Gross Profit]]+tblData[[#This Row],[AP Spend]]+tblData[[#This Row],[Cost to Serve]]</f>
        <v>145</v>
      </c>
    </row>
    <row r="1161" spans="2:37" x14ac:dyDescent="0.25">
      <c r="B1161" s="71" t="s">
        <v>51</v>
      </c>
      <c r="C1161" s="71">
        <v>2026</v>
      </c>
      <c r="D1161" s="71">
        <v>7</v>
      </c>
      <c r="E1161" s="71" t="s">
        <v>44</v>
      </c>
      <c r="F1161" s="71" t="s">
        <v>38</v>
      </c>
      <c r="G1161" s="72">
        <v>247.3</v>
      </c>
      <c r="H1161" s="73">
        <v>3487</v>
      </c>
      <c r="I1161" s="73">
        <v>-563</v>
      </c>
      <c r="J1161" s="73">
        <v>-42</v>
      </c>
      <c r="K1161" s="73">
        <v>-761</v>
      </c>
      <c r="L1161" s="73">
        <v>-188</v>
      </c>
      <c r="M1161" s="73">
        <v>-114</v>
      </c>
      <c r="N1161" s="73">
        <v>-188</v>
      </c>
      <c r="O1161" s="73">
        <v>-108</v>
      </c>
      <c r="P1161" s="73">
        <v>-142</v>
      </c>
      <c r="Q1161" s="73">
        <v>-105</v>
      </c>
      <c r="R1161" s="73">
        <v>0</v>
      </c>
      <c r="S1161" s="73">
        <v>0</v>
      </c>
      <c r="T1161" s="73">
        <v>0</v>
      </c>
      <c r="U1161" s="73">
        <v>0</v>
      </c>
      <c r="V1161" s="73">
        <v>0</v>
      </c>
      <c r="W1161" s="73">
        <v>0</v>
      </c>
      <c r="X1161" s="73">
        <v>0</v>
      </c>
      <c r="Y1161" s="73">
        <v>0</v>
      </c>
      <c r="Z1161" s="73">
        <v>4978</v>
      </c>
      <c r="AA1161" s="73">
        <v>3496</v>
      </c>
      <c r="AB1161" s="73">
        <v>0</v>
      </c>
      <c r="AC1161" s="73">
        <v>0</v>
      </c>
      <c r="AD1161" s="73">
        <v>0</v>
      </c>
      <c r="AE1161" s="73">
        <v>0</v>
      </c>
      <c r="AF1161" s="74">
        <f>tblData[[#This Row],[Gross Sales]]+tblData[[#This Row],[Trade Discounts]]+tblData[[#This Row],[Returns]]</f>
        <v>2882</v>
      </c>
      <c r="AG1161" s="74">
        <f>tblData[[#This Row],[Material Cost]]+tblData[[#This Row],[Conversion Cost]]+tblData[[#This Row],[Inbound Freight]]</f>
        <v>-1063</v>
      </c>
      <c r="AH1161" s="74">
        <f>tblData[[#This Row],[Net Revenue]]+tblData[[#This Row],[COGS]]</f>
        <v>1819</v>
      </c>
      <c r="AI1161" s="74">
        <f>tblData[[#This Row],[Advertising]]+tblData[[#This Row],[Promotions]]</f>
        <v>-296</v>
      </c>
      <c r="AJ1161" s="74">
        <f>tblData[[#This Row],[Outbound Logistics]]+tblData[[#This Row],[Direct Selling]]</f>
        <v>-247</v>
      </c>
      <c r="AK1161" s="74">
        <f>tblData[[#This Row],[Gross Profit]]+tblData[[#This Row],[AP Spend]]+tblData[[#This Row],[Cost to Serve]]</f>
        <v>1276</v>
      </c>
    </row>
    <row r="1162" spans="2:37" x14ac:dyDescent="0.25">
      <c r="B1162" s="71" t="s">
        <v>51</v>
      </c>
      <c r="C1162" s="71">
        <v>2026</v>
      </c>
      <c r="D1162" s="71">
        <v>7</v>
      </c>
      <c r="E1162" s="71" t="s">
        <v>44</v>
      </c>
      <c r="F1162" s="71" t="s">
        <v>39</v>
      </c>
      <c r="G1162" s="72">
        <v>325.39999999999998</v>
      </c>
      <c r="H1162" s="73">
        <v>2941</v>
      </c>
      <c r="I1162" s="73">
        <v>-475</v>
      </c>
      <c r="J1162" s="73">
        <v>-35</v>
      </c>
      <c r="K1162" s="73">
        <v>-771</v>
      </c>
      <c r="L1162" s="73">
        <v>-191</v>
      </c>
      <c r="M1162" s="73">
        <v>-115</v>
      </c>
      <c r="N1162" s="73">
        <v>-108</v>
      </c>
      <c r="O1162" s="73">
        <v>-62</v>
      </c>
      <c r="P1162" s="73">
        <v>-120</v>
      </c>
      <c r="Q1162" s="73">
        <v>-88</v>
      </c>
      <c r="R1162" s="73">
        <v>0</v>
      </c>
      <c r="S1162" s="73">
        <v>0</v>
      </c>
      <c r="T1162" s="73">
        <v>0</v>
      </c>
      <c r="U1162" s="73">
        <v>0</v>
      </c>
      <c r="V1162" s="73">
        <v>0</v>
      </c>
      <c r="W1162" s="73">
        <v>0</v>
      </c>
      <c r="X1162" s="73">
        <v>0</v>
      </c>
      <c r="Y1162" s="73">
        <v>0</v>
      </c>
      <c r="Z1162" s="73">
        <v>4193</v>
      </c>
      <c r="AA1162" s="73">
        <v>2998</v>
      </c>
      <c r="AB1162" s="73">
        <v>0</v>
      </c>
      <c r="AC1162" s="73">
        <v>0</v>
      </c>
      <c r="AD1162" s="73">
        <v>0</v>
      </c>
      <c r="AE1162" s="73">
        <v>0</v>
      </c>
      <c r="AF1162" s="74">
        <f>tblData[[#This Row],[Gross Sales]]+tblData[[#This Row],[Trade Discounts]]+tblData[[#This Row],[Returns]]</f>
        <v>2431</v>
      </c>
      <c r="AG1162" s="74">
        <f>tblData[[#This Row],[Material Cost]]+tblData[[#This Row],[Conversion Cost]]+tblData[[#This Row],[Inbound Freight]]</f>
        <v>-1077</v>
      </c>
      <c r="AH1162" s="74">
        <f>tblData[[#This Row],[Net Revenue]]+tblData[[#This Row],[COGS]]</f>
        <v>1354</v>
      </c>
      <c r="AI1162" s="74">
        <f>tblData[[#This Row],[Advertising]]+tblData[[#This Row],[Promotions]]</f>
        <v>-170</v>
      </c>
      <c r="AJ1162" s="74">
        <f>tblData[[#This Row],[Outbound Logistics]]+tblData[[#This Row],[Direct Selling]]</f>
        <v>-208</v>
      </c>
      <c r="AK1162" s="74">
        <f>tblData[[#This Row],[Gross Profit]]+tblData[[#This Row],[AP Spend]]+tblData[[#This Row],[Cost to Serve]]</f>
        <v>976</v>
      </c>
    </row>
    <row r="1163" spans="2:37" x14ac:dyDescent="0.25">
      <c r="B1163" s="71" t="s">
        <v>51</v>
      </c>
      <c r="C1163" s="71">
        <v>2026</v>
      </c>
      <c r="D1163" s="71">
        <v>7</v>
      </c>
      <c r="E1163" s="71" t="s">
        <v>44</v>
      </c>
      <c r="F1163" s="71" t="s">
        <v>40</v>
      </c>
      <c r="G1163" s="72">
        <v>310.89999999999998</v>
      </c>
      <c r="H1163" s="73">
        <v>2183</v>
      </c>
      <c r="I1163" s="73">
        <v>-352</v>
      </c>
      <c r="J1163" s="73">
        <v>-26</v>
      </c>
      <c r="K1163" s="73">
        <v>-635</v>
      </c>
      <c r="L1163" s="73">
        <v>-157</v>
      </c>
      <c r="M1163" s="73">
        <v>-95</v>
      </c>
      <c r="N1163" s="73">
        <v>-54</v>
      </c>
      <c r="O1163" s="73">
        <v>-31</v>
      </c>
      <c r="P1163" s="73">
        <v>-89</v>
      </c>
      <c r="Q1163" s="73">
        <v>-65</v>
      </c>
      <c r="R1163" s="73">
        <v>0</v>
      </c>
      <c r="S1163" s="73">
        <v>0</v>
      </c>
      <c r="T1163" s="73">
        <v>0</v>
      </c>
      <c r="U1163" s="73">
        <v>0</v>
      </c>
      <c r="V1163" s="73">
        <v>0</v>
      </c>
      <c r="W1163" s="73">
        <v>0</v>
      </c>
      <c r="X1163" s="73">
        <v>0</v>
      </c>
      <c r="Y1163" s="73">
        <v>0</v>
      </c>
      <c r="Z1163" s="73">
        <v>3108</v>
      </c>
      <c r="AA1163" s="73">
        <v>2323</v>
      </c>
      <c r="AB1163" s="73">
        <v>0</v>
      </c>
      <c r="AC1163" s="73">
        <v>0</v>
      </c>
      <c r="AD1163" s="73">
        <v>0</v>
      </c>
      <c r="AE1163" s="73">
        <v>0</v>
      </c>
      <c r="AF1163" s="74">
        <f>tblData[[#This Row],[Gross Sales]]+tblData[[#This Row],[Trade Discounts]]+tblData[[#This Row],[Returns]]</f>
        <v>1805</v>
      </c>
      <c r="AG1163" s="74">
        <f>tblData[[#This Row],[Material Cost]]+tblData[[#This Row],[Conversion Cost]]+tblData[[#This Row],[Inbound Freight]]</f>
        <v>-887</v>
      </c>
      <c r="AH1163" s="74">
        <f>tblData[[#This Row],[Net Revenue]]+tblData[[#This Row],[COGS]]</f>
        <v>918</v>
      </c>
      <c r="AI1163" s="74">
        <f>tblData[[#This Row],[Advertising]]+tblData[[#This Row],[Promotions]]</f>
        <v>-85</v>
      </c>
      <c r="AJ1163" s="74">
        <f>tblData[[#This Row],[Outbound Logistics]]+tblData[[#This Row],[Direct Selling]]</f>
        <v>-154</v>
      </c>
      <c r="AK1163" s="74">
        <f>tblData[[#This Row],[Gross Profit]]+tblData[[#This Row],[AP Spend]]+tblData[[#This Row],[Cost to Serve]]</f>
        <v>679</v>
      </c>
    </row>
    <row r="1164" spans="2:37" x14ac:dyDescent="0.25">
      <c r="B1164" s="71" t="s">
        <v>51</v>
      </c>
      <c r="C1164" s="71">
        <v>2026</v>
      </c>
      <c r="D1164" s="71">
        <v>7</v>
      </c>
      <c r="E1164" s="71" t="s">
        <v>44</v>
      </c>
      <c r="F1164" s="71" t="s">
        <v>41</v>
      </c>
      <c r="G1164" s="72">
        <v>156.6</v>
      </c>
      <c r="H1164" s="73">
        <v>1731</v>
      </c>
      <c r="I1164" s="73">
        <v>-280</v>
      </c>
      <c r="J1164" s="73">
        <v>-21</v>
      </c>
      <c r="K1164" s="73">
        <v>-416</v>
      </c>
      <c r="L1164" s="73">
        <v>-103</v>
      </c>
      <c r="M1164" s="73">
        <v>-62</v>
      </c>
      <c r="N1164" s="73">
        <v>-115</v>
      </c>
      <c r="O1164" s="73">
        <v>-66</v>
      </c>
      <c r="P1164" s="73">
        <v>-71</v>
      </c>
      <c r="Q1164" s="73">
        <v>-52</v>
      </c>
      <c r="R1164" s="73">
        <v>0</v>
      </c>
      <c r="S1164" s="73">
        <v>0</v>
      </c>
      <c r="T1164" s="73">
        <v>0</v>
      </c>
      <c r="U1164" s="73">
        <v>0</v>
      </c>
      <c r="V1164" s="73">
        <v>0</v>
      </c>
      <c r="W1164" s="73">
        <v>0</v>
      </c>
      <c r="X1164" s="73">
        <v>0</v>
      </c>
      <c r="Y1164" s="73">
        <v>0</v>
      </c>
      <c r="Z1164" s="73">
        <v>2473</v>
      </c>
      <c r="AA1164" s="73">
        <v>1814</v>
      </c>
      <c r="AB1164" s="73">
        <v>0</v>
      </c>
      <c r="AC1164" s="73">
        <v>0</v>
      </c>
      <c r="AD1164" s="73">
        <v>0</v>
      </c>
      <c r="AE1164" s="73">
        <v>0</v>
      </c>
      <c r="AF1164" s="74">
        <f>tblData[[#This Row],[Gross Sales]]+tblData[[#This Row],[Trade Discounts]]+tblData[[#This Row],[Returns]]</f>
        <v>1430</v>
      </c>
      <c r="AG1164" s="74">
        <f>tblData[[#This Row],[Material Cost]]+tblData[[#This Row],[Conversion Cost]]+tblData[[#This Row],[Inbound Freight]]</f>
        <v>-581</v>
      </c>
      <c r="AH1164" s="74">
        <f>tblData[[#This Row],[Net Revenue]]+tblData[[#This Row],[COGS]]</f>
        <v>849</v>
      </c>
      <c r="AI1164" s="74">
        <f>tblData[[#This Row],[Advertising]]+tblData[[#This Row],[Promotions]]</f>
        <v>-181</v>
      </c>
      <c r="AJ1164" s="74">
        <f>tblData[[#This Row],[Outbound Logistics]]+tblData[[#This Row],[Direct Selling]]</f>
        <v>-123</v>
      </c>
      <c r="AK1164" s="74">
        <f>tblData[[#This Row],[Gross Profit]]+tblData[[#This Row],[AP Spend]]+tblData[[#This Row],[Cost to Serve]]</f>
        <v>545</v>
      </c>
    </row>
    <row r="1165" spans="2:37" x14ac:dyDescent="0.25">
      <c r="B1165" s="71" t="s">
        <v>51</v>
      </c>
      <c r="C1165" s="71">
        <v>2026</v>
      </c>
      <c r="D1165" s="71">
        <v>7</v>
      </c>
      <c r="E1165" s="71" t="s">
        <v>44</v>
      </c>
      <c r="F1165" s="71" t="s">
        <v>42</v>
      </c>
      <c r="G1165" s="72">
        <v>191.7</v>
      </c>
      <c r="H1165" s="73">
        <v>1150</v>
      </c>
      <c r="I1165" s="73">
        <v>-186</v>
      </c>
      <c r="J1165" s="73">
        <v>-14</v>
      </c>
      <c r="K1165" s="73">
        <v>-368</v>
      </c>
      <c r="L1165" s="73">
        <v>-91</v>
      </c>
      <c r="M1165" s="73">
        <v>-55</v>
      </c>
      <c r="N1165" s="73">
        <v>-22</v>
      </c>
      <c r="O1165" s="73">
        <v>-13</v>
      </c>
      <c r="P1165" s="73">
        <v>-47</v>
      </c>
      <c r="Q1165" s="73">
        <v>-35</v>
      </c>
      <c r="R1165" s="73">
        <v>0</v>
      </c>
      <c r="S1165" s="73">
        <v>0</v>
      </c>
      <c r="T1165" s="73">
        <v>0</v>
      </c>
      <c r="U1165" s="73">
        <v>0</v>
      </c>
      <c r="V1165" s="73">
        <v>0</v>
      </c>
      <c r="W1165" s="73">
        <v>0</v>
      </c>
      <c r="X1165" s="73">
        <v>0</v>
      </c>
      <c r="Y1165" s="73">
        <v>0</v>
      </c>
      <c r="Z1165" s="73">
        <v>1639</v>
      </c>
      <c r="AA1165" s="73">
        <v>2098</v>
      </c>
      <c r="AB1165" s="73">
        <v>0</v>
      </c>
      <c r="AC1165" s="73">
        <v>0</v>
      </c>
      <c r="AD1165" s="73">
        <v>0</v>
      </c>
      <c r="AE1165" s="73">
        <v>0</v>
      </c>
      <c r="AF1165" s="74">
        <f>tblData[[#This Row],[Gross Sales]]+tblData[[#This Row],[Trade Discounts]]+tblData[[#This Row],[Returns]]</f>
        <v>950</v>
      </c>
      <c r="AG1165" s="74">
        <f>tblData[[#This Row],[Material Cost]]+tblData[[#This Row],[Conversion Cost]]+tblData[[#This Row],[Inbound Freight]]</f>
        <v>-514</v>
      </c>
      <c r="AH1165" s="74">
        <f>tblData[[#This Row],[Net Revenue]]+tblData[[#This Row],[COGS]]</f>
        <v>436</v>
      </c>
      <c r="AI1165" s="74">
        <f>tblData[[#This Row],[Advertising]]+tblData[[#This Row],[Promotions]]</f>
        <v>-35</v>
      </c>
      <c r="AJ1165" s="74">
        <f>tblData[[#This Row],[Outbound Logistics]]+tblData[[#This Row],[Direct Selling]]</f>
        <v>-82</v>
      </c>
      <c r="AK1165" s="74">
        <f>tblData[[#This Row],[Gross Profit]]+tblData[[#This Row],[AP Spend]]+tblData[[#This Row],[Cost to Serve]]</f>
        <v>319</v>
      </c>
    </row>
    <row r="1166" spans="2:37" x14ac:dyDescent="0.25">
      <c r="B1166" s="71" t="s">
        <v>51</v>
      </c>
      <c r="C1166" s="71">
        <v>2026</v>
      </c>
      <c r="D1166" s="71">
        <v>7</v>
      </c>
      <c r="E1166" s="71" t="s">
        <v>44</v>
      </c>
      <c r="F1166" s="71" t="s">
        <v>43</v>
      </c>
      <c r="G1166" s="72">
        <v>36.799999999999997</v>
      </c>
      <c r="H1166" s="73">
        <v>665</v>
      </c>
      <c r="I1166" s="73">
        <v>-107</v>
      </c>
      <c r="J1166" s="73">
        <v>-8</v>
      </c>
      <c r="K1166" s="73">
        <v>-184</v>
      </c>
      <c r="L1166" s="73">
        <v>-45</v>
      </c>
      <c r="M1166" s="73">
        <v>-27</v>
      </c>
      <c r="N1166" s="73">
        <v>-63</v>
      </c>
      <c r="O1166" s="73">
        <v>-36</v>
      </c>
      <c r="P1166" s="73">
        <v>-27</v>
      </c>
      <c r="Q1166" s="73">
        <v>-20</v>
      </c>
      <c r="R1166" s="73">
        <v>0</v>
      </c>
      <c r="S1166" s="73">
        <v>0</v>
      </c>
      <c r="T1166" s="73">
        <v>0</v>
      </c>
      <c r="U1166" s="73">
        <v>0</v>
      </c>
      <c r="V1166" s="73">
        <v>0</v>
      </c>
      <c r="W1166" s="73">
        <v>0</v>
      </c>
      <c r="X1166" s="73">
        <v>0</v>
      </c>
      <c r="Y1166" s="73">
        <v>0</v>
      </c>
      <c r="Z1166" s="73">
        <v>950</v>
      </c>
      <c r="AA1166" s="73">
        <v>1059</v>
      </c>
      <c r="AB1166" s="73">
        <v>0</v>
      </c>
      <c r="AC1166" s="73">
        <v>0</v>
      </c>
      <c r="AD1166" s="73">
        <v>0</v>
      </c>
      <c r="AE1166" s="73">
        <v>0</v>
      </c>
      <c r="AF1166" s="74">
        <f>tblData[[#This Row],[Gross Sales]]+tblData[[#This Row],[Trade Discounts]]+tblData[[#This Row],[Returns]]</f>
        <v>550</v>
      </c>
      <c r="AG1166" s="74">
        <f>tblData[[#This Row],[Material Cost]]+tblData[[#This Row],[Conversion Cost]]+tblData[[#This Row],[Inbound Freight]]</f>
        <v>-256</v>
      </c>
      <c r="AH1166" s="74">
        <f>tblData[[#This Row],[Net Revenue]]+tblData[[#This Row],[COGS]]</f>
        <v>294</v>
      </c>
      <c r="AI1166" s="74">
        <f>tblData[[#This Row],[Advertising]]+tblData[[#This Row],[Promotions]]</f>
        <v>-99</v>
      </c>
      <c r="AJ1166" s="74">
        <f>tblData[[#This Row],[Outbound Logistics]]+tblData[[#This Row],[Direct Selling]]</f>
        <v>-47</v>
      </c>
      <c r="AK1166" s="74">
        <f>tblData[[#This Row],[Gross Profit]]+tblData[[#This Row],[AP Spend]]+tblData[[#This Row],[Cost to Serve]]</f>
        <v>148</v>
      </c>
    </row>
    <row r="1167" spans="2:37" x14ac:dyDescent="0.25">
      <c r="B1167" s="71" t="s">
        <v>51</v>
      </c>
      <c r="C1167" s="71">
        <v>2026</v>
      </c>
      <c r="D1167" s="71">
        <v>7</v>
      </c>
      <c r="E1167" s="71" t="s">
        <v>45</v>
      </c>
      <c r="F1167" s="71" t="s">
        <v>38</v>
      </c>
      <c r="G1167" s="72">
        <v>140.69999999999999</v>
      </c>
      <c r="H1167" s="73">
        <v>1967</v>
      </c>
      <c r="I1167" s="73">
        <v>-450</v>
      </c>
      <c r="J1167" s="73">
        <v>-20</v>
      </c>
      <c r="K1167" s="73">
        <v>-429</v>
      </c>
      <c r="L1167" s="73">
        <v>-106</v>
      </c>
      <c r="M1167" s="73">
        <v>-64</v>
      </c>
      <c r="N1167" s="73">
        <v>-110</v>
      </c>
      <c r="O1167" s="73">
        <v>-63</v>
      </c>
      <c r="P1167" s="73">
        <v>-70</v>
      </c>
      <c r="Q1167" s="73">
        <v>-39</v>
      </c>
      <c r="R1167" s="73">
        <v>0</v>
      </c>
      <c r="S1167" s="73">
        <v>0</v>
      </c>
      <c r="T1167" s="73">
        <v>0</v>
      </c>
      <c r="U1167" s="73">
        <v>0</v>
      </c>
      <c r="V1167" s="73">
        <v>0</v>
      </c>
      <c r="W1167" s="73">
        <v>0</v>
      </c>
      <c r="X1167" s="73">
        <v>0</v>
      </c>
      <c r="Y1167" s="73">
        <v>0</v>
      </c>
      <c r="Z1167" s="73">
        <v>2341</v>
      </c>
      <c r="AA1167" s="73">
        <v>1975</v>
      </c>
      <c r="AB1167" s="73">
        <v>0</v>
      </c>
      <c r="AC1167" s="73">
        <v>0</v>
      </c>
      <c r="AD1167" s="73">
        <v>0</v>
      </c>
      <c r="AE1167" s="73">
        <v>0</v>
      </c>
      <c r="AF1167" s="74">
        <f>tblData[[#This Row],[Gross Sales]]+tblData[[#This Row],[Trade Discounts]]+tblData[[#This Row],[Returns]]</f>
        <v>1497</v>
      </c>
      <c r="AG1167" s="74">
        <f>tblData[[#This Row],[Material Cost]]+tblData[[#This Row],[Conversion Cost]]+tblData[[#This Row],[Inbound Freight]]</f>
        <v>-599</v>
      </c>
      <c r="AH1167" s="74">
        <f>tblData[[#This Row],[Net Revenue]]+tblData[[#This Row],[COGS]]</f>
        <v>898</v>
      </c>
      <c r="AI1167" s="74">
        <f>tblData[[#This Row],[Advertising]]+tblData[[#This Row],[Promotions]]</f>
        <v>-173</v>
      </c>
      <c r="AJ1167" s="74">
        <f>tblData[[#This Row],[Outbound Logistics]]+tblData[[#This Row],[Direct Selling]]</f>
        <v>-109</v>
      </c>
      <c r="AK1167" s="74">
        <f>tblData[[#This Row],[Gross Profit]]+tblData[[#This Row],[AP Spend]]+tblData[[#This Row],[Cost to Serve]]</f>
        <v>616</v>
      </c>
    </row>
    <row r="1168" spans="2:37" x14ac:dyDescent="0.25">
      <c r="B1168" s="71" t="s">
        <v>51</v>
      </c>
      <c r="C1168" s="71">
        <v>2026</v>
      </c>
      <c r="D1168" s="71">
        <v>7</v>
      </c>
      <c r="E1168" s="71" t="s">
        <v>45</v>
      </c>
      <c r="F1168" s="71" t="s">
        <v>39</v>
      </c>
      <c r="G1168" s="72">
        <v>184.3</v>
      </c>
      <c r="H1168" s="73">
        <v>1652</v>
      </c>
      <c r="I1168" s="73">
        <v>-378</v>
      </c>
      <c r="J1168" s="73">
        <v>-17</v>
      </c>
      <c r="K1168" s="73">
        <v>-433</v>
      </c>
      <c r="L1168" s="73">
        <v>-107</v>
      </c>
      <c r="M1168" s="73">
        <v>-65</v>
      </c>
      <c r="N1168" s="73">
        <v>-63</v>
      </c>
      <c r="O1168" s="73">
        <v>-36</v>
      </c>
      <c r="P1168" s="73">
        <v>-59</v>
      </c>
      <c r="Q1168" s="73">
        <v>-33</v>
      </c>
      <c r="R1168" s="73">
        <v>0</v>
      </c>
      <c r="S1168" s="73">
        <v>0</v>
      </c>
      <c r="T1168" s="73">
        <v>0</v>
      </c>
      <c r="U1168" s="73">
        <v>0</v>
      </c>
      <c r="V1168" s="73">
        <v>0</v>
      </c>
      <c r="W1168" s="73">
        <v>0</v>
      </c>
      <c r="X1168" s="73">
        <v>0</v>
      </c>
      <c r="Y1168" s="73">
        <v>0</v>
      </c>
      <c r="Z1168" s="73">
        <v>1964</v>
      </c>
      <c r="AA1168" s="73">
        <v>1687</v>
      </c>
      <c r="AB1168" s="73">
        <v>0</v>
      </c>
      <c r="AC1168" s="73">
        <v>0</v>
      </c>
      <c r="AD1168" s="73">
        <v>0</v>
      </c>
      <c r="AE1168" s="73">
        <v>0</v>
      </c>
      <c r="AF1168" s="74">
        <f>tblData[[#This Row],[Gross Sales]]+tblData[[#This Row],[Trade Discounts]]+tblData[[#This Row],[Returns]]</f>
        <v>1257</v>
      </c>
      <c r="AG1168" s="74">
        <f>tblData[[#This Row],[Material Cost]]+tblData[[#This Row],[Conversion Cost]]+tblData[[#This Row],[Inbound Freight]]</f>
        <v>-605</v>
      </c>
      <c r="AH1168" s="74">
        <f>tblData[[#This Row],[Net Revenue]]+tblData[[#This Row],[COGS]]</f>
        <v>652</v>
      </c>
      <c r="AI1168" s="74">
        <f>tblData[[#This Row],[Advertising]]+tblData[[#This Row],[Promotions]]</f>
        <v>-99</v>
      </c>
      <c r="AJ1168" s="74">
        <f>tblData[[#This Row],[Outbound Logistics]]+tblData[[#This Row],[Direct Selling]]</f>
        <v>-92</v>
      </c>
      <c r="AK1168" s="74">
        <f>tblData[[#This Row],[Gross Profit]]+tblData[[#This Row],[AP Spend]]+tblData[[#This Row],[Cost to Serve]]</f>
        <v>461</v>
      </c>
    </row>
    <row r="1169" spans="2:37" x14ac:dyDescent="0.25">
      <c r="B1169" s="71" t="s">
        <v>51</v>
      </c>
      <c r="C1169" s="71">
        <v>2026</v>
      </c>
      <c r="D1169" s="71">
        <v>7</v>
      </c>
      <c r="E1169" s="71" t="s">
        <v>45</v>
      </c>
      <c r="F1169" s="71" t="s">
        <v>40</v>
      </c>
      <c r="G1169" s="72">
        <v>175.2</v>
      </c>
      <c r="H1169" s="73">
        <v>1219</v>
      </c>
      <c r="I1169" s="73">
        <v>-279</v>
      </c>
      <c r="J1169" s="73">
        <v>-12</v>
      </c>
      <c r="K1169" s="73">
        <v>-355</v>
      </c>
      <c r="L1169" s="73">
        <v>-88</v>
      </c>
      <c r="M1169" s="73">
        <v>-53</v>
      </c>
      <c r="N1169" s="73">
        <v>-31</v>
      </c>
      <c r="O1169" s="73">
        <v>-18</v>
      </c>
      <c r="P1169" s="73">
        <v>-44</v>
      </c>
      <c r="Q1169" s="73">
        <v>-24</v>
      </c>
      <c r="R1169" s="73">
        <v>0</v>
      </c>
      <c r="S1169" s="73">
        <v>0</v>
      </c>
      <c r="T1169" s="73">
        <v>0</v>
      </c>
      <c r="U1169" s="73">
        <v>0</v>
      </c>
      <c r="V1169" s="73">
        <v>0</v>
      </c>
      <c r="W1169" s="73">
        <v>0</v>
      </c>
      <c r="X1169" s="73">
        <v>0</v>
      </c>
      <c r="Y1169" s="73">
        <v>0</v>
      </c>
      <c r="Z1169" s="73">
        <v>1451</v>
      </c>
      <c r="AA1169" s="73">
        <v>1303</v>
      </c>
      <c r="AB1169" s="73">
        <v>0</v>
      </c>
      <c r="AC1169" s="73">
        <v>0</v>
      </c>
      <c r="AD1169" s="73">
        <v>0</v>
      </c>
      <c r="AE1169" s="73">
        <v>0</v>
      </c>
      <c r="AF1169" s="74">
        <f>tblData[[#This Row],[Gross Sales]]+tblData[[#This Row],[Trade Discounts]]+tblData[[#This Row],[Returns]]</f>
        <v>928</v>
      </c>
      <c r="AG1169" s="74">
        <f>tblData[[#This Row],[Material Cost]]+tblData[[#This Row],[Conversion Cost]]+tblData[[#This Row],[Inbound Freight]]</f>
        <v>-496</v>
      </c>
      <c r="AH1169" s="74">
        <f>tblData[[#This Row],[Net Revenue]]+tblData[[#This Row],[COGS]]</f>
        <v>432</v>
      </c>
      <c r="AI1169" s="74">
        <f>tblData[[#This Row],[Advertising]]+tblData[[#This Row],[Promotions]]</f>
        <v>-49</v>
      </c>
      <c r="AJ1169" s="74">
        <f>tblData[[#This Row],[Outbound Logistics]]+tblData[[#This Row],[Direct Selling]]</f>
        <v>-68</v>
      </c>
      <c r="AK1169" s="74">
        <f>tblData[[#This Row],[Gross Profit]]+tblData[[#This Row],[AP Spend]]+tblData[[#This Row],[Cost to Serve]]</f>
        <v>315</v>
      </c>
    </row>
    <row r="1170" spans="2:37" x14ac:dyDescent="0.25">
      <c r="B1170" s="71" t="s">
        <v>51</v>
      </c>
      <c r="C1170" s="71">
        <v>2026</v>
      </c>
      <c r="D1170" s="71">
        <v>7</v>
      </c>
      <c r="E1170" s="71" t="s">
        <v>45</v>
      </c>
      <c r="F1170" s="71" t="s">
        <v>41</v>
      </c>
      <c r="G1170" s="72">
        <v>89.1</v>
      </c>
      <c r="H1170" s="73">
        <v>976</v>
      </c>
      <c r="I1170" s="73">
        <v>-223</v>
      </c>
      <c r="J1170" s="73">
        <v>-10</v>
      </c>
      <c r="K1170" s="73">
        <v>-234</v>
      </c>
      <c r="L1170" s="73">
        <v>-58</v>
      </c>
      <c r="M1170" s="73">
        <v>-35</v>
      </c>
      <c r="N1170" s="73">
        <v>-67</v>
      </c>
      <c r="O1170" s="73">
        <v>-39</v>
      </c>
      <c r="P1170" s="73">
        <v>-35</v>
      </c>
      <c r="Q1170" s="73">
        <v>-20</v>
      </c>
      <c r="R1170" s="73">
        <v>0</v>
      </c>
      <c r="S1170" s="73">
        <v>0</v>
      </c>
      <c r="T1170" s="73">
        <v>0</v>
      </c>
      <c r="U1170" s="73">
        <v>0</v>
      </c>
      <c r="V1170" s="73">
        <v>0</v>
      </c>
      <c r="W1170" s="73">
        <v>0</v>
      </c>
      <c r="X1170" s="73">
        <v>0</v>
      </c>
      <c r="Y1170" s="73">
        <v>0</v>
      </c>
      <c r="Z1170" s="73">
        <v>1158</v>
      </c>
      <c r="AA1170" s="73">
        <v>1020</v>
      </c>
      <c r="AB1170" s="73">
        <v>0</v>
      </c>
      <c r="AC1170" s="73">
        <v>0</v>
      </c>
      <c r="AD1170" s="73">
        <v>0</v>
      </c>
      <c r="AE1170" s="73">
        <v>0</v>
      </c>
      <c r="AF1170" s="74">
        <f>tblData[[#This Row],[Gross Sales]]+tblData[[#This Row],[Trade Discounts]]+tblData[[#This Row],[Returns]]</f>
        <v>743</v>
      </c>
      <c r="AG1170" s="74">
        <f>tblData[[#This Row],[Material Cost]]+tblData[[#This Row],[Conversion Cost]]+tblData[[#This Row],[Inbound Freight]]</f>
        <v>-327</v>
      </c>
      <c r="AH1170" s="74">
        <f>tblData[[#This Row],[Net Revenue]]+tblData[[#This Row],[COGS]]</f>
        <v>416</v>
      </c>
      <c r="AI1170" s="74">
        <f>tblData[[#This Row],[Advertising]]+tblData[[#This Row],[Promotions]]</f>
        <v>-106</v>
      </c>
      <c r="AJ1170" s="74">
        <f>tblData[[#This Row],[Outbound Logistics]]+tblData[[#This Row],[Direct Selling]]</f>
        <v>-55</v>
      </c>
      <c r="AK1170" s="74">
        <f>tblData[[#This Row],[Gross Profit]]+tblData[[#This Row],[AP Spend]]+tblData[[#This Row],[Cost to Serve]]</f>
        <v>255</v>
      </c>
    </row>
    <row r="1171" spans="2:37" x14ac:dyDescent="0.25">
      <c r="B1171" s="71" t="s">
        <v>51</v>
      </c>
      <c r="C1171" s="71">
        <v>2026</v>
      </c>
      <c r="D1171" s="71">
        <v>7</v>
      </c>
      <c r="E1171" s="71" t="s">
        <v>45</v>
      </c>
      <c r="F1171" s="71" t="s">
        <v>42</v>
      </c>
      <c r="G1171" s="72">
        <v>109.1</v>
      </c>
      <c r="H1171" s="73">
        <v>649</v>
      </c>
      <c r="I1171" s="73">
        <v>-148</v>
      </c>
      <c r="J1171" s="73">
        <v>-6</v>
      </c>
      <c r="K1171" s="73">
        <v>-208</v>
      </c>
      <c r="L1171" s="73">
        <v>-51</v>
      </c>
      <c r="M1171" s="73">
        <v>-31</v>
      </c>
      <c r="N1171" s="73">
        <v>-13</v>
      </c>
      <c r="O1171" s="73">
        <v>-8</v>
      </c>
      <c r="P1171" s="73">
        <v>-23</v>
      </c>
      <c r="Q1171" s="73">
        <v>-13</v>
      </c>
      <c r="R1171" s="73">
        <v>0</v>
      </c>
      <c r="S1171" s="73">
        <v>0</v>
      </c>
      <c r="T1171" s="73">
        <v>0</v>
      </c>
      <c r="U1171" s="73">
        <v>0</v>
      </c>
      <c r="V1171" s="73">
        <v>0</v>
      </c>
      <c r="W1171" s="73">
        <v>0</v>
      </c>
      <c r="X1171" s="73">
        <v>0</v>
      </c>
      <c r="Y1171" s="73">
        <v>0</v>
      </c>
      <c r="Z1171" s="73">
        <v>769</v>
      </c>
      <c r="AA1171" s="73">
        <v>1183</v>
      </c>
      <c r="AB1171" s="73">
        <v>0</v>
      </c>
      <c r="AC1171" s="73">
        <v>0</v>
      </c>
      <c r="AD1171" s="73">
        <v>0</v>
      </c>
      <c r="AE1171" s="73">
        <v>0</v>
      </c>
      <c r="AF1171" s="74">
        <f>tblData[[#This Row],[Gross Sales]]+tblData[[#This Row],[Trade Discounts]]+tblData[[#This Row],[Returns]]</f>
        <v>495</v>
      </c>
      <c r="AG1171" s="74">
        <f>tblData[[#This Row],[Material Cost]]+tblData[[#This Row],[Conversion Cost]]+tblData[[#This Row],[Inbound Freight]]</f>
        <v>-290</v>
      </c>
      <c r="AH1171" s="74">
        <f>tblData[[#This Row],[Net Revenue]]+tblData[[#This Row],[COGS]]</f>
        <v>205</v>
      </c>
      <c r="AI1171" s="74">
        <f>tblData[[#This Row],[Advertising]]+tblData[[#This Row],[Promotions]]</f>
        <v>-21</v>
      </c>
      <c r="AJ1171" s="74">
        <f>tblData[[#This Row],[Outbound Logistics]]+tblData[[#This Row],[Direct Selling]]</f>
        <v>-36</v>
      </c>
      <c r="AK1171" s="74">
        <f>tblData[[#This Row],[Gross Profit]]+tblData[[#This Row],[AP Spend]]+tblData[[#This Row],[Cost to Serve]]</f>
        <v>148</v>
      </c>
    </row>
    <row r="1172" spans="2:37" x14ac:dyDescent="0.25">
      <c r="B1172" s="71" t="s">
        <v>51</v>
      </c>
      <c r="C1172" s="71">
        <v>2026</v>
      </c>
      <c r="D1172" s="71">
        <v>7</v>
      </c>
      <c r="E1172" s="71" t="s">
        <v>45</v>
      </c>
      <c r="F1172" s="71" t="s">
        <v>43</v>
      </c>
      <c r="G1172" s="72">
        <v>21</v>
      </c>
      <c r="H1172" s="73">
        <v>376</v>
      </c>
      <c r="I1172" s="73">
        <v>-86</v>
      </c>
      <c r="J1172" s="73">
        <v>-4</v>
      </c>
      <c r="K1172" s="73">
        <v>-104</v>
      </c>
      <c r="L1172" s="73">
        <v>-26</v>
      </c>
      <c r="M1172" s="73">
        <v>-16</v>
      </c>
      <c r="N1172" s="73">
        <v>-37</v>
      </c>
      <c r="O1172" s="73">
        <v>-21</v>
      </c>
      <c r="P1172" s="73">
        <v>-13</v>
      </c>
      <c r="Q1172" s="73">
        <v>-8</v>
      </c>
      <c r="R1172" s="73">
        <v>0</v>
      </c>
      <c r="S1172" s="73">
        <v>0</v>
      </c>
      <c r="T1172" s="73">
        <v>0</v>
      </c>
      <c r="U1172" s="73">
        <v>0</v>
      </c>
      <c r="V1172" s="73">
        <v>0</v>
      </c>
      <c r="W1172" s="73">
        <v>0</v>
      </c>
      <c r="X1172" s="73">
        <v>0</v>
      </c>
      <c r="Y1172" s="73">
        <v>0</v>
      </c>
      <c r="Z1172" s="73">
        <v>448</v>
      </c>
      <c r="AA1172" s="73">
        <v>599</v>
      </c>
      <c r="AB1172" s="73">
        <v>0</v>
      </c>
      <c r="AC1172" s="73">
        <v>0</v>
      </c>
      <c r="AD1172" s="73">
        <v>0</v>
      </c>
      <c r="AE1172" s="73">
        <v>0</v>
      </c>
      <c r="AF1172" s="74">
        <f>tblData[[#This Row],[Gross Sales]]+tblData[[#This Row],[Trade Discounts]]+tblData[[#This Row],[Returns]]</f>
        <v>286</v>
      </c>
      <c r="AG1172" s="74">
        <f>tblData[[#This Row],[Material Cost]]+tblData[[#This Row],[Conversion Cost]]+tblData[[#This Row],[Inbound Freight]]</f>
        <v>-146</v>
      </c>
      <c r="AH1172" s="74">
        <f>tblData[[#This Row],[Net Revenue]]+tblData[[#This Row],[COGS]]</f>
        <v>140</v>
      </c>
      <c r="AI1172" s="74">
        <f>tblData[[#This Row],[Advertising]]+tblData[[#This Row],[Promotions]]</f>
        <v>-58</v>
      </c>
      <c r="AJ1172" s="74">
        <f>tblData[[#This Row],[Outbound Logistics]]+tblData[[#This Row],[Direct Selling]]</f>
        <v>-21</v>
      </c>
      <c r="AK1172" s="74">
        <f>tblData[[#This Row],[Gross Profit]]+tblData[[#This Row],[AP Spend]]+tblData[[#This Row],[Cost to Serve]]</f>
        <v>61</v>
      </c>
    </row>
    <row r="1173" spans="2:37" x14ac:dyDescent="0.25">
      <c r="B1173" s="71" t="s">
        <v>51</v>
      </c>
      <c r="C1173" s="71">
        <v>2026</v>
      </c>
      <c r="D1173" s="71">
        <v>7</v>
      </c>
      <c r="E1173" s="71" t="s">
        <v>46</v>
      </c>
      <c r="F1173" s="71" t="s">
        <v>38</v>
      </c>
      <c r="G1173" s="72">
        <v>174.6</v>
      </c>
      <c r="H1173" s="73">
        <v>2459</v>
      </c>
      <c r="I1173" s="73">
        <v>-267</v>
      </c>
      <c r="J1173" s="73">
        <v>-98</v>
      </c>
      <c r="K1173" s="73">
        <v>-537</v>
      </c>
      <c r="L1173" s="73">
        <v>-133</v>
      </c>
      <c r="M1173" s="73">
        <v>-80</v>
      </c>
      <c r="N1173" s="73">
        <v>-125</v>
      </c>
      <c r="O1173" s="73">
        <v>-72</v>
      </c>
      <c r="P1173" s="73">
        <v>-188</v>
      </c>
      <c r="Q1173" s="73">
        <v>-49</v>
      </c>
      <c r="R1173" s="73">
        <v>0</v>
      </c>
      <c r="S1173" s="73">
        <v>0</v>
      </c>
      <c r="T1173" s="73">
        <v>0</v>
      </c>
      <c r="U1173" s="73">
        <v>0</v>
      </c>
      <c r="V1173" s="73">
        <v>0</v>
      </c>
      <c r="W1173" s="73">
        <v>0</v>
      </c>
      <c r="X1173" s="73">
        <v>0</v>
      </c>
      <c r="Y1173" s="73">
        <v>0</v>
      </c>
      <c r="Z1173" s="73">
        <v>1878</v>
      </c>
      <c r="AA1173" s="73">
        <v>2466</v>
      </c>
      <c r="AB1173" s="73">
        <v>0</v>
      </c>
      <c r="AC1173" s="73">
        <v>0</v>
      </c>
      <c r="AD1173" s="73">
        <v>0</v>
      </c>
      <c r="AE1173" s="73">
        <v>0</v>
      </c>
      <c r="AF1173" s="74">
        <f>tblData[[#This Row],[Gross Sales]]+tblData[[#This Row],[Trade Discounts]]+tblData[[#This Row],[Returns]]</f>
        <v>2094</v>
      </c>
      <c r="AG1173" s="74">
        <f>tblData[[#This Row],[Material Cost]]+tblData[[#This Row],[Conversion Cost]]+tblData[[#This Row],[Inbound Freight]]</f>
        <v>-750</v>
      </c>
      <c r="AH1173" s="74">
        <f>tblData[[#This Row],[Net Revenue]]+tblData[[#This Row],[COGS]]</f>
        <v>1344</v>
      </c>
      <c r="AI1173" s="74">
        <f>tblData[[#This Row],[Advertising]]+tblData[[#This Row],[Promotions]]</f>
        <v>-197</v>
      </c>
      <c r="AJ1173" s="74">
        <f>tblData[[#This Row],[Outbound Logistics]]+tblData[[#This Row],[Direct Selling]]</f>
        <v>-237</v>
      </c>
      <c r="AK1173" s="74">
        <f>tblData[[#This Row],[Gross Profit]]+tblData[[#This Row],[AP Spend]]+tblData[[#This Row],[Cost to Serve]]</f>
        <v>910</v>
      </c>
    </row>
    <row r="1174" spans="2:37" x14ac:dyDescent="0.25">
      <c r="B1174" s="71" t="s">
        <v>51</v>
      </c>
      <c r="C1174" s="71">
        <v>2026</v>
      </c>
      <c r="D1174" s="71">
        <v>7</v>
      </c>
      <c r="E1174" s="71" t="s">
        <v>46</v>
      </c>
      <c r="F1174" s="71" t="s">
        <v>39</v>
      </c>
      <c r="G1174" s="72">
        <v>228.7</v>
      </c>
      <c r="H1174" s="73">
        <v>2064</v>
      </c>
      <c r="I1174" s="73">
        <v>-224</v>
      </c>
      <c r="J1174" s="73">
        <v>-83</v>
      </c>
      <c r="K1174" s="73">
        <v>-541</v>
      </c>
      <c r="L1174" s="73">
        <v>-134</v>
      </c>
      <c r="M1174" s="73">
        <v>-81</v>
      </c>
      <c r="N1174" s="73">
        <v>-72</v>
      </c>
      <c r="O1174" s="73">
        <v>-41</v>
      </c>
      <c r="P1174" s="73">
        <v>-158</v>
      </c>
      <c r="Q1174" s="73">
        <v>-41</v>
      </c>
      <c r="R1174" s="73">
        <v>0</v>
      </c>
      <c r="S1174" s="73">
        <v>0</v>
      </c>
      <c r="T1174" s="73">
        <v>0</v>
      </c>
      <c r="U1174" s="73">
        <v>0</v>
      </c>
      <c r="V1174" s="73">
        <v>0</v>
      </c>
      <c r="W1174" s="73">
        <v>0</v>
      </c>
      <c r="X1174" s="73">
        <v>0</v>
      </c>
      <c r="Y1174" s="73">
        <v>0</v>
      </c>
      <c r="Z1174" s="73">
        <v>1578</v>
      </c>
      <c r="AA1174" s="73">
        <v>2110</v>
      </c>
      <c r="AB1174" s="73">
        <v>0</v>
      </c>
      <c r="AC1174" s="73">
        <v>0</v>
      </c>
      <c r="AD1174" s="73">
        <v>0</v>
      </c>
      <c r="AE1174" s="73">
        <v>0</v>
      </c>
      <c r="AF1174" s="74">
        <f>tblData[[#This Row],[Gross Sales]]+tblData[[#This Row],[Trade Discounts]]+tblData[[#This Row],[Returns]]</f>
        <v>1757</v>
      </c>
      <c r="AG1174" s="74">
        <f>tblData[[#This Row],[Material Cost]]+tblData[[#This Row],[Conversion Cost]]+tblData[[#This Row],[Inbound Freight]]</f>
        <v>-756</v>
      </c>
      <c r="AH1174" s="74">
        <f>tblData[[#This Row],[Net Revenue]]+tblData[[#This Row],[COGS]]</f>
        <v>1001</v>
      </c>
      <c r="AI1174" s="74">
        <f>tblData[[#This Row],[Advertising]]+tblData[[#This Row],[Promotions]]</f>
        <v>-113</v>
      </c>
      <c r="AJ1174" s="74">
        <f>tblData[[#This Row],[Outbound Logistics]]+tblData[[#This Row],[Direct Selling]]</f>
        <v>-199</v>
      </c>
      <c r="AK1174" s="74">
        <f>tblData[[#This Row],[Gross Profit]]+tblData[[#This Row],[AP Spend]]+tblData[[#This Row],[Cost to Serve]]</f>
        <v>689</v>
      </c>
    </row>
    <row r="1175" spans="2:37" x14ac:dyDescent="0.25">
      <c r="B1175" s="71" t="s">
        <v>51</v>
      </c>
      <c r="C1175" s="71">
        <v>2026</v>
      </c>
      <c r="D1175" s="71">
        <v>7</v>
      </c>
      <c r="E1175" s="71" t="s">
        <v>46</v>
      </c>
      <c r="F1175" s="71" t="s">
        <v>40</v>
      </c>
      <c r="G1175" s="72">
        <v>218.7</v>
      </c>
      <c r="H1175" s="73">
        <v>1533</v>
      </c>
      <c r="I1175" s="73">
        <v>-166</v>
      </c>
      <c r="J1175" s="73">
        <v>-61</v>
      </c>
      <c r="K1175" s="73">
        <v>-446</v>
      </c>
      <c r="L1175" s="73">
        <v>-110</v>
      </c>
      <c r="M1175" s="73">
        <v>-67</v>
      </c>
      <c r="N1175" s="73">
        <v>-36</v>
      </c>
      <c r="O1175" s="73">
        <v>-21</v>
      </c>
      <c r="P1175" s="73">
        <v>-117</v>
      </c>
      <c r="Q1175" s="73">
        <v>-31</v>
      </c>
      <c r="R1175" s="73">
        <v>0</v>
      </c>
      <c r="S1175" s="73">
        <v>0</v>
      </c>
      <c r="T1175" s="73">
        <v>0</v>
      </c>
      <c r="U1175" s="73">
        <v>0</v>
      </c>
      <c r="V1175" s="73">
        <v>0</v>
      </c>
      <c r="W1175" s="73">
        <v>0</v>
      </c>
      <c r="X1175" s="73">
        <v>0</v>
      </c>
      <c r="Y1175" s="73">
        <v>0</v>
      </c>
      <c r="Z1175" s="73">
        <v>1167</v>
      </c>
      <c r="AA1175" s="73">
        <v>1630</v>
      </c>
      <c r="AB1175" s="73">
        <v>0</v>
      </c>
      <c r="AC1175" s="73">
        <v>0</v>
      </c>
      <c r="AD1175" s="73">
        <v>0</v>
      </c>
      <c r="AE1175" s="73">
        <v>0</v>
      </c>
      <c r="AF1175" s="74">
        <f>tblData[[#This Row],[Gross Sales]]+tblData[[#This Row],[Trade Discounts]]+tblData[[#This Row],[Returns]]</f>
        <v>1306</v>
      </c>
      <c r="AG1175" s="74">
        <f>tblData[[#This Row],[Material Cost]]+tblData[[#This Row],[Conversion Cost]]+tblData[[#This Row],[Inbound Freight]]</f>
        <v>-623</v>
      </c>
      <c r="AH1175" s="74">
        <f>tblData[[#This Row],[Net Revenue]]+tblData[[#This Row],[COGS]]</f>
        <v>683</v>
      </c>
      <c r="AI1175" s="74">
        <f>tblData[[#This Row],[Advertising]]+tblData[[#This Row],[Promotions]]</f>
        <v>-57</v>
      </c>
      <c r="AJ1175" s="74">
        <f>tblData[[#This Row],[Outbound Logistics]]+tblData[[#This Row],[Direct Selling]]</f>
        <v>-148</v>
      </c>
      <c r="AK1175" s="74">
        <f>tblData[[#This Row],[Gross Profit]]+tblData[[#This Row],[AP Spend]]+tblData[[#This Row],[Cost to Serve]]</f>
        <v>478</v>
      </c>
    </row>
    <row r="1176" spans="2:37" x14ac:dyDescent="0.25">
      <c r="B1176" s="71" t="s">
        <v>51</v>
      </c>
      <c r="C1176" s="71">
        <v>2026</v>
      </c>
      <c r="D1176" s="71">
        <v>7</v>
      </c>
      <c r="E1176" s="71" t="s">
        <v>46</v>
      </c>
      <c r="F1176" s="71" t="s">
        <v>41</v>
      </c>
      <c r="G1176" s="72">
        <v>111</v>
      </c>
      <c r="H1176" s="73">
        <v>1226</v>
      </c>
      <c r="I1176" s="73">
        <v>-133</v>
      </c>
      <c r="J1176" s="73">
        <v>-49</v>
      </c>
      <c r="K1176" s="73">
        <v>-294</v>
      </c>
      <c r="L1176" s="73">
        <v>-73</v>
      </c>
      <c r="M1176" s="73">
        <v>-44</v>
      </c>
      <c r="N1176" s="73">
        <v>-77</v>
      </c>
      <c r="O1176" s="73">
        <v>-44</v>
      </c>
      <c r="P1176" s="73">
        <v>-94</v>
      </c>
      <c r="Q1176" s="73">
        <v>-25</v>
      </c>
      <c r="R1176" s="73">
        <v>0</v>
      </c>
      <c r="S1176" s="73">
        <v>0</v>
      </c>
      <c r="T1176" s="73">
        <v>0</v>
      </c>
      <c r="U1176" s="73">
        <v>0</v>
      </c>
      <c r="V1176" s="73">
        <v>0</v>
      </c>
      <c r="W1176" s="73">
        <v>0</v>
      </c>
      <c r="X1176" s="73">
        <v>0</v>
      </c>
      <c r="Y1176" s="73">
        <v>0</v>
      </c>
      <c r="Z1176" s="73">
        <v>931</v>
      </c>
      <c r="AA1176" s="73">
        <v>1276</v>
      </c>
      <c r="AB1176" s="73">
        <v>0</v>
      </c>
      <c r="AC1176" s="73">
        <v>0</v>
      </c>
      <c r="AD1176" s="73">
        <v>0</v>
      </c>
      <c r="AE1176" s="73">
        <v>0</v>
      </c>
      <c r="AF1176" s="74">
        <f>tblData[[#This Row],[Gross Sales]]+tblData[[#This Row],[Trade Discounts]]+tblData[[#This Row],[Returns]]</f>
        <v>1044</v>
      </c>
      <c r="AG1176" s="74">
        <f>tblData[[#This Row],[Material Cost]]+tblData[[#This Row],[Conversion Cost]]+tblData[[#This Row],[Inbound Freight]]</f>
        <v>-411</v>
      </c>
      <c r="AH1176" s="74">
        <f>tblData[[#This Row],[Net Revenue]]+tblData[[#This Row],[COGS]]</f>
        <v>633</v>
      </c>
      <c r="AI1176" s="74">
        <f>tblData[[#This Row],[Advertising]]+tblData[[#This Row],[Promotions]]</f>
        <v>-121</v>
      </c>
      <c r="AJ1176" s="74">
        <f>tblData[[#This Row],[Outbound Logistics]]+tblData[[#This Row],[Direct Selling]]</f>
        <v>-119</v>
      </c>
      <c r="AK1176" s="74">
        <f>tblData[[#This Row],[Gross Profit]]+tblData[[#This Row],[AP Spend]]+tblData[[#This Row],[Cost to Serve]]</f>
        <v>393</v>
      </c>
    </row>
    <row r="1177" spans="2:37" x14ac:dyDescent="0.25">
      <c r="B1177" s="71" t="s">
        <v>51</v>
      </c>
      <c r="C1177" s="71">
        <v>2026</v>
      </c>
      <c r="D1177" s="71">
        <v>7</v>
      </c>
      <c r="E1177" s="71" t="s">
        <v>46</v>
      </c>
      <c r="F1177" s="71" t="s">
        <v>42</v>
      </c>
      <c r="G1177" s="72">
        <v>135.6</v>
      </c>
      <c r="H1177" s="73">
        <v>813</v>
      </c>
      <c r="I1177" s="73">
        <v>-88</v>
      </c>
      <c r="J1177" s="73">
        <v>-33</v>
      </c>
      <c r="K1177" s="73">
        <v>-260</v>
      </c>
      <c r="L1177" s="73">
        <v>-64</v>
      </c>
      <c r="M1177" s="73">
        <v>-39</v>
      </c>
      <c r="N1177" s="73">
        <v>-15</v>
      </c>
      <c r="O1177" s="73">
        <v>-9</v>
      </c>
      <c r="P1177" s="73">
        <v>-62</v>
      </c>
      <c r="Q1177" s="73">
        <v>-16</v>
      </c>
      <c r="R1177" s="73">
        <v>0</v>
      </c>
      <c r="S1177" s="73">
        <v>0</v>
      </c>
      <c r="T1177" s="73">
        <v>0</v>
      </c>
      <c r="U1177" s="73">
        <v>0</v>
      </c>
      <c r="V1177" s="73">
        <v>0</v>
      </c>
      <c r="W1177" s="73">
        <v>0</v>
      </c>
      <c r="X1177" s="73">
        <v>0</v>
      </c>
      <c r="Y1177" s="73">
        <v>0</v>
      </c>
      <c r="Z1177" s="73">
        <v>619</v>
      </c>
      <c r="AA1177" s="73">
        <v>1482</v>
      </c>
      <c r="AB1177" s="73">
        <v>0</v>
      </c>
      <c r="AC1177" s="73">
        <v>0</v>
      </c>
      <c r="AD1177" s="73">
        <v>0</v>
      </c>
      <c r="AE1177" s="73">
        <v>0</v>
      </c>
      <c r="AF1177" s="74">
        <f>tblData[[#This Row],[Gross Sales]]+tblData[[#This Row],[Trade Discounts]]+tblData[[#This Row],[Returns]]</f>
        <v>692</v>
      </c>
      <c r="AG1177" s="74">
        <f>tblData[[#This Row],[Material Cost]]+tblData[[#This Row],[Conversion Cost]]+tblData[[#This Row],[Inbound Freight]]</f>
        <v>-363</v>
      </c>
      <c r="AH1177" s="74">
        <f>tblData[[#This Row],[Net Revenue]]+tblData[[#This Row],[COGS]]</f>
        <v>329</v>
      </c>
      <c r="AI1177" s="74">
        <f>tblData[[#This Row],[Advertising]]+tblData[[#This Row],[Promotions]]</f>
        <v>-24</v>
      </c>
      <c r="AJ1177" s="74">
        <f>tblData[[#This Row],[Outbound Logistics]]+tblData[[#This Row],[Direct Selling]]</f>
        <v>-78</v>
      </c>
      <c r="AK1177" s="74">
        <f>tblData[[#This Row],[Gross Profit]]+tblData[[#This Row],[AP Spend]]+tblData[[#This Row],[Cost to Serve]]</f>
        <v>227</v>
      </c>
    </row>
    <row r="1178" spans="2:37" x14ac:dyDescent="0.25">
      <c r="B1178" s="71" t="s">
        <v>51</v>
      </c>
      <c r="C1178" s="71">
        <v>2026</v>
      </c>
      <c r="D1178" s="71">
        <v>7</v>
      </c>
      <c r="E1178" s="71" t="s">
        <v>46</v>
      </c>
      <c r="F1178" s="71" t="s">
        <v>43</v>
      </c>
      <c r="G1178" s="72">
        <v>26</v>
      </c>
      <c r="H1178" s="73">
        <v>468</v>
      </c>
      <c r="I1178" s="73">
        <v>-51</v>
      </c>
      <c r="J1178" s="73">
        <v>-19</v>
      </c>
      <c r="K1178" s="73">
        <v>-130</v>
      </c>
      <c r="L1178" s="73">
        <v>-32</v>
      </c>
      <c r="M1178" s="73">
        <v>-19</v>
      </c>
      <c r="N1178" s="73">
        <v>-42</v>
      </c>
      <c r="O1178" s="73">
        <v>-24</v>
      </c>
      <c r="P1178" s="73">
        <v>-36</v>
      </c>
      <c r="Q1178" s="73">
        <v>-9</v>
      </c>
      <c r="R1178" s="73">
        <v>0</v>
      </c>
      <c r="S1178" s="73">
        <v>0</v>
      </c>
      <c r="T1178" s="73">
        <v>0</v>
      </c>
      <c r="U1178" s="73">
        <v>0</v>
      </c>
      <c r="V1178" s="73">
        <v>0</v>
      </c>
      <c r="W1178" s="73">
        <v>0</v>
      </c>
      <c r="X1178" s="73">
        <v>0</v>
      </c>
      <c r="Y1178" s="73">
        <v>0</v>
      </c>
      <c r="Z1178" s="73">
        <v>356</v>
      </c>
      <c r="AA1178" s="73">
        <v>742</v>
      </c>
      <c r="AB1178" s="73">
        <v>0</v>
      </c>
      <c r="AC1178" s="73">
        <v>0</v>
      </c>
      <c r="AD1178" s="73">
        <v>0</v>
      </c>
      <c r="AE1178" s="73">
        <v>0</v>
      </c>
      <c r="AF1178" s="74">
        <f>tblData[[#This Row],[Gross Sales]]+tblData[[#This Row],[Trade Discounts]]+tblData[[#This Row],[Returns]]</f>
        <v>398</v>
      </c>
      <c r="AG1178" s="74">
        <f>tblData[[#This Row],[Material Cost]]+tblData[[#This Row],[Conversion Cost]]+tblData[[#This Row],[Inbound Freight]]</f>
        <v>-181</v>
      </c>
      <c r="AH1178" s="74">
        <f>tblData[[#This Row],[Net Revenue]]+tblData[[#This Row],[COGS]]</f>
        <v>217</v>
      </c>
      <c r="AI1178" s="74">
        <f>tblData[[#This Row],[Advertising]]+tblData[[#This Row],[Promotions]]</f>
        <v>-66</v>
      </c>
      <c r="AJ1178" s="74">
        <f>tblData[[#This Row],[Outbound Logistics]]+tblData[[#This Row],[Direct Selling]]</f>
        <v>-45</v>
      </c>
      <c r="AK1178" s="74">
        <f>tblData[[#This Row],[Gross Profit]]+tblData[[#This Row],[AP Spend]]+tblData[[#This Row],[Cost to Serve]]</f>
        <v>106</v>
      </c>
    </row>
    <row r="1179" spans="2:37" x14ac:dyDescent="0.25">
      <c r="B1179" s="71" t="s">
        <v>51</v>
      </c>
      <c r="C1179" s="71">
        <v>2026</v>
      </c>
      <c r="D1179" s="71">
        <v>7</v>
      </c>
      <c r="E1179" s="71" t="s">
        <v>47</v>
      </c>
      <c r="F1179" s="71" t="s">
        <v>38</v>
      </c>
      <c r="G1179" s="72">
        <v>64.099999999999994</v>
      </c>
      <c r="H1179" s="73">
        <v>906</v>
      </c>
      <c r="I1179" s="73">
        <v>-27</v>
      </c>
      <c r="J1179" s="73">
        <v>-45</v>
      </c>
      <c r="K1179" s="73">
        <v>-198</v>
      </c>
      <c r="L1179" s="73">
        <v>-49</v>
      </c>
      <c r="M1179" s="73">
        <v>-30</v>
      </c>
      <c r="N1179" s="73">
        <v>-47</v>
      </c>
      <c r="O1179" s="73">
        <v>-27</v>
      </c>
      <c r="P1179" s="73">
        <v>-111</v>
      </c>
      <c r="Q1179" s="73">
        <v>-36</v>
      </c>
      <c r="R1179" s="73">
        <v>0</v>
      </c>
      <c r="S1179" s="73">
        <v>0</v>
      </c>
      <c r="T1179" s="73">
        <v>0</v>
      </c>
      <c r="U1179" s="73">
        <v>0</v>
      </c>
      <c r="V1179" s="73">
        <v>0</v>
      </c>
      <c r="W1179" s="73">
        <v>0</v>
      </c>
      <c r="X1179" s="73">
        <v>0</v>
      </c>
      <c r="Y1179" s="73">
        <v>0</v>
      </c>
      <c r="Z1179" s="73">
        <v>139</v>
      </c>
      <c r="AA1179" s="73">
        <v>909</v>
      </c>
      <c r="AB1179" s="73">
        <v>0</v>
      </c>
      <c r="AC1179" s="73">
        <v>0</v>
      </c>
      <c r="AD1179" s="73">
        <v>0</v>
      </c>
      <c r="AE1179" s="73">
        <v>0</v>
      </c>
      <c r="AF1179" s="74">
        <f>tblData[[#This Row],[Gross Sales]]+tblData[[#This Row],[Trade Discounts]]+tblData[[#This Row],[Returns]]</f>
        <v>834</v>
      </c>
      <c r="AG1179" s="74">
        <f>tblData[[#This Row],[Material Cost]]+tblData[[#This Row],[Conversion Cost]]+tblData[[#This Row],[Inbound Freight]]</f>
        <v>-277</v>
      </c>
      <c r="AH1179" s="74">
        <f>tblData[[#This Row],[Net Revenue]]+tblData[[#This Row],[COGS]]</f>
        <v>557</v>
      </c>
      <c r="AI1179" s="74">
        <f>tblData[[#This Row],[Advertising]]+tblData[[#This Row],[Promotions]]</f>
        <v>-74</v>
      </c>
      <c r="AJ1179" s="74">
        <f>tblData[[#This Row],[Outbound Logistics]]+tblData[[#This Row],[Direct Selling]]</f>
        <v>-147</v>
      </c>
      <c r="AK1179" s="74">
        <f>tblData[[#This Row],[Gross Profit]]+tblData[[#This Row],[AP Spend]]+tblData[[#This Row],[Cost to Serve]]</f>
        <v>336</v>
      </c>
    </row>
    <row r="1180" spans="2:37" x14ac:dyDescent="0.25">
      <c r="B1180" s="71" t="s">
        <v>51</v>
      </c>
      <c r="C1180" s="71">
        <v>2026</v>
      </c>
      <c r="D1180" s="71">
        <v>7</v>
      </c>
      <c r="E1180" s="71" t="s">
        <v>47</v>
      </c>
      <c r="F1180" s="71" t="s">
        <v>39</v>
      </c>
      <c r="G1180" s="72">
        <v>84.3</v>
      </c>
      <c r="H1180" s="73">
        <v>763</v>
      </c>
      <c r="I1180" s="73">
        <v>-23</v>
      </c>
      <c r="J1180" s="73">
        <v>-38</v>
      </c>
      <c r="K1180" s="73">
        <v>-200</v>
      </c>
      <c r="L1180" s="73">
        <v>-49</v>
      </c>
      <c r="M1180" s="73">
        <v>-30</v>
      </c>
      <c r="N1180" s="73">
        <v>-27</v>
      </c>
      <c r="O1180" s="73">
        <v>-15</v>
      </c>
      <c r="P1180" s="73">
        <v>-94</v>
      </c>
      <c r="Q1180" s="73">
        <v>-31</v>
      </c>
      <c r="R1180" s="73">
        <v>0</v>
      </c>
      <c r="S1180" s="73">
        <v>0</v>
      </c>
      <c r="T1180" s="73">
        <v>0</v>
      </c>
      <c r="U1180" s="73">
        <v>0</v>
      </c>
      <c r="V1180" s="73">
        <v>0</v>
      </c>
      <c r="W1180" s="73">
        <v>0</v>
      </c>
      <c r="X1180" s="73">
        <v>0</v>
      </c>
      <c r="Y1180" s="73">
        <v>0</v>
      </c>
      <c r="Z1180" s="73">
        <v>116</v>
      </c>
      <c r="AA1180" s="73">
        <v>777</v>
      </c>
      <c r="AB1180" s="73">
        <v>0</v>
      </c>
      <c r="AC1180" s="73">
        <v>0</v>
      </c>
      <c r="AD1180" s="73">
        <v>0</v>
      </c>
      <c r="AE1180" s="73">
        <v>0</v>
      </c>
      <c r="AF1180" s="74">
        <f>tblData[[#This Row],[Gross Sales]]+tblData[[#This Row],[Trade Discounts]]+tblData[[#This Row],[Returns]]</f>
        <v>702</v>
      </c>
      <c r="AG1180" s="74">
        <f>tblData[[#This Row],[Material Cost]]+tblData[[#This Row],[Conversion Cost]]+tblData[[#This Row],[Inbound Freight]]</f>
        <v>-279</v>
      </c>
      <c r="AH1180" s="74">
        <f>tblData[[#This Row],[Net Revenue]]+tblData[[#This Row],[COGS]]</f>
        <v>423</v>
      </c>
      <c r="AI1180" s="74">
        <f>tblData[[#This Row],[Advertising]]+tblData[[#This Row],[Promotions]]</f>
        <v>-42</v>
      </c>
      <c r="AJ1180" s="74">
        <f>tblData[[#This Row],[Outbound Logistics]]+tblData[[#This Row],[Direct Selling]]</f>
        <v>-125</v>
      </c>
      <c r="AK1180" s="74">
        <f>tblData[[#This Row],[Gross Profit]]+tblData[[#This Row],[AP Spend]]+tblData[[#This Row],[Cost to Serve]]</f>
        <v>256</v>
      </c>
    </row>
    <row r="1181" spans="2:37" x14ac:dyDescent="0.25">
      <c r="B1181" s="71" t="s">
        <v>51</v>
      </c>
      <c r="C1181" s="71">
        <v>2026</v>
      </c>
      <c r="D1181" s="71">
        <v>7</v>
      </c>
      <c r="E1181" s="71" t="s">
        <v>47</v>
      </c>
      <c r="F1181" s="71" t="s">
        <v>40</v>
      </c>
      <c r="G1181" s="72">
        <v>80.2</v>
      </c>
      <c r="H1181" s="73">
        <v>564</v>
      </c>
      <c r="I1181" s="73">
        <v>-17</v>
      </c>
      <c r="J1181" s="73">
        <v>-28</v>
      </c>
      <c r="K1181" s="73">
        <v>-164</v>
      </c>
      <c r="L1181" s="73">
        <v>-41</v>
      </c>
      <c r="M1181" s="73">
        <v>-25</v>
      </c>
      <c r="N1181" s="73">
        <v>-13</v>
      </c>
      <c r="O1181" s="73">
        <v>-8</v>
      </c>
      <c r="P1181" s="73">
        <v>-69</v>
      </c>
      <c r="Q1181" s="73">
        <v>-23</v>
      </c>
      <c r="R1181" s="73">
        <v>0</v>
      </c>
      <c r="S1181" s="73">
        <v>0</v>
      </c>
      <c r="T1181" s="73">
        <v>0</v>
      </c>
      <c r="U1181" s="73">
        <v>0</v>
      </c>
      <c r="V1181" s="73">
        <v>0</v>
      </c>
      <c r="W1181" s="73">
        <v>0</v>
      </c>
      <c r="X1181" s="73">
        <v>0</v>
      </c>
      <c r="Y1181" s="73">
        <v>0</v>
      </c>
      <c r="Z1181" s="73">
        <v>86</v>
      </c>
      <c r="AA1181" s="73">
        <v>602</v>
      </c>
      <c r="AB1181" s="73">
        <v>0</v>
      </c>
      <c r="AC1181" s="73">
        <v>0</v>
      </c>
      <c r="AD1181" s="73">
        <v>0</v>
      </c>
      <c r="AE1181" s="73">
        <v>0</v>
      </c>
      <c r="AF1181" s="74">
        <f>tblData[[#This Row],[Gross Sales]]+tblData[[#This Row],[Trade Discounts]]+tblData[[#This Row],[Returns]]</f>
        <v>519</v>
      </c>
      <c r="AG1181" s="74">
        <f>tblData[[#This Row],[Material Cost]]+tblData[[#This Row],[Conversion Cost]]+tblData[[#This Row],[Inbound Freight]]</f>
        <v>-230</v>
      </c>
      <c r="AH1181" s="74">
        <f>tblData[[#This Row],[Net Revenue]]+tblData[[#This Row],[COGS]]</f>
        <v>289</v>
      </c>
      <c r="AI1181" s="74">
        <f>tblData[[#This Row],[Advertising]]+tblData[[#This Row],[Promotions]]</f>
        <v>-21</v>
      </c>
      <c r="AJ1181" s="74">
        <f>tblData[[#This Row],[Outbound Logistics]]+tblData[[#This Row],[Direct Selling]]</f>
        <v>-92</v>
      </c>
      <c r="AK1181" s="74">
        <f>tblData[[#This Row],[Gross Profit]]+tblData[[#This Row],[AP Spend]]+tblData[[#This Row],[Cost to Serve]]</f>
        <v>176</v>
      </c>
    </row>
    <row r="1182" spans="2:37" x14ac:dyDescent="0.25">
      <c r="B1182" s="71" t="s">
        <v>51</v>
      </c>
      <c r="C1182" s="71">
        <v>2026</v>
      </c>
      <c r="D1182" s="71">
        <v>7</v>
      </c>
      <c r="E1182" s="71" t="s">
        <v>47</v>
      </c>
      <c r="F1182" s="71" t="s">
        <v>41</v>
      </c>
      <c r="G1182" s="72">
        <v>40.6</v>
      </c>
      <c r="H1182" s="73">
        <v>449</v>
      </c>
      <c r="I1182" s="73">
        <v>-13</v>
      </c>
      <c r="J1182" s="73">
        <v>-22</v>
      </c>
      <c r="K1182" s="73">
        <v>-108</v>
      </c>
      <c r="L1182" s="73">
        <v>-27</v>
      </c>
      <c r="M1182" s="73">
        <v>-16</v>
      </c>
      <c r="N1182" s="73">
        <v>-29</v>
      </c>
      <c r="O1182" s="73">
        <v>-17</v>
      </c>
      <c r="P1182" s="73">
        <v>-55</v>
      </c>
      <c r="Q1182" s="73">
        <v>-18</v>
      </c>
      <c r="R1182" s="73">
        <v>0</v>
      </c>
      <c r="S1182" s="73">
        <v>0</v>
      </c>
      <c r="T1182" s="73">
        <v>0</v>
      </c>
      <c r="U1182" s="73">
        <v>0</v>
      </c>
      <c r="V1182" s="73">
        <v>0</v>
      </c>
      <c r="W1182" s="73">
        <v>0</v>
      </c>
      <c r="X1182" s="73">
        <v>0</v>
      </c>
      <c r="Y1182" s="73">
        <v>0</v>
      </c>
      <c r="Z1182" s="73">
        <v>68</v>
      </c>
      <c r="AA1182" s="73">
        <v>469</v>
      </c>
      <c r="AB1182" s="73">
        <v>0</v>
      </c>
      <c r="AC1182" s="73">
        <v>0</v>
      </c>
      <c r="AD1182" s="73">
        <v>0</v>
      </c>
      <c r="AE1182" s="73">
        <v>0</v>
      </c>
      <c r="AF1182" s="74">
        <f>tblData[[#This Row],[Gross Sales]]+tblData[[#This Row],[Trade Discounts]]+tblData[[#This Row],[Returns]]</f>
        <v>414</v>
      </c>
      <c r="AG1182" s="74">
        <f>tblData[[#This Row],[Material Cost]]+tblData[[#This Row],[Conversion Cost]]+tblData[[#This Row],[Inbound Freight]]</f>
        <v>-151</v>
      </c>
      <c r="AH1182" s="74">
        <f>tblData[[#This Row],[Net Revenue]]+tblData[[#This Row],[COGS]]</f>
        <v>263</v>
      </c>
      <c r="AI1182" s="74">
        <f>tblData[[#This Row],[Advertising]]+tblData[[#This Row],[Promotions]]</f>
        <v>-46</v>
      </c>
      <c r="AJ1182" s="74">
        <f>tblData[[#This Row],[Outbound Logistics]]+tblData[[#This Row],[Direct Selling]]</f>
        <v>-73</v>
      </c>
      <c r="AK1182" s="74">
        <f>tblData[[#This Row],[Gross Profit]]+tblData[[#This Row],[AP Spend]]+tblData[[#This Row],[Cost to Serve]]</f>
        <v>144</v>
      </c>
    </row>
    <row r="1183" spans="2:37" x14ac:dyDescent="0.25">
      <c r="B1183" s="71" t="s">
        <v>51</v>
      </c>
      <c r="C1183" s="71">
        <v>2026</v>
      </c>
      <c r="D1183" s="71">
        <v>7</v>
      </c>
      <c r="E1183" s="71" t="s">
        <v>47</v>
      </c>
      <c r="F1183" s="71" t="s">
        <v>42</v>
      </c>
      <c r="G1183" s="72">
        <v>49.8</v>
      </c>
      <c r="H1183" s="73">
        <v>299</v>
      </c>
      <c r="I1183" s="73">
        <v>-9</v>
      </c>
      <c r="J1183" s="73">
        <v>-15</v>
      </c>
      <c r="K1183" s="73">
        <v>-96</v>
      </c>
      <c r="L1183" s="73">
        <v>-24</v>
      </c>
      <c r="M1183" s="73">
        <v>-14</v>
      </c>
      <c r="N1183" s="73">
        <v>-6</v>
      </c>
      <c r="O1183" s="73">
        <v>-3</v>
      </c>
      <c r="P1183" s="73">
        <v>-37</v>
      </c>
      <c r="Q1183" s="73">
        <v>-12</v>
      </c>
      <c r="R1183" s="73">
        <v>0</v>
      </c>
      <c r="S1183" s="73">
        <v>0</v>
      </c>
      <c r="T1183" s="73">
        <v>0</v>
      </c>
      <c r="U1183" s="73">
        <v>0</v>
      </c>
      <c r="V1183" s="73">
        <v>0</v>
      </c>
      <c r="W1183" s="73">
        <v>0</v>
      </c>
      <c r="X1183" s="73">
        <v>0</v>
      </c>
      <c r="Y1183" s="73">
        <v>0</v>
      </c>
      <c r="Z1183" s="73">
        <v>46</v>
      </c>
      <c r="AA1183" s="73">
        <v>546</v>
      </c>
      <c r="AB1183" s="73">
        <v>0</v>
      </c>
      <c r="AC1183" s="73">
        <v>0</v>
      </c>
      <c r="AD1183" s="73">
        <v>0</v>
      </c>
      <c r="AE1183" s="73">
        <v>0</v>
      </c>
      <c r="AF1183" s="74">
        <f>tblData[[#This Row],[Gross Sales]]+tblData[[#This Row],[Trade Discounts]]+tblData[[#This Row],[Returns]]</f>
        <v>275</v>
      </c>
      <c r="AG1183" s="74">
        <f>tblData[[#This Row],[Material Cost]]+tblData[[#This Row],[Conversion Cost]]+tblData[[#This Row],[Inbound Freight]]</f>
        <v>-134</v>
      </c>
      <c r="AH1183" s="74">
        <f>tblData[[#This Row],[Net Revenue]]+tblData[[#This Row],[COGS]]</f>
        <v>141</v>
      </c>
      <c r="AI1183" s="74">
        <f>tblData[[#This Row],[Advertising]]+tblData[[#This Row],[Promotions]]</f>
        <v>-9</v>
      </c>
      <c r="AJ1183" s="74">
        <f>tblData[[#This Row],[Outbound Logistics]]+tblData[[#This Row],[Direct Selling]]</f>
        <v>-49</v>
      </c>
      <c r="AK1183" s="74">
        <f>tblData[[#This Row],[Gross Profit]]+tblData[[#This Row],[AP Spend]]+tblData[[#This Row],[Cost to Serve]]</f>
        <v>83</v>
      </c>
    </row>
    <row r="1184" spans="2:37" x14ac:dyDescent="0.25">
      <c r="B1184" s="71" t="s">
        <v>51</v>
      </c>
      <c r="C1184" s="71">
        <v>2026</v>
      </c>
      <c r="D1184" s="71">
        <v>7</v>
      </c>
      <c r="E1184" s="71" t="s">
        <v>47</v>
      </c>
      <c r="F1184" s="71" t="s">
        <v>43</v>
      </c>
      <c r="G1184" s="72">
        <v>9.6</v>
      </c>
      <c r="H1184" s="73">
        <v>173</v>
      </c>
      <c r="I1184" s="73">
        <v>-5</v>
      </c>
      <c r="J1184" s="73">
        <v>-9</v>
      </c>
      <c r="K1184" s="73">
        <v>-48</v>
      </c>
      <c r="L1184" s="73">
        <v>-12</v>
      </c>
      <c r="M1184" s="73">
        <v>-7</v>
      </c>
      <c r="N1184" s="73">
        <v>-16</v>
      </c>
      <c r="O1184" s="73">
        <v>-9</v>
      </c>
      <c r="P1184" s="73">
        <v>-21</v>
      </c>
      <c r="Q1184" s="73">
        <v>-7</v>
      </c>
      <c r="R1184" s="73">
        <v>0</v>
      </c>
      <c r="S1184" s="73">
        <v>0</v>
      </c>
      <c r="T1184" s="73">
        <v>0</v>
      </c>
      <c r="U1184" s="73">
        <v>0</v>
      </c>
      <c r="V1184" s="73">
        <v>0</v>
      </c>
      <c r="W1184" s="73">
        <v>0</v>
      </c>
      <c r="X1184" s="73">
        <v>0</v>
      </c>
      <c r="Y1184" s="73">
        <v>0</v>
      </c>
      <c r="Z1184" s="73">
        <v>26</v>
      </c>
      <c r="AA1184" s="73">
        <v>275</v>
      </c>
      <c r="AB1184" s="73">
        <v>0</v>
      </c>
      <c r="AC1184" s="73">
        <v>0</v>
      </c>
      <c r="AD1184" s="73">
        <v>0</v>
      </c>
      <c r="AE1184" s="73">
        <v>0</v>
      </c>
      <c r="AF1184" s="74">
        <f>tblData[[#This Row],[Gross Sales]]+tblData[[#This Row],[Trade Discounts]]+tblData[[#This Row],[Returns]]</f>
        <v>159</v>
      </c>
      <c r="AG1184" s="74">
        <f>tblData[[#This Row],[Material Cost]]+tblData[[#This Row],[Conversion Cost]]+tblData[[#This Row],[Inbound Freight]]</f>
        <v>-67</v>
      </c>
      <c r="AH1184" s="74">
        <f>tblData[[#This Row],[Net Revenue]]+tblData[[#This Row],[COGS]]</f>
        <v>92</v>
      </c>
      <c r="AI1184" s="74">
        <f>tblData[[#This Row],[Advertising]]+tblData[[#This Row],[Promotions]]</f>
        <v>-25</v>
      </c>
      <c r="AJ1184" s="74">
        <f>tblData[[#This Row],[Outbound Logistics]]+tblData[[#This Row],[Direct Selling]]</f>
        <v>-28</v>
      </c>
      <c r="AK1184" s="74">
        <f>tblData[[#This Row],[Gross Profit]]+tblData[[#This Row],[AP Spend]]+tblData[[#This Row],[Cost to Serve]]</f>
        <v>39</v>
      </c>
    </row>
    <row r="1185" spans="2:37" x14ac:dyDescent="0.25">
      <c r="B1185" s="71" t="s">
        <v>51</v>
      </c>
      <c r="C1185" s="71">
        <v>2026</v>
      </c>
      <c r="D1185" s="71">
        <v>7</v>
      </c>
      <c r="E1185" s="71" t="s">
        <v>48</v>
      </c>
      <c r="F1185" s="71" t="s">
        <v>38</v>
      </c>
      <c r="G1185" s="72">
        <v>103.3</v>
      </c>
      <c r="H1185" s="73">
        <v>1452</v>
      </c>
      <c r="I1185" s="73">
        <v>-131</v>
      </c>
      <c r="J1185" s="73">
        <v>-15</v>
      </c>
      <c r="K1185" s="73">
        <v>-317</v>
      </c>
      <c r="L1185" s="73">
        <v>-78</v>
      </c>
      <c r="M1185" s="73">
        <v>-47</v>
      </c>
      <c r="N1185" s="73">
        <v>-78</v>
      </c>
      <c r="O1185" s="73">
        <v>-45</v>
      </c>
      <c r="P1185" s="73">
        <v>-44</v>
      </c>
      <c r="Q1185" s="73">
        <v>-22</v>
      </c>
      <c r="R1185" s="73">
        <v>0</v>
      </c>
      <c r="S1185" s="73">
        <v>0</v>
      </c>
      <c r="T1185" s="73">
        <v>0</v>
      </c>
      <c r="U1185" s="73">
        <v>0</v>
      </c>
      <c r="V1185" s="73">
        <v>0</v>
      </c>
      <c r="W1185" s="73">
        <v>0</v>
      </c>
      <c r="X1185" s="73">
        <v>0</v>
      </c>
      <c r="Y1185" s="73">
        <v>0</v>
      </c>
      <c r="Z1185" s="73">
        <v>3131</v>
      </c>
      <c r="AA1185" s="73">
        <v>1459</v>
      </c>
      <c r="AB1185" s="73">
        <v>0</v>
      </c>
      <c r="AC1185" s="73">
        <v>0</v>
      </c>
      <c r="AD1185" s="73">
        <v>0</v>
      </c>
      <c r="AE1185" s="73">
        <v>0</v>
      </c>
      <c r="AF1185" s="74">
        <f>tblData[[#This Row],[Gross Sales]]+tblData[[#This Row],[Trade Discounts]]+tblData[[#This Row],[Returns]]</f>
        <v>1306</v>
      </c>
      <c r="AG1185" s="74">
        <f>tblData[[#This Row],[Material Cost]]+tblData[[#This Row],[Conversion Cost]]+tblData[[#This Row],[Inbound Freight]]</f>
        <v>-442</v>
      </c>
      <c r="AH1185" s="74">
        <f>tblData[[#This Row],[Net Revenue]]+tblData[[#This Row],[COGS]]</f>
        <v>864</v>
      </c>
      <c r="AI1185" s="74">
        <f>tblData[[#This Row],[Advertising]]+tblData[[#This Row],[Promotions]]</f>
        <v>-123</v>
      </c>
      <c r="AJ1185" s="74">
        <f>tblData[[#This Row],[Outbound Logistics]]+tblData[[#This Row],[Direct Selling]]</f>
        <v>-66</v>
      </c>
      <c r="AK1185" s="74">
        <f>tblData[[#This Row],[Gross Profit]]+tblData[[#This Row],[AP Spend]]+tblData[[#This Row],[Cost to Serve]]</f>
        <v>675</v>
      </c>
    </row>
    <row r="1186" spans="2:37" x14ac:dyDescent="0.25">
      <c r="B1186" s="71" t="s">
        <v>51</v>
      </c>
      <c r="C1186" s="71">
        <v>2026</v>
      </c>
      <c r="D1186" s="71">
        <v>7</v>
      </c>
      <c r="E1186" s="71" t="s">
        <v>48</v>
      </c>
      <c r="F1186" s="71" t="s">
        <v>39</v>
      </c>
      <c r="G1186" s="72">
        <v>136.4</v>
      </c>
      <c r="H1186" s="73">
        <v>1229</v>
      </c>
      <c r="I1186" s="73">
        <v>-111</v>
      </c>
      <c r="J1186" s="73">
        <v>-12</v>
      </c>
      <c r="K1186" s="73">
        <v>-322</v>
      </c>
      <c r="L1186" s="73">
        <v>-80</v>
      </c>
      <c r="M1186" s="73">
        <v>-48</v>
      </c>
      <c r="N1186" s="73">
        <v>-45</v>
      </c>
      <c r="O1186" s="73">
        <v>-26</v>
      </c>
      <c r="P1186" s="73">
        <v>-38</v>
      </c>
      <c r="Q1186" s="73">
        <v>-18</v>
      </c>
      <c r="R1186" s="73">
        <v>0</v>
      </c>
      <c r="S1186" s="73">
        <v>0</v>
      </c>
      <c r="T1186" s="73">
        <v>0</v>
      </c>
      <c r="U1186" s="73">
        <v>0</v>
      </c>
      <c r="V1186" s="73">
        <v>0</v>
      </c>
      <c r="W1186" s="73">
        <v>0</v>
      </c>
      <c r="X1186" s="73">
        <v>0</v>
      </c>
      <c r="Y1186" s="73">
        <v>0</v>
      </c>
      <c r="Z1186" s="73">
        <v>2643</v>
      </c>
      <c r="AA1186" s="73">
        <v>1254</v>
      </c>
      <c r="AB1186" s="73">
        <v>0</v>
      </c>
      <c r="AC1186" s="73">
        <v>0</v>
      </c>
      <c r="AD1186" s="73">
        <v>0</v>
      </c>
      <c r="AE1186" s="73">
        <v>0</v>
      </c>
      <c r="AF1186" s="74">
        <f>tblData[[#This Row],[Gross Sales]]+tblData[[#This Row],[Trade Discounts]]+tblData[[#This Row],[Returns]]</f>
        <v>1106</v>
      </c>
      <c r="AG1186" s="74">
        <f>tblData[[#This Row],[Material Cost]]+tblData[[#This Row],[Conversion Cost]]+tblData[[#This Row],[Inbound Freight]]</f>
        <v>-450</v>
      </c>
      <c r="AH1186" s="74">
        <f>tblData[[#This Row],[Net Revenue]]+tblData[[#This Row],[COGS]]</f>
        <v>656</v>
      </c>
      <c r="AI1186" s="74">
        <f>tblData[[#This Row],[Advertising]]+tblData[[#This Row],[Promotions]]</f>
        <v>-71</v>
      </c>
      <c r="AJ1186" s="74">
        <f>tblData[[#This Row],[Outbound Logistics]]+tblData[[#This Row],[Direct Selling]]</f>
        <v>-56</v>
      </c>
      <c r="AK1186" s="74">
        <f>tblData[[#This Row],[Gross Profit]]+tblData[[#This Row],[AP Spend]]+tblData[[#This Row],[Cost to Serve]]</f>
        <v>529</v>
      </c>
    </row>
    <row r="1187" spans="2:37" x14ac:dyDescent="0.25">
      <c r="B1187" s="71" t="s">
        <v>51</v>
      </c>
      <c r="C1187" s="71">
        <v>2026</v>
      </c>
      <c r="D1187" s="71">
        <v>7</v>
      </c>
      <c r="E1187" s="71" t="s">
        <v>48</v>
      </c>
      <c r="F1187" s="71" t="s">
        <v>40</v>
      </c>
      <c r="G1187" s="72">
        <v>129.30000000000001</v>
      </c>
      <c r="H1187" s="73">
        <v>905</v>
      </c>
      <c r="I1187" s="73">
        <v>-81</v>
      </c>
      <c r="J1187" s="73">
        <v>-9</v>
      </c>
      <c r="K1187" s="73">
        <v>-263</v>
      </c>
      <c r="L1187" s="73">
        <v>-65</v>
      </c>
      <c r="M1187" s="73">
        <v>-39</v>
      </c>
      <c r="N1187" s="73">
        <v>-22</v>
      </c>
      <c r="O1187" s="73">
        <v>-13</v>
      </c>
      <c r="P1187" s="73">
        <v>-28</v>
      </c>
      <c r="Q1187" s="73">
        <v>-14</v>
      </c>
      <c r="R1187" s="73">
        <v>0</v>
      </c>
      <c r="S1187" s="73">
        <v>0</v>
      </c>
      <c r="T1187" s="73">
        <v>0</v>
      </c>
      <c r="U1187" s="73">
        <v>0</v>
      </c>
      <c r="V1187" s="73">
        <v>0</v>
      </c>
      <c r="W1187" s="73">
        <v>0</v>
      </c>
      <c r="X1187" s="73">
        <v>0</v>
      </c>
      <c r="Y1187" s="73">
        <v>0</v>
      </c>
      <c r="Z1187" s="73">
        <v>1951</v>
      </c>
      <c r="AA1187" s="73">
        <v>967</v>
      </c>
      <c r="AB1187" s="73">
        <v>0</v>
      </c>
      <c r="AC1187" s="73">
        <v>0</v>
      </c>
      <c r="AD1187" s="73">
        <v>0</v>
      </c>
      <c r="AE1187" s="73">
        <v>0</v>
      </c>
      <c r="AF1187" s="74">
        <f>tblData[[#This Row],[Gross Sales]]+tblData[[#This Row],[Trade Discounts]]+tblData[[#This Row],[Returns]]</f>
        <v>815</v>
      </c>
      <c r="AG1187" s="74">
        <f>tblData[[#This Row],[Material Cost]]+tblData[[#This Row],[Conversion Cost]]+tblData[[#This Row],[Inbound Freight]]</f>
        <v>-367</v>
      </c>
      <c r="AH1187" s="74">
        <f>tblData[[#This Row],[Net Revenue]]+tblData[[#This Row],[COGS]]</f>
        <v>448</v>
      </c>
      <c r="AI1187" s="74">
        <f>tblData[[#This Row],[Advertising]]+tblData[[#This Row],[Promotions]]</f>
        <v>-35</v>
      </c>
      <c r="AJ1187" s="74">
        <f>tblData[[#This Row],[Outbound Logistics]]+tblData[[#This Row],[Direct Selling]]</f>
        <v>-42</v>
      </c>
      <c r="AK1187" s="74">
        <f>tblData[[#This Row],[Gross Profit]]+tblData[[#This Row],[AP Spend]]+tblData[[#This Row],[Cost to Serve]]</f>
        <v>371</v>
      </c>
    </row>
    <row r="1188" spans="2:37" x14ac:dyDescent="0.25">
      <c r="B1188" s="71" t="s">
        <v>51</v>
      </c>
      <c r="C1188" s="71">
        <v>2026</v>
      </c>
      <c r="D1188" s="71">
        <v>7</v>
      </c>
      <c r="E1188" s="71" t="s">
        <v>48</v>
      </c>
      <c r="F1188" s="71" t="s">
        <v>41</v>
      </c>
      <c r="G1188" s="72">
        <v>65.5</v>
      </c>
      <c r="H1188" s="73">
        <v>722</v>
      </c>
      <c r="I1188" s="73">
        <v>-65</v>
      </c>
      <c r="J1188" s="73">
        <v>-7</v>
      </c>
      <c r="K1188" s="73">
        <v>-173</v>
      </c>
      <c r="L1188" s="73">
        <v>-43</v>
      </c>
      <c r="M1188" s="73">
        <v>-26</v>
      </c>
      <c r="N1188" s="73">
        <v>-48</v>
      </c>
      <c r="O1188" s="73">
        <v>-28</v>
      </c>
      <c r="P1188" s="73">
        <v>-22</v>
      </c>
      <c r="Q1188" s="73">
        <v>-11</v>
      </c>
      <c r="R1188" s="73">
        <v>0</v>
      </c>
      <c r="S1188" s="73">
        <v>0</v>
      </c>
      <c r="T1188" s="73">
        <v>0</v>
      </c>
      <c r="U1188" s="73">
        <v>0</v>
      </c>
      <c r="V1188" s="73">
        <v>0</v>
      </c>
      <c r="W1188" s="73">
        <v>0</v>
      </c>
      <c r="X1188" s="73">
        <v>0</v>
      </c>
      <c r="Y1188" s="73">
        <v>0</v>
      </c>
      <c r="Z1188" s="73">
        <v>1556</v>
      </c>
      <c r="AA1188" s="73">
        <v>757</v>
      </c>
      <c r="AB1188" s="73">
        <v>0</v>
      </c>
      <c r="AC1188" s="73">
        <v>0</v>
      </c>
      <c r="AD1188" s="73">
        <v>0</v>
      </c>
      <c r="AE1188" s="73">
        <v>0</v>
      </c>
      <c r="AF1188" s="74">
        <f>tblData[[#This Row],[Gross Sales]]+tblData[[#This Row],[Trade Discounts]]+tblData[[#This Row],[Returns]]</f>
        <v>650</v>
      </c>
      <c r="AG1188" s="74">
        <f>tblData[[#This Row],[Material Cost]]+tblData[[#This Row],[Conversion Cost]]+tblData[[#This Row],[Inbound Freight]]</f>
        <v>-242</v>
      </c>
      <c r="AH1188" s="74">
        <f>tblData[[#This Row],[Net Revenue]]+tblData[[#This Row],[COGS]]</f>
        <v>408</v>
      </c>
      <c r="AI1188" s="74">
        <f>tblData[[#This Row],[Advertising]]+tblData[[#This Row],[Promotions]]</f>
        <v>-76</v>
      </c>
      <c r="AJ1188" s="74">
        <f>tblData[[#This Row],[Outbound Logistics]]+tblData[[#This Row],[Direct Selling]]</f>
        <v>-33</v>
      </c>
      <c r="AK1188" s="74">
        <f>tblData[[#This Row],[Gross Profit]]+tblData[[#This Row],[AP Spend]]+tblData[[#This Row],[Cost to Serve]]</f>
        <v>299</v>
      </c>
    </row>
    <row r="1189" spans="2:37" x14ac:dyDescent="0.25">
      <c r="B1189" s="71" t="s">
        <v>51</v>
      </c>
      <c r="C1189" s="71">
        <v>2026</v>
      </c>
      <c r="D1189" s="71">
        <v>7</v>
      </c>
      <c r="E1189" s="71" t="s">
        <v>48</v>
      </c>
      <c r="F1189" s="71" t="s">
        <v>42</v>
      </c>
      <c r="G1189" s="72">
        <v>80.2</v>
      </c>
      <c r="H1189" s="73">
        <v>480</v>
      </c>
      <c r="I1189" s="73">
        <v>-43</v>
      </c>
      <c r="J1189" s="73">
        <v>-5</v>
      </c>
      <c r="K1189" s="73">
        <v>-154</v>
      </c>
      <c r="L1189" s="73">
        <v>-38</v>
      </c>
      <c r="M1189" s="73">
        <v>-23</v>
      </c>
      <c r="N1189" s="73">
        <v>-9</v>
      </c>
      <c r="O1189" s="73">
        <v>-5</v>
      </c>
      <c r="P1189" s="73">
        <v>-15</v>
      </c>
      <c r="Q1189" s="73">
        <v>-7</v>
      </c>
      <c r="R1189" s="73">
        <v>0</v>
      </c>
      <c r="S1189" s="73">
        <v>0</v>
      </c>
      <c r="T1189" s="73">
        <v>0</v>
      </c>
      <c r="U1189" s="73">
        <v>0</v>
      </c>
      <c r="V1189" s="73">
        <v>0</v>
      </c>
      <c r="W1189" s="73">
        <v>0</v>
      </c>
      <c r="X1189" s="73">
        <v>0</v>
      </c>
      <c r="Y1189" s="73">
        <v>0</v>
      </c>
      <c r="Z1189" s="73">
        <v>1031</v>
      </c>
      <c r="AA1189" s="73">
        <v>875</v>
      </c>
      <c r="AB1189" s="73">
        <v>0</v>
      </c>
      <c r="AC1189" s="73">
        <v>0</v>
      </c>
      <c r="AD1189" s="73">
        <v>0</v>
      </c>
      <c r="AE1189" s="73">
        <v>0</v>
      </c>
      <c r="AF1189" s="74">
        <f>tblData[[#This Row],[Gross Sales]]+tblData[[#This Row],[Trade Discounts]]+tblData[[#This Row],[Returns]]</f>
        <v>432</v>
      </c>
      <c r="AG1189" s="74">
        <f>tblData[[#This Row],[Material Cost]]+tblData[[#This Row],[Conversion Cost]]+tblData[[#This Row],[Inbound Freight]]</f>
        <v>-215</v>
      </c>
      <c r="AH1189" s="74">
        <f>tblData[[#This Row],[Net Revenue]]+tblData[[#This Row],[COGS]]</f>
        <v>217</v>
      </c>
      <c r="AI1189" s="74">
        <f>tblData[[#This Row],[Advertising]]+tblData[[#This Row],[Promotions]]</f>
        <v>-14</v>
      </c>
      <c r="AJ1189" s="74">
        <f>tblData[[#This Row],[Outbound Logistics]]+tblData[[#This Row],[Direct Selling]]</f>
        <v>-22</v>
      </c>
      <c r="AK1189" s="74">
        <f>tblData[[#This Row],[Gross Profit]]+tblData[[#This Row],[AP Spend]]+tblData[[#This Row],[Cost to Serve]]</f>
        <v>181</v>
      </c>
    </row>
    <row r="1190" spans="2:37" x14ac:dyDescent="0.25">
      <c r="B1190" s="71" t="s">
        <v>51</v>
      </c>
      <c r="C1190" s="71">
        <v>2026</v>
      </c>
      <c r="D1190" s="71">
        <v>7</v>
      </c>
      <c r="E1190" s="71" t="s">
        <v>48</v>
      </c>
      <c r="F1190" s="71" t="s">
        <v>43</v>
      </c>
      <c r="G1190" s="72">
        <v>15.5</v>
      </c>
      <c r="H1190" s="73">
        <v>279</v>
      </c>
      <c r="I1190" s="73">
        <v>-25</v>
      </c>
      <c r="J1190" s="73">
        <v>-3</v>
      </c>
      <c r="K1190" s="73">
        <v>-77</v>
      </c>
      <c r="L1190" s="73">
        <v>-19</v>
      </c>
      <c r="M1190" s="73">
        <v>-12</v>
      </c>
      <c r="N1190" s="73">
        <v>-26</v>
      </c>
      <c r="O1190" s="73">
        <v>-15</v>
      </c>
      <c r="P1190" s="73">
        <v>-9</v>
      </c>
      <c r="Q1190" s="73">
        <v>-4</v>
      </c>
      <c r="R1190" s="73">
        <v>0</v>
      </c>
      <c r="S1190" s="73">
        <v>0</v>
      </c>
      <c r="T1190" s="73">
        <v>0</v>
      </c>
      <c r="U1190" s="73">
        <v>0</v>
      </c>
      <c r="V1190" s="73">
        <v>0</v>
      </c>
      <c r="W1190" s="73">
        <v>0</v>
      </c>
      <c r="X1190" s="73">
        <v>0</v>
      </c>
      <c r="Y1190" s="73">
        <v>0</v>
      </c>
      <c r="Z1190" s="73">
        <v>597</v>
      </c>
      <c r="AA1190" s="73">
        <v>441</v>
      </c>
      <c r="AB1190" s="73">
        <v>0</v>
      </c>
      <c r="AC1190" s="73">
        <v>0</v>
      </c>
      <c r="AD1190" s="73">
        <v>0</v>
      </c>
      <c r="AE1190" s="73">
        <v>0</v>
      </c>
      <c r="AF1190" s="74">
        <f>tblData[[#This Row],[Gross Sales]]+tblData[[#This Row],[Trade Discounts]]+tblData[[#This Row],[Returns]]</f>
        <v>251</v>
      </c>
      <c r="AG1190" s="74">
        <f>tblData[[#This Row],[Material Cost]]+tblData[[#This Row],[Conversion Cost]]+tblData[[#This Row],[Inbound Freight]]</f>
        <v>-108</v>
      </c>
      <c r="AH1190" s="74">
        <f>tblData[[#This Row],[Net Revenue]]+tblData[[#This Row],[COGS]]</f>
        <v>143</v>
      </c>
      <c r="AI1190" s="74">
        <f>tblData[[#This Row],[Advertising]]+tblData[[#This Row],[Promotions]]</f>
        <v>-41</v>
      </c>
      <c r="AJ1190" s="74">
        <f>tblData[[#This Row],[Outbound Logistics]]+tblData[[#This Row],[Direct Selling]]</f>
        <v>-13</v>
      </c>
      <c r="AK1190" s="74">
        <f>tblData[[#This Row],[Gross Profit]]+tblData[[#This Row],[AP Spend]]+tblData[[#This Row],[Cost to Serve]]</f>
        <v>89</v>
      </c>
    </row>
    <row r="1191" spans="2:37" x14ac:dyDescent="0.25">
      <c r="B1191" s="71" t="s">
        <v>51</v>
      </c>
      <c r="C1191" s="71">
        <v>2026</v>
      </c>
      <c r="D1191" s="71">
        <v>7</v>
      </c>
      <c r="E1191" s="71" t="s">
        <v>49</v>
      </c>
      <c r="F1191" s="71" t="s">
        <v>49</v>
      </c>
      <c r="G1191" s="72">
        <v>0</v>
      </c>
      <c r="H1191" s="73">
        <v>0</v>
      </c>
      <c r="I1191" s="73">
        <v>0</v>
      </c>
      <c r="J1191" s="73">
        <v>0</v>
      </c>
      <c r="K1191" s="73">
        <v>0</v>
      </c>
      <c r="L1191" s="73">
        <v>0</v>
      </c>
      <c r="M1191" s="73">
        <v>0</v>
      </c>
      <c r="N1191" s="73">
        <v>0</v>
      </c>
      <c r="O1191" s="73">
        <v>0</v>
      </c>
      <c r="P1191" s="73">
        <v>0</v>
      </c>
      <c r="Q1191" s="73">
        <v>0</v>
      </c>
      <c r="R1191" s="73">
        <v>-4321</v>
      </c>
      <c r="S1191" s="73">
        <v>-1004</v>
      </c>
      <c r="T1191" s="73">
        <v>-1288</v>
      </c>
      <c r="U1191" s="73">
        <v>-1094</v>
      </c>
      <c r="V1191" s="73">
        <v>-1480</v>
      </c>
      <c r="W1191" s="73">
        <v>-694</v>
      </c>
      <c r="X1191" s="73">
        <v>-1521</v>
      </c>
      <c r="Y1191" s="73">
        <v>-1289</v>
      </c>
      <c r="Z1191" s="73">
        <v>0</v>
      </c>
      <c r="AA1191" s="73">
        <v>0</v>
      </c>
      <c r="AB1191" s="73">
        <v>33683</v>
      </c>
      <c r="AC1191" s="73">
        <v>51334</v>
      </c>
      <c r="AD1191" s="73">
        <v>185000</v>
      </c>
      <c r="AE1191" s="73">
        <v>1190</v>
      </c>
      <c r="AF1191" s="74">
        <f>tblData[[#This Row],[Gross Sales]]+tblData[[#This Row],[Trade Discounts]]+tblData[[#This Row],[Returns]]</f>
        <v>0</v>
      </c>
      <c r="AG1191" s="74">
        <f>tblData[[#This Row],[Material Cost]]+tblData[[#This Row],[Conversion Cost]]+tblData[[#This Row],[Inbound Freight]]</f>
        <v>0</v>
      </c>
      <c r="AH1191" s="74">
        <f>tblData[[#This Row],[Net Revenue]]+tblData[[#This Row],[COGS]]</f>
        <v>0</v>
      </c>
      <c r="AI1191" s="74">
        <f>tblData[[#This Row],[Advertising]]+tblData[[#This Row],[Promotions]]</f>
        <v>0</v>
      </c>
      <c r="AJ1191" s="74">
        <f>tblData[[#This Row],[Outbound Logistics]]+tblData[[#This Row],[Direct Selling]]</f>
        <v>0</v>
      </c>
      <c r="AK1191" s="74">
        <f>tblData[[#This Row],[Gross Profit]]+tblData[[#This Row],[AP Spend]]+tblData[[#This Row],[Cost to Serve]]</f>
        <v>0</v>
      </c>
    </row>
    <row r="1192" spans="2:37" x14ac:dyDescent="0.25">
      <c r="B1192" s="71" t="s">
        <v>51</v>
      </c>
      <c r="C1192" s="71">
        <v>2026</v>
      </c>
      <c r="D1192" s="71">
        <v>8</v>
      </c>
      <c r="E1192" s="71" t="s">
        <v>37</v>
      </c>
      <c r="F1192" s="71" t="s">
        <v>38</v>
      </c>
      <c r="G1192" s="72">
        <v>307.60000000000002</v>
      </c>
      <c r="H1192" s="73">
        <v>4325</v>
      </c>
      <c r="I1192" s="73">
        <v>-841</v>
      </c>
      <c r="J1192" s="73">
        <v>-65</v>
      </c>
      <c r="K1192" s="73">
        <v>-944</v>
      </c>
      <c r="L1192" s="73">
        <v>-234</v>
      </c>
      <c r="M1192" s="73">
        <v>-141</v>
      </c>
      <c r="N1192" s="73">
        <v>-241</v>
      </c>
      <c r="O1192" s="73">
        <v>-139</v>
      </c>
      <c r="P1192" s="73">
        <v>-177</v>
      </c>
      <c r="Q1192" s="73">
        <v>-130</v>
      </c>
      <c r="R1192" s="73">
        <v>0</v>
      </c>
      <c r="S1192" s="73">
        <v>0</v>
      </c>
      <c r="T1192" s="73">
        <v>0</v>
      </c>
      <c r="U1192" s="73">
        <v>0</v>
      </c>
      <c r="V1192" s="73">
        <v>0</v>
      </c>
      <c r="W1192" s="73">
        <v>0</v>
      </c>
      <c r="X1192" s="73">
        <v>0</v>
      </c>
      <c r="Y1192" s="73">
        <v>0</v>
      </c>
      <c r="Z1192" s="73">
        <v>6350</v>
      </c>
      <c r="AA1192" s="73">
        <v>4253</v>
      </c>
      <c r="AB1192" s="73">
        <v>0</v>
      </c>
      <c r="AC1192" s="73">
        <v>0</v>
      </c>
      <c r="AD1192" s="73">
        <v>0</v>
      </c>
      <c r="AE1192" s="73">
        <v>0</v>
      </c>
      <c r="AF1192" s="74">
        <f>tblData[[#This Row],[Gross Sales]]+tblData[[#This Row],[Trade Discounts]]+tblData[[#This Row],[Returns]]</f>
        <v>3419</v>
      </c>
      <c r="AG1192" s="74">
        <f>tblData[[#This Row],[Material Cost]]+tblData[[#This Row],[Conversion Cost]]+tblData[[#This Row],[Inbound Freight]]</f>
        <v>-1319</v>
      </c>
      <c r="AH1192" s="74">
        <f>tblData[[#This Row],[Net Revenue]]+tblData[[#This Row],[COGS]]</f>
        <v>2100</v>
      </c>
      <c r="AI1192" s="74">
        <f>tblData[[#This Row],[Advertising]]+tblData[[#This Row],[Promotions]]</f>
        <v>-380</v>
      </c>
      <c r="AJ1192" s="74">
        <f>tblData[[#This Row],[Outbound Logistics]]+tblData[[#This Row],[Direct Selling]]</f>
        <v>-307</v>
      </c>
      <c r="AK1192" s="74">
        <f>tblData[[#This Row],[Gross Profit]]+tblData[[#This Row],[AP Spend]]+tblData[[#This Row],[Cost to Serve]]</f>
        <v>1413</v>
      </c>
    </row>
    <row r="1193" spans="2:37" x14ac:dyDescent="0.25">
      <c r="B1193" s="71" t="s">
        <v>51</v>
      </c>
      <c r="C1193" s="71">
        <v>2026</v>
      </c>
      <c r="D1193" s="71">
        <v>8</v>
      </c>
      <c r="E1193" s="71" t="s">
        <v>37</v>
      </c>
      <c r="F1193" s="71" t="s">
        <v>39</v>
      </c>
      <c r="G1193" s="72">
        <v>403.5</v>
      </c>
      <c r="H1193" s="73">
        <v>3636</v>
      </c>
      <c r="I1193" s="73">
        <v>-707</v>
      </c>
      <c r="J1193" s="73">
        <v>-55</v>
      </c>
      <c r="K1193" s="73">
        <v>-953</v>
      </c>
      <c r="L1193" s="73">
        <v>-236</v>
      </c>
      <c r="M1193" s="73">
        <v>-142</v>
      </c>
      <c r="N1193" s="73">
        <v>-138</v>
      </c>
      <c r="O1193" s="73">
        <v>-79</v>
      </c>
      <c r="P1193" s="73">
        <v>-149</v>
      </c>
      <c r="Q1193" s="73">
        <v>-109</v>
      </c>
      <c r="R1193" s="73">
        <v>0</v>
      </c>
      <c r="S1193" s="73">
        <v>0</v>
      </c>
      <c r="T1193" s="73">
        <v>0</v>
      </c>
      <c r="U1193" s="73">
        <v>0</v>
      </c>
      <c r="V1193" s="73">
        <v>0</v>
      </c>
      <c r="W1193" s="73">
        <v>0</v>
      </c>
      <c r="X1193" s="73">
        <v>0</v>
      </c>
      <c r="Y1193" s="73">
        <v>0</v>
      </c>
      <c r="Z1193" s="73">
        <v>5339</v>
      </c>
      <c r="AA1193" s="73">
        <v>3641</v>
      </c>
      <c r="AB1193" s="73">
        <v>0</v>
      </c>
      <c r="AC1193" s="73">
        <v>0</v>
      </c>
      <c r="AD1193" s="73">
        <v>0</v>
      </c>
      <c r="AE1193" s="73">
        <v>0</v>
      </c>
      <c r="AF1193" s="74">
        <f>tblData[[#This Row],[Gross Sales]]+tblData[[#This Row],[Trade Discounts]]+tblData[[#This Row],[Returns]]</f>
        <v>2874</v>
      </c>
      <c r="AG1193" s="74">
        <f>tblData[[#This Row],[Material Cost]]+tblData[[#This Row],[Conversion Cost]]+tblData[[#This Row],[Inbound Freight]]</f>
        <v>-1331</v>
      </c>
      <c r="AH1193" s="74">
        <f>tblData[[#This Row],[Net Revenue]]+tblData[[#This Row],[COGS]]</f>
        <v>1543</v>
      </c>
      <c r="AI1193" s="74">
        <f>tblData[[#This Row],[Advertising]]+tblData[[#This Row],[Promotions]]</f>
        <v>-217</v>
      </c>
      <c r="AJ1193" s="74">
        <f>tblData[[#This Row],[Outbound Logistics]]+tblData[[#This Row],[Direct Selling]]</f>
        <v>-258</v>
      </c>
      <c r="AK1193" s="74">
        <f>tblData[[#This Row],[Gross Profit]]+tblData[[#This Row],[AP Spend]]+tblData[[#This Row],[Cost to Serve]]</f>
        <v>1068</v>
      </c>
    </row>
    <row r="1194" spans="2:37" x14ac:dyDescent="0.25">
      <c r="B1194" s="71" t="s">
        <v>51</v>
      </c>
      <c r="C1194" s="71">
        <v>2026</v>
      </c>
      <c r="D1194" s="71">
        <v>8</v>
      </c>
      <c r="E1194" s="71" t="s">
        <v>37</v>
      </c>
      <c r="F1194" s="71" t="s">
        <v>40</v>
      </c>
      <c r="G1194" s="72">
        <v>382.4</v>
      </c>
      <c r="H1194" s="73">
        <v>2677</v>
      </c>
      <c r="I1194" s="73">
        <v>-520</v>
      </c>
      <c r="J1194" s="73">
        <v>-40</v>
      </c>
      <c r="K1194" s="73">
        <v>-779</v>
      </c>
      <c r="L1194" s="73">
        <v>-193</v>
      </c>
      <c r="M1194" s="73">
        <v>-116</v>
      </c>
      <c r="N1194" s="73">
        <v>-69</v>
      </c>
      <c r="O1194" s="73">
        <v>-40</v>
      </c>
      <c r="P1194" s="73">
        <v>-109</v>
      </c>
      <c r="Q1194" s="73">
        <v>-80</v>
      </c>
      <c r="R1194" s="73">
        <v>0</v>
      </c>
      <c r="S1194" s="73">
        <v>0</v>
      </c>
      <c r="T1194" s="73">
        <v>0</v>
      </c>
      <c r="U1194" s="73">
        <v>0</v>
      </c>
      <c r="V1194" s="73">
        <v>0</v>
      </c>
      <c r="W1194" s="73">
        <v>0</v>
      </c>
      <c r="X1194" s="73">
        <v>0</v>
      </c>
      <c r="Y1194" s="73">
        <v>0</v>
      </c>
      <c r="Z1194" s="73">
        <v>3943</v>
      </c>
      <c r="AA1194" s="73">
        <v>2810</v>
      </c>
      <c r="AB1194" s="73">
        <v>0</v>
      </c>
      <c r="AC1194" s="73">
        <v>0</v>
      </c>
      <c r="AD1194" s="73">
        <v>0</v>
      </c>
      <c r="AE1194" s="73">
        <v>0</v>
      </c>
      <c r="AF1194" s="74">
        <f>tblData[[#This Row],[Gross Sales]]+tblData[[#This Row],[Trade Discounts]]+tblData[[#This Row],[Returns]]</f>
        <v>2117</v>
      </c>
      <c r="AG1194" s="74">
        <f>tblData[[#This Row],[Material Cost]]+tblData[[#This Row],[Conversion Cost]]+tblData[[#This Row],[Inbound Freight]]</f>
        <v>-1088</v>
      </c>
      <c r="AH1194" s="74">
        <f>tblData[[#This Row],[Net Revenue]]+tblData[[#This Row],[COGS]]</f>
        <v>1029</v>
      </c>
      <c r="AI1194" s="74">
        <f>tblData[[#This Row],[Advertising]]+tblData[[#This Row],[Promotions]]</f>
        <v>-109</v>
      </c>
      <c r="AJ1194" s="74">
        <f>tblData[[#This Row],[Outbound Logistics]]+tblData[[#This Row],[Direct Selling]]</f>
        <v>-189</v>
      </c>
      <c r="AK1194" s="74">
        <f>tblData[[#This Row],[Gross Profit]]+tblData[[#This Row],[AP Spend]]+tblData[[#This Row],[Cost to Serve]]</f>
        <v>731</v>
      </c>
    </row>
    <row r="1195" spans="2:37" x14ac:dyDescent="0.25">
      <c r="B1195" s="71" t="s">
        <v>51</v>
      </c>
      <c r="C1195" s="71">
        <v>2026</v>
      </c>
      <c r="D1195" s="71">
        <v>8</v>
      </c>
      <c r="E1195" s="71" t="s">
        <v>37</v>
      </c>
      <c r="F1195" s="71" t="s">
        <v>41</v>
      </c>
      <c r="G1195" s="72">
        <v>193.3</v>
      </c>
      <c r="H1195" s="73">
        <v>2131</v>
      </c>
      <c r="I1195" s="73">
        <v>-414</v>
      </c>
      <c r="J1195" s="73">
        <v>-32</v>
      </c>
      <c r="K1195" s="73">
        <v>-512</v>
      </c>
      <c r="L1195" s="73">
        <v>-127</v>
      </c>
      <c r="M1195" s="73">
        <v>-76</v>
      </c>
      <c r="N1195" s="73">
        <v>-147</v>
      </c>
      <c r="O1195" s="73">
        <v>-85</v>
      </c>
      <c r="P1195" s="73">
        <v>-87</v>
      </c>
      <c r="Q1195" s="73">
        <v>-64</v>
      </c>
      <c r="R1195" s="73">
        <v>0</v>
      </c>
      <c r="S1195" s="73">
        <v>0</v>
      </c>
      <c r="T1195" s="73">
        <v>0</v>
      </c>
      <c r="U1195" s="73">
        <v>0</v>
      </c>
      <c r="V1195" s="73">
        <v>0</v>
      </c>
      <c r="W1195" s="73">
        <v>0</v>
      </c>
      <c r="X1195" s="73">
        <v>0</v>
      </c>
      <c r="Y1195" s="73">
        <v>0</v>
      </c>
      <c r="Z1195" s="73">
        <v>3132</v>
      </c>
      <c r="AA1195" s="73">
        <v>2191</v>
      </c>
      <c r="AB1195" s="73">
        <v>0</v>
      </c>
      <c r="AC1195" s="73">
        <v>0</v>
      </c>
      <c r="AD1195" s="73">
        <v>0</v>
      </c>
      <c r="AE1195" s="73">
        <v>0</v>
      </c>
      <c r="AF1195" s="74">
        <f>tblData[[#This Row],[Gross Sales]]+tblData[[#This Row],[Trade Discounts]]+tblData[[#This Row],[Returns]]</f>
        <v>1685</v>
      </c>
      <c r="AG1195" s="74">
        <f>tblData[[#This Row],[Material Cost]]+tblData[[#This Row],[Conversion Cost]]+tblData[[#This Row],[Inbound Freight]]</f>
        <v>-715</v>
      </c>
      <c r="AH1195" s="74">
        <f>tblData[[#This Row],[Net Revenue]]+tblData[[#This Row],[COGS]]</f>
        <v>970</v>
      </c>
      <c r="AI1195" s="74">
        <f>tblData[[#This Row],[Advertising]]+tblData[[#This Row],[Promotions]]</f>
        <v>-232</v>
      </c>
      <c r="AJ1195" s="74">
        <f>tblData[[#This Row],[Outbound Logistics]]+tblData[[#This Row],[Direct Selling]]</f>
        <v>-151</v>
      </c>
      <c r="AK1195" s="74">
        <f>tblData[[#This Row],[Gross Profit]]+tblData[[#This Row],[AP Spend]]+tblData[[#This Row],[Cost to Serve]]</f>
        <v>587</v>
      </c>
    </row>
    <row r="1196" spans="2:37" x14ac:dyDescent="0.25">
      <c r="B1196" s="71" t="s">
        <v>51</v>
      </c>
      <c r="C1196" s="71">
        <v>2026</v>
      </c>
      <c r="D1196" s="71">
        <v>8</v>
      </c>
      <c r="E1196" s="71" t="s">
        <v>37</v>
      </c>
      <c r="F1196" s="71" t="s">
        <v>42</v>
      </c>
      <c r="G1196" s="72">
        <v>235.9</v>
      </c>
      <c r="H1196" s="73">
        <v>1411</v>
      </c>
      <c r="I1196" s="73">
        <v>-274</v>
      </c>
      <c r="J1196" s="73">
        <v>-21</v>
      </c>
      <c r="K1196" s="73">
        <v>-452</v>
      </c>
      <c r="L1196" s="73">
        <v>-112</v>
      </c>
      <c r="M1196" s="73">
        <v>-67</v>
      </c>
      <c r="N1196" s="73">
        <v>-29</v>
      </c>
      <c r="O1196" s="73">
        <v>-17</v>
      </c>
      <c r="P1196" s="73">
        <v>-58</v>
      </c>
      <c r="Q1196" s="73">
        <v>-42</v>
      </c>
      <c r="R1196" s="73">
        <v>0</v>
      </c>
      <c r="S1196" s="73">
        <v>0</v>
      </c>
      <c r="T1196" s="73">
        <v>0</v>
      </c>
      <c r="U1196" s="73">
        <v>0</v>
      </c>
      <c r="V1196" s="73">
        <v>0</v>
      </c>
      <c r="W1196" s="73">
        <v>0</v>
      </c>
      <c r="X1196" s="73">
        <v>0</v>
      </c>
      <c r="Y1196" s="73">
        <v>0</v>
      </c>
      <c r="Z1196" s="73">
        <v>2086</v>
      </c>
      <c r="AA1196" s="73">
        <v>2546</v>
      </c>
      <c r="AB1196" s="73">
        <v>0</v>
      </c>
      <c r="AC1196" s="73">
        <v>0</v>
      </c>
      <c r="AD1196" s="73">
        <v>0</v>
      </c>
      <c r="AE1196" s="73">
        <v>0</v>
      </c>
      <c r="AF1196" s="74">
        <f>tblData[[#This Row],[Gross Sales]]+tblData[[#This Row],[Trade Discounts]]+tblData[[#This Row],[Returns]]</f>
        <v>1116</v>
      </c>
      <c r="AG1196" s="74">
        <f>tblData[[#This Row],[Material Cost]]+tblData[[#This Row],[Conversion Cost]]+tblData[[#This Row],[Inbound Freight]]</f>
        <v>-631</v>
      </c>
      <c r="AH1196" s="74">
        <f>tblData[[#This Row],[Net Revenue]]+tblData[[#This Row],[COGS]]</f>
        <v>485</v>
      </c>
      <c r="AI1196" s="74">
        <f>tblData[[#This Row],[Advertising]]+tblData[[#This Row],[Promotions]]</f>
        <v>-46</v>
      </c>
      <c r="AJ1196" s="74">
        <f>tblData[[#This Row],[Outbound Logistics]]+tblData[[#This Row],[Direct Selling]]</f>
        <v>-100</v>
      </c>
      <c r="AK1196" s="74">
        <f>tblData[[#This Row],[Gross Profit]]+tblData[[#This Row],[AP Spend]]+tblData[[#This Row],[Cost to Serve]]</f>
        <v>339</v>
      </c>
    </row>
    <row r="1197" spans="2:37" x14ac:dyDescent="0.25">
      <c r="B1197" s="71" t="s">
        <v>51</v>
      </c>
      <c r="C1197" s="71">
        <v>2026</v>
      </c>
      <c r="D1197" s="71">
        <v>8</v>
      </c>
      <c r="E1197" s="71" t="s">
        <v>37</v>
      </c>
      <c r="F1197" s="71" t="s">
        <v>43</v>
      </c>
      <c r="G1197" s="72">
        <v>45.6</v>
      </c>
      <c r="H1197" s="73">
        <v>821</v>
      </c>
      <c r="I1197" s="73">
        <v>-160</v>
      </c>
      <c r="J1197" s="73">
        <v>-12</v>
      </c>
      <c r="K1197" s="73">
        <v>-227</v>
      </c>
      <c r="L1197" s="73">
        <v>-56</v>
      </c>
      <c r="M1197" s="73">
        <v>-34</v>
      </c>
      <c r="N1197" s="73">
        <v>-80</v>
      </c>
      <c r="O1197" s="73">
        <v>-46</v>
      </c>
      <c r="P1197" s="73">
        <v>-34</v>
      </c>
      <c r="Q1197" s="73">
        <v>-25</v>
      </c>
      <c r="R1197" s="73">
        <v>0</v>
      </c>
      <c r="S1197" s="73">
        <v>0</v>
      </c>
      <c r="T1197" s="73">
        <v>0</v>
      </c>
      <c r="U1197" s="73">
        <v>0</v>
      </c>
      <c r="V1197" s="73">
        <v>0</v>
      </c>
      <c r="W1197" s="73">
        <v>0</v>
      </c>
      <c r="X1197" s="73">
        <v>0</v>
      </c>
      <c r="Y1197" s="73">
        <v>0</v>
      </c>
      <c r="Z1197" s="73">
        <v>1208</v>
      </c>
      <c r="AA1197" s="73">
        <v>1284</v>
      </c>
      <c r="AB1197" s="73">
        <v>0</v>
      </c>
      <c r="AC1197" s="73">
        <v>0</v>
      </c>
      <c r="AD1197" s="73">
        <v>0</v>
      </c>
      <c r="AE1197" s="73">
        <v>0</v>
      </c>
      <c r="AF1197" s="74">
        <f>tblData[[#This Row],[Gross Sales]]+tblData[[#This Row],[Trade Discounts]]+tblData[[#This Row],[Returns]]</f>
        <v>649</v>
      </c>
      <c r="AG1197" s="74">
        <f>tblData[[#This Row],[Material Cost]]+tblData[[#This Row],[Conversion Cost]]+tblData[[#This Row],[Inbound Freight]]</f>
        <v>-317</v>
      </c>
      <c r="AH1197" s="74">
        <f>tblData[[#This Row],[Net Revenue]]+tblData[[#This Row],[COGS]]</f>
        <v>332</v>
      </c>
      <c r="AI1197" s="74">
        <f>tblData[[#This Row],[Advertising]]+tblData[[#This Row],[Promotions]]</f>
        <v>-126</v>
      </c>
      <c r="AJ1197" s="74">
        <f>tblData[[#This Row],[Outbound Logistics]]+tblData[[#This Row],[Direct Selling]]</f>
        <v>-59</v>
      </c>
      <c r="AK1197" s="74">
        <f>tblData[[#This Row],[Gross Profit]]+tblData[[#This Row],[AP Spend]]+tblData[[#This Row],[Cost to Serve]]</f>
        <v>147</v>
      </c>
    </row>
    <row r="1198" spans="2:37" x14ac:dyDescent="0.25">
      <c r="B1198" s="71" t="s">
        <v>51</v>
      </c>
      <c r="C1198" s="71">
        <v>2026</v>
      </c>
      <c r="D1198" s="71">
        <v>8</v>
      </c>
      <c r="E1198" s="71" t="s">
        <v>44</v>
      </c>
      <c r="F1198" s="71" t="s">
        <v>38</v>
      </c>
      <c r="G1198" s="72">
        <v>252.8</v>
      </c>
      <c r="H1198" s="73">
        <v>3565</v>
      </c>
      <c r="I1198" s="73">
        <v>-575</v>
      </c>
      <c r="J1198" s="73">
        <v>-43</v>
      </c>
      <c r="K1198" s="73">
        <v>-778</v>
      </c>
      <c r="L1198" s="73">
        <v>-192</v>
      </c>
      <c r="M1198" s="73">
        <v>-116</v>
      </c>
      <c r="N1198" s="73">
        <v>-193</v>
      </c>
      <c r="O1198" s="73">
        <v>-111</v>
      </c>
      <c r="P1198" s="73">
        <v>-146</v>
      </c>
      <c r="Q1198" s="73">
        <v>-107</v>
      </c>
      <c r="R1198" s="73">
        <v>0</v>
      </c>
      <c r="S1198" s="73">
        <v>0</v>
      </c>
      <c r="T1198" s="73">
        <v>0</v>
      </c>
      <c r="U1198" s="73">
        <v>0</v>
      </c>
      <c r="V1198" s="73">
        <v>0</v>
      </c>
      <c r="W1198" s="73">
        <v>0</v>
      </c>
      <c r="X1198" s="73">
        <v>0</v>
      </c>
      <c r="Y1198" s="73">
        <v>0</v>
      </c>
      <c r="Z1198" s="73">
        <v>5009</v>
      </c>
      <c r="AA1198" s="73">
        <v>3518</v>
      </c>
      <c r="AB1198" s="73">
        <v>0</v>
      </c>
      <c r="AC1198" s="73">
        <v>0</v>
      </c>
      <c r="AD1198" s="73">
        <v>0</v>
      </c>
      <c r="AE1198" s="73">
        <v>0</v>
      </c>
      <c r="AF1198" s="74">
        <f>tblData[[#This Row],[Gross Sales]]+tblData[[#This Row],[Trade Discounts]]+tblData[[#This Row],[Returns]]</f>
        <v>2947</v>
      </c>
      <c r="AG1198" s="74">
        <f>tblData[[#This Row],[Material Cost]]+tblData[[#This Row],[Conversion Cost]]+tblData[[#This Row],[Inbound Freight]]</f>
        <v>-1086</v>
      </c>
      <c r="AH1198" s="74">
        <f>tblData[[#This Row],[Net Revenue]]+tblData[[#This Row],[COGS]]</f>
        <v>1861</v>
      </c>
      <c r="AI1198" s="74">
        <f>tblData[[#This Row],[Advertising]]+tblData[[#This Row],[Promotions]]</f>
        <v>-304</v>
      </c>
      <c r="AJ1198" s="74">
        <f>tblData[[#This Row],[Outbound Logistics]]+tblData[[#This Row],[Direct Selling]]</f>
        <v>-253</v>
      </c>
      <c r="AK1198" s="74">
        <f>tblData[[#This Row],[Gross Profit]]+tblData[[#This Row],[AP Spend]]+tblData[[#This Row],[Cost to Serve]]</f>
        <v>1304</v>
      </c>
    </row>
    <row r="1199" spans="2:37" x14ac:dyDescent="0.25">
      <c r="B1199" s="71" t="s">
        <v>51</v>
      </c>
      <c r="C1199" s="71">
        <v>2026</v>
      </c>
      <c r="D1199" s="71">
        <v>8</v>
      </c>
      <c r="E1199" s="71" t="s">
        <v>44</v>
      </c>
      <c r="F1199" s="71" t="s">
        <v>39</v>
      </c>
      <c r="G1199" s="72">
        <v>334.4</v>
      </c>
      <c r="H1199" s="73">
        <v>3022</v>
      </c>
      <c r="I1199" s="73">
        <v>-488</v>
      </c>
      <c r="J1199" s="73">
        <v>-36</v>
      </c>
      <c r="K1199" s="73">
        <v>-792</v>
      </c>
      <c r="L1199" s="73">
        <v>-196</v>
      </c>
      <c r="M1199" s="73">
        <v>-118</v>
      </c>
      <c r="N1199" s="73">
        <v>-110</v>
      </c>
      <c r="O1199" s="73">
        <v>-63</v>
      </c>
      <c r="P1199" s="73">
        <v>-124</v>
      </c>
      <c r="Q1199" s="73">
        <v>-91</v>
      </c>
      <c r="R1199" s="73">
        <v>0</v>
      </c>
      <c r="S1199" s="73">
        <v>0</v>
      </c>
      <c r="T1199" s="73">
        <v>0</v>
      </c>
      <c r="U1199" s="73">
        <v>0</v>
      </c>
      <c r="V1199" s="73">
        <v>0</v>
      </c>
      <c r="W1199" s="73">
        <v>0</v>
      </c>
      <c r="X1199" s="73">
        <v>0</v>
      </c>
      <c r="Y1199" s="73">
        <v>0</v>
      </c>
      <c r="Z1199" s="73">
        <v>4235</v>
      </c>
      <c r="AA1199" s="73">
        <v>3028</v>
      </c>
      <c r="AB1199" s="73">
        <v>0</v>
      </c>
      <c r="AC1199" s="73">
        <v>0</v>
      </c>
      <c r="AD1199" s="73">
        <v>0</v>
      </c>
      <c r="AE1199" s="73">
        <v>0</v>
      </c>
      <c r="AF1199" s="74">
        <f>tblData[[#This Row],[Gross Sales]]+tblData[[#This Row],[Trade Discounts]]+tblData[[#This Row],[Returns]]</f>
        <v>2498</v>
      </c>
      <c r="AG1199" s="74">
        <f>tblData[[#This Row],[Material Cost]]+tblData[[#This Row],[Conversion Cost]]+tblData[[#This Row],[Inbound Freight]]</f>
        <v>-1106</v>
      </c>
      <c r="AH1199" s="74">
        <f>tblData[[#This Row],[Net Revenue]]+tblData[[#This Row],[COGS]]</f>
        <v>1392</v>
      </c>
      <c r="AI1199" s="74">
        <f>tblData[[#This Row],[Advertising]]+tblData[[#This Row],[Promotions]]</f>
        <v>-173</v>
      </c>
      <c r="AJ1199" s="74">
        <f>tblData[[#This Row],[Outbound Logistics]]+tblData[[#This Row],[Direct Selling]]</f>
        <v>-215</v>
      </c>
      <c r="AK1199" s="74">
        <f>tblData[[#This Row],[Gross Profit]]+tblData[[#This Row],[AP Spend]]+tblData[[#This Row],[Cost to Serve]]</f>
        <v>1004</v>
      </c>
    </row>
    <row r="1200" spans="2:37" x14ac:dyDescent="0.25">
      <c r="B1200" s="71" t="s">
        <v>51</v>
      </c>
      <c r="C1200" s="71">
        <v>2026</v>
      </c>
      <c r="D1200" s="71">
        <v>8</v>
      </c>
      <c r="E1200" s="71" t="s">
        <v>44</v>
      </c>
      <c r="F1200" s="71" t="s">
        <v>40</v>
      </c>
      <c r="G1200" s="72">
        <v>317.5</v>
      </c>
      <c r="H1200" s="73">
        <v>2229</v>
      </c>
      <c r="I1200" s="73">
        <v>-360</v>
      </c>
      <c r="J1200" s="73">
        <v>-27</v>
      </c>
      <c r="K1200" s="73">
        <v>-649</v>
      </c>
      <c r="L1200" s="73">
        <v>-161</v>
      </c>
      <c r="M1200" s="73">
        <v>-97</v>
      </c>
      <c r="N1200" s="73">
        <v>-55</v>
      </c>
      <c r="O1200" s="73">
        <v>-32</v>
      </c>
      <c r="P1200" s="73">
        <v>-91</v>
      </c>
      <c r="Q1200" s="73">
        <v>-67</v>
      </c>
      <c r="R1200" s="73">
        <v>0</v>
      </c>
      <c r="S1200" s="73">
        <v>0</v>
      </c>
      <c r="T1200" s="73">
        <v>0</v>
      </c>
      <c r="U1200" s="73">
        <v>0</v>
      </c>
      <c r="V1200" s="73">
        <v>0</v>
      </c>
      <c r="W1200" s="73">
        <v>0</v>
      </c>
      <c r="X1200" s="73">
        <v>0</v>
      </c>
      <c r="Y1200" s="73">
        <v>0</v>
      </c>
      <c r="Z1200" s="73">
        <v>3133</v>
      </c>
      <c r="AA1200" s="73">
        <v>2342</v>
      </c>
      <c r="AB1200" s="73">
        <v>0</v>
      </c>
      <c r="AC1200" s="73">
        <v>0</v>
      </c>
      <c r="AD1200" s="73">
        <v>0</v>
      </c>
      <c r="AE1200" s="73">
        <v>0</v>
      </c>
      <c r="AF1200" s="74">
        <f>tblData[[#This Row],[Gross Sales]]+tblData[[#This Row],[Trade Discounts]]+tblData[[#This Row],[Returns]]</f>
        <v>1842</v>
      </c>
      <c r="AG1200" s="74">
        <f>tblData[[#This Row],[Material Cost]]+tblData[[#This Row],[Conversion Cost]]+tblData[[#This Row],[Inbound Freight]]</f>
        <v>-907</v>
      </c>
      <c r="AH1200" s="74">
        <f>tblData[[#This Row],[Net Revenue]]+tblData[[#This Row],[COGS]]</f>
        <v>935</v>
      </c>
      <c r="AI1200" s="74">
        <f>tblData[[#This Row],[Advertising]]+tblData[[#This Row],[Promotions]]</f>
        <v>-87</v>
      </c>
      <c r="AJ1200" s="74">
        <f>tblData[[#This Row],[Outbound Logistics]]+tblData[[#This Row],[Direct Selling]]</f>
        <v>-158</v>
      </c>
      <c r="AK1200" s="74">
        <f>tblData[[#This Row],[Gross Profit]]+tblData[[#This Row],[AP Spend]]+tblData[[#This Row],[Cost to Serve]]</f>
        <v>690</v>
      </c>
    </row>
    <row r="1201" spans="2:37" x14ac:dyDescent="0.25">
      <c r="B1201" s="71" t="s">
        <v>51</v>
      </c>
      <c r="C1201" s="71">
        <v>2026</v>
      </c>
      <c r="D1201" s="71">
        <v>8</v>
      </c>
      <c r="E1201" s="71" t="s">
        <v>44</v>
      </c>
      <c r="F1201" s="71" t="s">
        <v>41</v>
      </c>
      <c r="G1201" s="72">
        <v>159.4</v>
      </c>
      <c r="H1201" s="73">
        <v>1763</v>
      </c>
      <c r="I1201" s="73">
        <v>-285</v>
      </c>
      <c r="J1201" s="73">
        <v>-21</v>
      </c>
      <c r="K1201" s="73">
        <v>-423</v>
      </c>
      <c r="L1201" s="73">
        <v>-105</v>
      </c>
      <c r="M1201" s="73">
        <v>-63</v>
      </c>
      <c r="N1201" s="73">
        <v>-118</v>
      </c>
      <c r="O1201" s="73">
        <v>-68</v>
      </c>
      <c r="P1201" s="73">
        <v>-72</v>
      </c>
      <c r="Q1201" s="73">
        <v>-53</v>
      </c>
      <c r="R1201" s="73">
        <v>0</v>
      </c>
      <c r="S1201" s="73">
        <v>0</v>
      </c>
      <c r="T1201" s="73">
        <v>0</v>
      </c>
      <c r="U1201" s="73">
        <v>0</v>
      </c>
      <c r="V1201" s="73">
        <v>0</v>
      </c>
      <c r="W1201" s="73">
        <v>0</v>
      </c>
      <c r="X1201" s="73">
        <v>0</v>
      </c>
      <c r="Y1201" s="73">
        <v>0</v>
      </c>
      <c r="Z1201" s="73">
        <v>2488</v>
      </c>
      <c r="AA1201" s="73">
        <v>1825</v>
      </c>
      <c r="AB1201" s="73">
        <v>0</v>
      </c>
      <c r="AC1201" s="73">
        <v>0</v>
      </c>
      <c r="AD1201" s="73">
        <v>0</v>
      </c>
      <c r="AE1201" s="73">
        <v>0</v>
      </c>
      <c r="AF1201" s="74">
        <f>tblData[[#This Row],[Gross Sales]]+tblData[[#This Row],[Trade Discounts]]+tblData[[#This Row],[Returns]]</f>
        <v>1457</v>
      </c>
      <c r="AG1201" s="74">
        <f>tblData[[#This Row],[Material Cost]]+tblData[[#This Row],[Conversion Cost]]+tblData[[#This Row],[Inbound Freight]]</f>
        <v>-591</v>
      </c>
      <c r="AH1201" s="74">
        <f>tblData[[#This Row],[Net Revenue]]+tblData[[#This Row],[COGS]]</f>
        <v>866</v>
      </c>
      <c r="AI1201" s="74">
        <f>tblData[[#This Row],[Advertising]]+tblData[[#This Row],[Promotions]]</f>
        <v>-186</v>
      </c>
      <c r="AJ1201" s="74">
        <f>tblData[[#This Row],[Outbound Logistics]]+tblData[[#This Row],[Direct Selling]]</f>
        <v>-125</v>
      </c>
      <c r="AK1201" s="74">
        <f>tblData[[#This Row],[Gross Profit]]+tblData[[#This Row],[AP Spend]]+tblData[[#This Row],[Cost to Serve]]</f>
        <v>555</v>
      </c>
    </row>
    <row r="1202" spans="2:37" x14ac:dyDescent="0.25">
      <c r="B1202" s="71" t="s">
        <v>51</v>
      </c>
      <c r="C1202" s="71">
        <v>2026</v>
      </c>
      <c r="D1202" s="71">
        <v>8</v>
      </c>
      <c r="E1202" s="71" t="s">
        <v>44</v>
      </c>
      <c r="F1202" s="71" t="s">
        <v>42</v>
      </c>
      <c r="G1202" s="72">
        <v>196.8</v>
      </c>
      <c r="H1202" s="73">
        <v>1181</v>
      </c>
      <c r="I1202" s="73">
        <v>-191</v>
      </c>
      <c r="J1202" s="73">
        <v>-14</v>
      </c>
      <c r="K1202" s="73">
        <v>-378</v>
      </c>
      <c r="L1202" s="73">
        <v>-93</v>
      </c>
      <c r="M1202" s="73">
        <v>-56</v>
      </c>
      <c r="N1202" s="73">
        <v>-23</v>
      </c>
      <c r="O1202" s="73">
        <v>-13</v>
      </c>
      <c r="P1202" s="73">
        <v>-48</v>
      </c>
      <c r="Q1202" s="73">
        <v>-35</v>
      </c>
      <c r="R1202" s="73">
        <v>0</v>
      </c>
      <c r="S1202" s="73">
        <v>0</v>
      </c>
      <c r="T1202" s="73">
        <v>0</v>
      </c>
      <c r="U1202" s="73">
        <v>0</v>
      </c>
      <c r="V1202" s="73">
        <v>0</v>
      </c>
      <c r="W1202" s="73">
        <v>0</v>
      </c>
      <c r="X1202" s="73">
        <v>0</v>
      </c>
      <c r="Y1202" s="73">
        <v>0</v>
      </c>
      <c r="Z1202" s="73">
        <v>1655</v>
      </c>
      <c r="AA1202" s="73">
        <v>2118</v>
      </c>
      <c r="AB1202" s="73">
        <v>0</v>
      </c>
      <c r="AC1202" s="73">
        <v>0</v>
      </c>
      <c r="AD1202" s="73">
        <v>0</v>
      </c>
      <c r="AE1202" s="73">
        <v>0</v>
      </c>
      <c r="AF1202" s="74">
        <f>tblData[[#This Row],[Gross Sales]]+tblData[[#This Row],[Trade Discounts]]+tblData[[#This Row],[Returns]]</f>
        <v>976</v>
      </c>
      <c r="AG1202" s="74">
        <f>tblData[[#This Row],[Material Cost]]+tblData[[#This Row],[Conversion Cost]]+tblData[[#This Row],[Inbound Freight]]</f>
        <v>-527</v>
      </c>
      <c r="AH1202" s="74">
        <f>tblData[[#This Row],[Net Revenue]]+tblData[[#This Row],[COGS]]</f>
        <v>449</v>
      </c>
      <c r="AI1202" s="74">
        <f>tblData[[#This Row],[Advertising]]+tblData[[#This Row],[Promotions]]</f>
        <v>-36</v>
      </c>
      <c r="AJ1202" s="74">
        <f>tblData[[#This Row],[Outbound Logistics]]+tblData[[#This Row],[Direct Selling]]</f>
        <v>-83</v>
      </c>
      <c r="AK1202" s="74">
        <f>tblData[[#This Row],[Gross Profit]]+tblData[[#This Row],[AP Spend]]+tblData[[#This Row],[Cost to Serve]]</f>
        <v>330</v>
      </c>
    </row>
    <row r="1203" spans="2:37" x14ac:dyDescent="0.25">
      <c r="B1203" s="71" t="s">
        <v>51</v>
      </c>
      <c r="C1203" s="71">
        <v>2026</v>
      </c>
      <c r="D1203" s="71">
        <v>8</v>
      </c>
      <c r="E1203" s="71" t="s">
        <v>44</v>
      </c>
      <c r="F1203" s="71" t="s">
        <v>43</v>
      </c>
      <c r="G1203" s="72">
        <v>38</v>
      </c>
      <c r="H1203" s="73">
        <v>686</v>
      </c>
      <c r="I1203" s="73">
        <v>-111</v>
      </c>
      <c r="J1203" s="73">
        <v>-8</v>
      </c>
      <c r="K1203" s="73">
        <v>-190</v>
      </c>
      <c r="L1203" s="73">
        <v>-47</v>
      </c>
      <c r="M1203" s="73">
        <v>-28</v>
      </c>
      <c r="N1203" s="73">
        <v>-64</v>
      </c>
      <c r="O1203" s="73">
        <v>-37</v>
      </c>
      <c r="P1203" s="73">
        <v>-28</v>
      </c>
      <c r="Q1203" s="73">
        <v>-21</v>
      </c>
      <c r="R1203" s="73">
        <v>0</v>
      </c>
      <c r="S1203" s="73">
        <v>0</v>
      </c>
      <c r="T1203" s="73">
        <v>0</v>
      </c>
      <c r="U1203" s="73">
        <v>0</v>
      </c>
      <c r="V1203" s="73">
        <v>0</v>
      </c>
      <c r="W1203" s="73">
        <v>0</v>
      </c>
      <c r="X1203" s="73">
        <v>0</v>
      </c>
      <c r="Y1203" s="73">
        <v>0</v>
      </c>
      <c r="Z1203" s="73">
        <v>961</v>
      </c>
      <c r="AA1203" s="73">
        <v>1071</v>
      </c>
      <c r="AB1203" s="73">
        <v>0</v>
      </c>
      <c r="AC1203" s="73">
        <v>0</v>
      </c>
      <c r="AD1203" s="73">
        <v>0</v>
      </c>
      <c r="AE1203" s="73">
        <v>0</v>
      </c>
      <c r="AF1203" s="74">
        <f>tblData[[#This Row],[Gross Sales]]+tblData[[#This Row],[Trade Discounts]]+tblData[[#This Row],[Returns]]</f>
        <v>567</v>
      </c>
      <c r="AG1203" s="74">
        <f>tblData[[#This Row],[Material Cost]]+tblData[[#This Row],[Conversion Cost]]+tblData[[#This Row],[Inbound Freight]]</f>
        <v>-265</v>
      </c>
      <c r="AH1203" s="74">
        <f>tblData[[#This Row],[Net Revenue]]+tblData[[#This Row],[COGS]]</f>
        <v>302</v>
      </c>
      <c r="AI1203" s="74">
        <f>tblData[[#This Row],[Advertising]]+tblData[[#This Row],[Promotions]]</f>
        <v>-101</v>
      </c>
      <c r="AJ1203" s="74">
        <f>tblData[[#This Row],[Outbound Logistics]]+tblData[[#This Row],[Direct Selling]]</f>
        <v>-49</v>
      </c>
      <c r="AK1203" s="74">
        <f>tblData[[#This Row],[Gross Profit]]+tblData[[#This Row],[AP Spend]]+tblData[[#This Row],[Cost to Serve]]</f>
        <v>152</v>
      </c>
    </row>
    <row r="1204" spans="2:37" x14ac:dyDescent="0.25">
      <c r="B1204" s="71" t="s">
        <v>51</v>
      </c>
      <c r="C1204" s="71">
        <v>2026</v>
      </c>
      <c r="D1204" s="71">
        <v>8</v>
      </c>
      <c r="E1204" s="71" t="s">
        <v>45</v>
      </c>
      <c r="F1204" s="71" t="s">
        <v>38</v>
      </c>
      <c r="G1204" s="72">
        <v>145.9</v>
      </c>
      <c r="H1204" s="73">
        <v>2039</v>
      </c>
      <c r="I1204" s="73">
        <v>-466</v>
      </c>
      <c r="J1204" s="73">
        <v>-20</v>
      </c>
      <c r="K1204" s="73">
        <v>-445</v>
      </c>
      <c r="L1204" s="73">
        <v>-110</v>
      </c>
      <c r="M1204" s="73">
        <v>-66</v>
      </c>
      <c r="N1204" s="73">
        <v>-112</v>
      </c>
      <c r="O1204" s="73">
        <v>-65</v>
      </c>
      <c r="P1204" s="73">
        <v>-73</v>
      </c>
      <c r="Q1204" s="73">
        <v>-41</v>
      </c>
      <c r="R1204" s="73">
        <v>0</v>
      </c>
      <c r="S1204" s="73">
        <v>0</v>
      </c>
      <c r="T1204" s="73">
        <v>0</v>
      </c>
      <c r="U1204" s="73">
        <v>0</v>
      </c>
      <c r="V1204" s="73">
        <v>0</v>
      </c>
      <c r="W1204" s="73">
        <v>0</v>
      </c>
      <c r="X1204" s="73">
        <v>0</v>
      </c>
      <c r="Y1204" s="73">
        <v>0</v>
      </c>
      <c r="Z1204" s="73">
        <v>2366</v>
      </c>
      <c r="AA1204" s="73">
        <v>1996</v>
      </c>
      <c r="AB1204" s="73">
        <v>0</v>
      </c>
      <c r="AC1204" s="73">
        <v>0</v>
      </c>
      <c r="AD1204" s="73">
        <v>0</v>
      </c>
      <c r="AE1204" s="73">
        <v>0</v>
      </c>
      <c r="AF1204" s="74">
        <f>tblData[[#This Row],[Gross Sales]]+tblData[[#This Row],[Trade Discounts]]+tblData[[#This Row],[Returns]]</f>
        <v>1553</v>
      </c>
      <c r="AG1204" s="74">
        <f>tblData[[#This Row],[Material Cost]]+tblData[[#This Row],[Conversion Cost]]+tblData[[#This Row],[Inbound Freight]]</f>
        <v>-621</v>
      </c>
      <c r="AH1204" s="74">
        <f>tblData[[#This Row],[Net Revenue]]+tblData[[#This Row],[COGS]]</f>
        <v>932</v>
      </c>
      <c r="AI1204" s="74">
        <f>tblData[[#This Row],[Advertising]]+tblData[[#This Row],[Promotions]]</f>
        <v>-177</v>
      </c>
      <c r="AJ1204" s="74">
        <f>tblData[[#This Row],[Outbound Logistics]]+tblData[[#This Row],[Direct Selling]]</f>
        <v>-114</v>
      </c>
      <c r="AK1204" s="74">
        <f>tblData[[#This Row],[Gross Profit]]+tblData[[#This Row],[AP Spend]]+tblData[[#This Row],[Cost to Serve]]</f>
        <v>641</v>
      </c>
    </row>
    <row r="1205" spans="2:37" x14ac:dyDescent="0.25">
      <c r="B1205" s="71" t="s">
        <v>51</v>
      </c>
      <c r="C1205" s="71">
        <v>2026</v>
      </c>
      <c r="D1205" s="71">
        <v>8</v>
      </c>
      <c r="E1205" s="71" t="s">
        <v>45</v>
      </c>
      <c r="F1205" s="71" t="s">
        <v>39</v>
      </c>
      <c r="G1205" s="72">
        <v>188.8</v>
      </c>
      <c r="H1205" s="73">
        <v>1692</v>
      </c>
      <c r="I1205" s="73">
        <v>-387</v>
      </c>
      <c r="J1205" s="73">
        <v>-17</v>
      </c>
      <c r="K1205" s="73">
        <v>-443</v>
      </c>
      <c r="L1205" s="73">
        <v>-110</v>
      </c>
      <c r="M1205" s="73">
        <v>-66</v>
      </c>
      <c r="N1205" s="73">
        <v>-64</v>
      </c>
      <c r="O1205" s="73">
        <v>-37</v>
      </c>
      <c r="P1205" s="73">
        <v>-60</v>
      </c>
      <c r="Q1205" s="73">
        <v>-34</v>
      </c>
      <c r="R1205" s="73">
        <v>0</v>
      </c>
      <c r="S1205" s="73">
        <v>0</v>
      </c>
      <c r="T1205" s="73">
        <v>0</v>
      </c>
      <c r="U1205" s="73">
        <v>0</v>
      </c>
      <c r="V1205" s="73">
        <v>0</v>
      </c>
      <c r="W1205" s="73">
        <v>0</v>
      </c>
      <c r="X1205" s="73">
        <v>0</v>
      </c>
      <c r="Y1205" s="73">
        <v>0</v>
      </c>
      <c r="Z1205" s="73">
        <v>1980</v>
      </c>
      <c r="AA1205" s="73">
        <v>1700</v>
      </c>
      <c r="AB1205" s="73">
        <v>0</v>
      </c>
      <c r="AC1205" s="73">
        <v>0</v>
      </c>
      <c r="AD1205" s="73">
        <v>0</v>
      </c>
      <c r="AE1205" s="73">
        <v>0</v>
      </c>
      <c r="AF1205" s="74">
        <f>tblData[[#This Row],[Gross Sales]]+tblData[[#This Row],[Trade Discounts]]+tblData[[#This Row],[Returns]]</f>
        <v>1288</v>
      </c>
      <c r="AG1205" s="74">
        <f>tblData[[#This Row],[Material Cost]]+tblData[[#This Row],[Conversion Cost]]+tblData[[#This Row],[Inbound Freight]]</f>
        <v>-619</v>
      </c>
      <c r="AH1205" s="74">
        <f>tblData[[#This Row],[Net Revenue]]+tblData[[#This Row],[COGS]]</f>
        <v>669</v>
      </c>
      <c r="AI1205" s="74">
        <f>tblData[[#This Row],[Advertising]]+tblData[[#This Row],[Promotions]]</f>
        <v>-101</v>
      </c>
      <c r="AJ1205" s="74">
        <f>tblData[[#This Row],[Outbound Logistics]]+tblData[[#This Row],[Direct Selling]]</f>
        <v>-94</v>
      </c>
      <c r="AK1205" s="74">
        <f>tblData[[#This Row],[Gross Profit]]+tblData[[#This Row],[AP Spend]]+tblData[[#This Row],[Cost to Serve]]</f>
        <v>474</v>
      </c>
    </row>
    <row r="1206" spans="2:37" x14ac:dyDescent="0.25">
      <c r="B1206" s="71" t="s">
        <v>51</v>
      </c>
      <c r="C1206" s="71">
        <v>2026</v>
      </c>
      <c r="D1206" s="71">
        <v>8</v>
      </c>
      <c r="E1206" s="71" t="s">
        <v>45</v>
      </c>
      <c r="F1206" s="71" t="s">
        <v>40</v>
      </c>
      <c r="G1206" s="72">
        <v>181.2</v>
      </c>
      <c r="H1206" s="73">
        <v>1261</v>
      </c>
      <c r="I1206" s="73">
        <v>-288</v>
      </c>
      <c r="J1206" s="73">
        <v>-13</v>
      </c>
      <c r="K1206" s="73">
        <v>-367</v>
      </c>
      <c r="L1206" s="73">
        <v>-91</v>
      </c>
      <c r="M1206" s="73">
        <v>-55</v>
      </c>
      <c r="N1206" s="73">
        <v>-32</v>
      </c>
      <c r="O1206" s="73">
        <v>-18</v>
      </c>
      <c r="P1206" s="73">
        <v>-45</v>
      </c>
      <c r="Q1206" s="73">
        <v>-25</v>
      </c>
      <c r="R1206" s="73">
        <v>0</v>
      </c>
      <c r="S1206" s="73">
        <v>0</v>
      </c>
      <c r="T1206" s="73">
        <v>0</v>
      </c>
      <c r="U1206" s="73">
        <v>0</v>
      </c>
      <c r="V1206" s="73">
        <v>0</v>
      </c>
      <c r="W1206" s="73">
        <v>0</v>
      </c>
      <c r="X1206" s="73">
        <v>0</v>
      </c>
      <c r="Y1206" s="73">
        <v>0</v>
      </c>
      <c r="Z1206" s="73">
        <v>1465</v>
      </c>
      <c r="AA1206" s="73">
        <v>1315</v>
      </c>
      <c r="AB1206" s="73">
        <v>0</v>
      </c>
      <c r="AC1206" s="73">
        <v>0</v>
      </c>
      <c r="AD1206" s="73">
        <v>0</v>
      </c>
      <c r="AE1206" s="73">
        <v>0</v>
      </c>
      <c r="AF1206" s="74">
        <f>tblData[[#This Row],[Gross Sales]]+tblData[[#This Row],[Trade Discounts]]+tblData[[#This Row],[Returns]]</f>
        <v>960</v>
      </c>
      <c r="AG1206" s="74">
        <f>tblData[[#This Row],[Material Cost]]+tblData[[#This Row],[Conversion Cost]]+tblData[[#This Row],[Inbound Freight]]</f>
        <v>-513</v>
      </c>
      <c r="AH1206" s="74">
        <f>tblData[[#This Row],[Net Revenue]]+tblData[[#This Row],[COGS]]</f>
        <v>447</v>
      </c>
      <c r="AI1206" s="74">
        <f>tblData[[#This Row],[Advertising]]+tblData[[#This Row],[Promotions]]</f>
        <v>-50</v>
      </c>
      <c r="AJ1206" s="74">
        <f>tblData[[#This Row],[Outbound Logistics]]+tblData[[#This Row],[Direct Selling]]</f>
        <v>-70</v>
      </c>
      <c r="AK1206" s="74">
        <f>tblData[[#This Row],[Gross Profit]]+tblData[[#This Row],[AP Spend]]+tblData[[#This Row],[Cost to Serve]]</f>
        <v>327</v>
      </c>
    </row>
    <row r="1207" spans="2:37" x14ac:dyDescent="0.25">
      <c r="B1207" s="71" t="s">
        <v>51</v>
      </c>
      <c r="C1207" s="71">
        <v>2026</v>
      </c>
      <c r="D1207" s="71">
        <v>8</v>
      </c>
      <c r="E1207" s="71" t="s">
        <v>45</v>
      </c>
      <c r="F1207" s="71" t="s">
        <v>41</v>
      </c>
      <c r="G1207" s="72">
        <v>90.5</v>
      </c>
      <c r="H1207" s="73">
        <v>992</v>
      </c>
      <c r="I1207" s="73">
        <v>-227</v>
      </c>
      <c r="J1207" s="73">
        <v>-10</v>
      </c>
      <c r="K1207" s="73">
        <v>-238</v>
      </c>
      <c r="L1207" s="73">
        <v>-59</v>
      </c>
      <c r="M1207" s="73">
        <v>-36</v>
      </c>
      <c r="N1207" s="73">
        <v>-69</v>
      </c>
      <c r="O1207" s="73">
        <v>-40</v>
      </c>
      <c r="P1207" s="73">
        <v>-35</v>
      </c>
      <c r="Q1207" s="73">
        <v>-20</v>
      </c>
      <c r="R1207" s="73">
        <v>0</v>
      </c>
      <c r="S1207" s="73">
        <v>0</v>
      </c>
      <c r="T1207" s="73">
        <v>0</v>
      </c>
      <c r="U1207" s="73">
        <v>0</v>
      </c>
      <c r="V1207" s="73">
        <v>0</v>
      </c>
      <c r="W1207" s="73">
        <v>0</v>
      </c>
      <c r="X1207" s="73">
        <v>0</v>
      </c>
      <c r="Y1207" s="73">
        <v>0</v>
      </c>
      <c r="Z1207" s="73">
        <v>1165</v>
      </c>
      <c r="AA1207" s="73">
        <v>1027</v>
      </c>
      <c r="AB1207" s="73">
        <v>0</v>
      </c>
      <c r="AC1207" s="73">
        <v>0</v>
      </c>
      <c r="AD1207" s="73">
        <v>0</v>
      </c>
      <c r="AE1207" s="73">
        <v>0</v>
      </c>
      <c r="AF1207" s="74">
        <f>tblData[[#This Row],[Gross Sales]]+tblData[[#This Row],[Trade Discounts]]+tblData[[#This Row],[Returns]]</f>
        <v>755</v>
      </c>
      <c r="AG1207" s="74">
        <f>tblData[[#This Row],[Material Cost]]+tblData[[#This Row],[Conversion Cost]]+tblData[[#This Row],[Inbound Freight]]</f>
        <v>-333</v>
      </c>
      <c r="AH1207" s="74">
        <f>tblData[[#This Row],[Net Revenue]]+tblData[[#This Row],[COGS]]</f>
        <v>422</v>
      </c>
      <c r="AI1207" s="74">
        <f>tblData[[#This Row],[Advertising]]+tblData[[#This Row],[Promotions]]</f>
        <v>-109</v>
      </c>
      <c r="AJ1207" s="74">
        <f>tblData[[#This Row],[Outbound Logistics]]+tblData[[#This Row],[Direct Selling]]</f>
        <v>-55</v>
      </c>
      <c r="AK1207" s="74">
        <f>tblData[[#This Row],[Gross Profit]]+tblData[[#This Row],[AP Spend]]+tblData[[#This Row],[Cost to Serve]]</f>
        <v>258</v>
      </c>
    </row>
    <row r="1208" spans="2:37" x14ac:dyDescent="0.25">
      <c r="B1208" s="71" t="s">
        <v>51</v>
      </c>
      <c r="C1208" s="71">
        <v>2026</v>
      </c>
      <c r="D1208" s="71">
        <v>8</v>
      </c>
      <c r="E1208" s="71" t="s">
        <v>45</v>
      </c>
      <c r="F1208" s="71" t="s">
        <v>42</v>
      </c>
      <c r="G1208" s="72">
        <v>111.4</v>
      </c>
      <c r="H1208" s="73">
        <v>663</v>
      </c>
      <c r="I1208" s="73">
        <v>-152</v>
      </c>
      <c r="J1208" s="73">
        <v>-7</v>
      </c>
      <c r="K1208" s="73">
        <v>-212</v>
      </c>
      <c r="L1208" s="73">
        <v>-52</v>
      </c>
      <c r="M1208" s="73">
        <v>-32</v>
      </c>
      <c r="N1208" s="73">
        <v>-13</v>
      </c>
      <c r="O1208" s="73">
        <v>-8</v>
      </c>
      <c r="P1208" s="73">
        <v>-24</v>
      </c>
      <c r="Q1208" s="73">
        <v>-13</v>
      </c>
      <c r="R1208" s="73">
        <v>0</v>
      </c>
      <c r="S1208" s="73">
        <v>0</v>
      </c>
      <c r="T1208" s="73">
        <v>0</v>
      </c>
      <c r="U1208" s="73">
        <v>0</v>
      </c>
      <c r="V1208" s="73">
        <v>0</v>
      </c>
      <c r="W1208" s="73">
        <v>0</v>
      </c>
      <c r="X1208" s="73">
        <v>0</v>
      </c>
      <c r="Y1208" s="73">
        <v>0</v>
      </c>
      <c r="Z1208" s="73">
        <v>777</v>
      </c>
      <c r="AA1208" s="73">
        <v>1194</v>
      </c>
      <c r="AB1208" s="73">
        <v>0</v>
      </c>
      <c r="AC1208" s="73">
        <v>0</v>
      </c>
      <c r="AD1208" s="73">
        <v>0</v>
      </c>
      <c r="AE1208" s="73">
        <v>0</v>
      </c>
      <c r="AF1208" s="74">
        <f>tblData[[#This Row],[Gross Sales]]+tblData[[#This Row],[Trade Discounts]]+tblData[[#This Row],[Returns]]</f>
        <v>504</v>
      </c>
      <c r="AG1208" s="74">
        <f>tblData[[#This Row],[Material Cost]]+tblData[[#This Row],[Conversion Cost]]+tblData[[#This Row],[Inbound Freight]]</f>
        <v>-296</v>
      </c>
      <c r="AH1208" s="74">
        <f>tblData[[#This Row],[Net Revenue]]+tblData[[#This Row],[COGS]]</f>
        <v>208</v>
      </c>
      <c r="AI1208" s="74">
        <f>tblData[[#This Row],[Advertising]]+tblData[[#This Row],[Promotions]]</f>
        <v>-21</v>
      </c>
      <c r="AJ1208" s="74">
        <f>tblData[[#This Row],[Outbound Logistics]]+tblData[[#This Row],[Direct Selling]]</f>
        <v>-37</v>
      </c>
      <c r="AK1208" s="74">
        <f>tblData[[#This Row],[Gross Profit]]+tblData[[#This Row],[AP Spend]]+tblData[[#This Row],[Cost to Serve]]</f>
        <v>150</v>
      </c>
    </row>
    <row r="1209" spans="2:37" x14ac:dyDescent="0.25">
      <c r="B1209" s="71" t="s">
        <v>51</v>
      </c>
      <c r="C1209" s="71">
        <v>2026</v>
      </c>
      <c r="D1209" s="71">
        <v>8</v>
      </c>
      <c r="E1209" s="71" t="s">
        <v>45</v>
      </c>
      <c r="F1209" s="71" t="s">
        <v>43</v>
      </c>
      <c r="G1209" s="72">
        <v>21.6</v>
      </c>
      <c r="H1209" s="73">
        <v>386</v>
      </c>
      <c r="I1209" s="73">
        <v>-88</v>
      </c>
      <c r="J1209" s="73">
        <v>-4</v>
      </c>
      <c r="K1209" s="73">
        <v>-107</v>
      </c>
      <c r="L1209" s="73">
        <v>-26</v>
      </c>
      <c r="M1209" s="73">
        <v>-16</v>
      </c>
      <c r="N1209" s="73">
        <v>-37</v>
      </c>
      <c r="O1209" s="73">
        <v>-22</v>
      </c>
      <c r="P1209" s="73">
        <v>-14</v>
      </c>
      <c r="Q1209" s="73">
        <v>-8</v>
      </c>
      <c r="R1209" s="73">
        <v>0</v>
      </c>
      <c r="S1209" s="73">
        <v>0</v>
      </c>
      <c r="T1209" s="73">
        <v>0</v>
      </c>
      <c r="U1209" s="73">
        <v>0</v>
      </c>
      <c r="V1209" s="73">
        <v>0</v>
      </c>
      <c r="W1209" s="73">
        <v>0</v>
      </c>
      <c r="X1209" s="73">
        <v>0</v>
      </c>
      <c r="Y1209" s="73">
        <v>0</v>
      </c>
      <c r="Z1209" s="73">
        <v>451</v>
      </c>
      <c r="AA1209" s="73">
        <v>604</v>
      </c>
      <c r="AB1209" s="73">
        <v>0</v>
      </c>
      <c r="AC1209" s="73">
        <v>0</v>
      </c>
      <c r="AD1209" s="73">
        <v>0</v>
      </c>
      <c r="AE1209" s="73">
        <v>0</v>
      </c>
      <c r="AF1209" s="74">
        <f>tblData[[#This Row],[Gross Sales]]+tblData[[#This Row],[Trade Discounts]]+tblData[[#This Row],[Returns]]</f>
        <v>294</v>
      </c>
      <c r="AG1209" s="74">
        <f>tblData[[#This Row],[Material Cost]]+tblData[[#This Row],[Conversion Cost]]+tblData[[#This Row],[Inbound Freight]]</f>
        <v>-149</v>
      </c>
      <c r="AH1209" s="74">
        <f>tblData[[#This Row],[Net Revenue]]+tblData[[#This Row],[COGS]]</f>
        <v>145</v>
      </c>
      <c r="AI1209" s="74">
        <f>tblData[[#This Row],[Advertising]]+tblData[[#This Row],[Promotions]]</f>
        <v>-59</v>
      </c>
      <c r="AJ1209" s="74">
        <f>tblData[[#This Row],[Outbound Logistics]]+tblData[[#This Row],[Direct Selling]]</f>
        <v>-22</v>
      </c>
      <c r="AK1209" s="74">
        <f>tblData[[#This Row],[Gross Profit]]+tblData[[#This Row],[AP Spend]]+tblData[[#This Row],[Cost to Serve]]</f>
        <v>64</v>
      </c>
    </row>
    <row r="1210" spans="2:37" x14ac:dyDescent="0.25">
      <c r="B1210" s="71" t="s">
        <v>51</v>
      </c>
      <c r="C1210" s="71">
        <v>2026</v>
      </c>
      <c r="D1210" s="71">
        <v>8</v>
      </c>
      <c r="E1210" s="71" t="s">
        <v>46</v>
      </c>
      <c r="F1210" s="71" t="s">
        <v>38</v>
      </c>
      <c r="G1210" s="72">
        <v>178.6</v>
      </c>
      <c r="H1210" s="73">
        <v>2515</v>
      </c>
      <c r="I1210" s="73">
        <v>-273</v>
      </c>
      <c r="J1210" s="73">
        <v>-101</v>
      </c>
      <c r="K1210" s="73">
        <v>-549</v>
      </c>
      <c r="L1210" s="73">
        <v>-136</v>
      </c>
      <c r="M1210" s="73">
        <v>-82</v>
      </c>
      <c r="N1210" s="73">
        <v>-129</v>
      </c>
      <c r="O1210" s="73">
        <v>-74</v>
      </c>
      <c r="P1210" s="73">
        <v>-193</v>
      </c>
      <c r="Q1210" s="73">
        <v>-50</v>
      </c>
      <c r="R1210" s="73">
        <v>0</v>
      </c>
      <c r="S1210" s="73">
        <v>0</v>
      </c>
      <c r="T1210" s="73">
        <v>0</v>
      </c>
      <c r="U1210" s="73">
        <v>0</v>
      </c>
      <c r="V1210" s="73">
        <v>0</v>
      </c>
      <c r="W1210" s="73">
        <v>0</v>
      </c>
      <c r="X1210" s="73">
        <v>0</v>
      </c>
      <c r="Y1210" s="73">
        <v>0</v>
      </c>
      <c r="Z1210" s="73">
        <v>1890</v>
      </c>
      <c r="AA1210" s="73">
        <v>2482</v>
      </c>
      <c r="AB1210" s="73">
        <v>0</v>
      </c>
      <c r="AC1210" s="73">
        <v>0</v>
      </c>
      <c r="AD1210" s="73">
        <v>0</v>
      </c>
      <c r="AE1210" s="73">
        <v>0</v>
      </c>
      <c r="AF1210" s="74">
        <f>tblData[[#This Row],[Gross Sales]]+tblData[[#This Row],[Trade Discounts]]+tblData[[#This Row],[Returns]]</f>
        <v>2141</v>
      </c>
      <c r="AG1210" s="74">
        <f>tblData[[#This Row],[Material Cost]]+tblData[[#This Row],[Conversion Cost]]+tblData[[#This Row],[Inbound Freight]]</f>
        <v>-767</v>
      </c>
      <c r="AH1210" s="74">
        <f>tblData[[#This Row],[Net Revenue]]+tblData[[#This Row],[COGS]]</f>
        <v>1374</v>
      </c>
      <c r="AI1210" s="74">
        <f>tblData[[#This Row],[Advertising]]+tblData[[#This Row],[Promotions]]</f>
        <v>-203</v>
      </c>
      <c r="AJ1210" s="74">
        <f>tblData[[#This Row],[Outbound Logistics]]+tblData[[#This Row],[Direct Selling]]</f>
        <v>-243</v>
      </c>
      <c r="AK1210" s="74">
        <f>tblData[[#This Row],[Gross Profit]]+tblData[[#This Row],[AP Spend]]+tblData[[#This Row],[Cost to Serve]]</f>
        <v>928</v>
      </c>
    </row>
    <row r="1211" spans="2:37" x14ac:dyDescent="0.25">
      <c r="B1211" s="71" t="s">
        <v>51</v>
      </c>
      <c r="C1211" s="71">
        <v>2026</v>
      </c>
      <c r="D1211" s="71">
        <v>8</v>
      </c>
      <c r="E1211" s="71" t="s">
        <v>46</v>
      </c>
      <c r="F1211" s="71" t="s">
        <v>39</v>
      </c>
      <c r="G1211" s="72">
        <v>234.4</v>
      </c>
      <c r="H1211" s="73">
        <v>2116</v>
      </c>
      <c r="I1211" s="73">
        <v>-230</v>
      </c>
      <c r="J1211" s="73">
        <v>-85</v>
      </c>
      <c r="K1211" s="73">
        <v>-554</v>
      </c>
      <c r="L1211" s="73">
        <v>-137</v>
      </c>
      <c r="M1211" s="73">
        <v>-83</v>
      </c>
      <c r="N1211" s="73">
        <v>-73</v>
      </c>
      <c r="O1211" s="73">
        <v>-42</v>
      </c>
      <c r="P1211" s="73">
        <v>-162</v>
      </c>
      <c r="Q1211" s="73">
        <v>-42</v>
      </c>
      <c r="R1211" s="73">
        <v>0</v>
      </c>
      <c r="S1211" s="73">
        <v>0</v>
      </c>
      <c r="T1211" s="73">
        <v>0</v>
      </c>
      <c r="U1211" s="73">
        <v>0</v>
      </c>
      <c r="V1211" s="73">
        <v>0</v>
      </c>
      <c r="W1211" s="73">
        <v>0</v>
      </c>
      <c r="X1211" s="73">
        <v>0</v>
      </c>
      <c r="Y1211" s="73">
        <v>0</v>
      </c>
      <c r="Z1211" s="73">
        <v>1590</v>
      </c>
      <c r="AA1211" s="73">
        <v>2125</v>
      </c>
      <c r="AB1211" s="73">
        <v>0</v>
      </c>
      <c r="AC1211" s="73">
        <v>0</v>
      </c>
      <c r="AD1211" s="73">
        <v>0</v>
      </c>
      <c r="AE1211" s="73">
        <v>0</v>
      </c>
      <c r="AF1211" s="74">
        <f>tblData[[#This Row],[Gross Sales]]+tblData[[#This Row],[Trade Discounts]]+tblData[[#This Row],[Returns]]</f>
        <v>1801</v>
      </c>
      <c r="AG1211" s="74">
        <f>tblData[[#This Row],[Material Cost]]+tblData[[#This Row],[Conversion Cost]]+tblData[[#This Row],[Inbound Freight]]</f>
        <v>-774</v>
      </c>
      <c r="AH1211" s="74">
        <f>tblData[[#This Row],[Net Revenue]]+tblData[[#This Row],[COGS]]</f>
        <v>1027</v>
      </c>
      <c r="AI1211" s="74">
        <f>tblData[[#This Row],[Advertising]]+tblData[[#This Row],[Promotions]]</f>
        <v>-115</v>
      </c>
      <c r="AJ1211" s="74">
        <f>tblData[[#This Row],[Outbound Logistics]]+tblData[[#This Row],[Direct Selling]]</f>
        <v>-204</v>
      </c>
      <c r="AK1211" s="74">
        <f>tblData[[#This Row],[Gross Profit]]+tblData[[#This Row],[AP Spend]]+tblData[[#This Row],[Cost to Serve]]</f>
        <v>708</v>
      </c>
    </row>
    <row r="1212" spans="2:37" x14ac:dyDescent="0.25">
      <c r="B1212" s="71" t="s">
        <v>51</v>
      </c>
      <c r="C1212" s="71">
        <v>2026</v>
      </c>
      <c r="D1212" s="71">
        <v>8</v>
      </c>
      <c r="E1212" s="71" t="s">
        <v>46</v>
      </c>
      <c r="F1212" s="71" t="s">
        <v>40</v>
      </c>
      <c r="G1212" s="72">
        <v>223.7</v>
      </c>
      <c r="H1212" s="73">
        <v>1568</v>
      </c>
      <c r="I1212" s="73">
        <v>-170</v>
      </c>
      <c r="J1212" s="73">
        <v>-63</v>
      </c>
      <c r="K1212" s="73">
        <v>-456</v>
      </c>
      <c r="L1212" s="73">
        <v>-113</v>
      </c>
      <c r="M1212" s="73">
        <v>-68</v>
      </c>
      <c r="N1212" s="73">
        <v>-37</v>
      </c>
      <c r="O1212" s="73">
        <v>-21</v>
      </c>
      <c r="P1212" s="73">
        <v>-120</v>
      </c>
      <c r="Q1212" s="73">
        <v>-31</v>
      </c>
      <c r="R1212" s="73">
        <v>0</v>
      </c>
      <c r="S1212" s="73">
        <v>0</v>
      </c>
      <c r="T1212" s="73">
        <v>0</v>
      </c>
      <c r="U1212" s="73">
        <v>0</v>
      </c>
      <c r="V1212" s="73">
        <v>0</v>
      </c>
      <c r="W1212" s="73">
        <v>0</v>
      </c>
      <c r="X1212" s="73">
        <v>0</v>
      </c>
      <c r="Y1212" s="73">
        <v>0</v>
      </c>
      <c r="Z1212" s="73">
        <v>1175</v>
      </c>
      <c r="AA1212" s="73">
        <v>1641</v>
      </c>
      <c r="AB1212" s="73">
        <v>0</v>
      </c>
      <c r="AC1212" s="73">
        <v>0</v>
      </c>
      <c r="AD1212" s="73">
        <v>0</v>
      </c>
      <c r="AE1212" s="73">
        <v>0</v>
      </c>
      <c r="AF1212" s="74">
        <f>tblData[[#This Row],[Gross Sales]]+tblData[[#This Row],[Trade Discounts]]+tblData[[#This Row],[Returns]]</f>
        <v>1335</v>
      </c>
      <c r="AG1212" s="74">
        <f>tblData[[#This Row],[Material Cost]]+tblData[[#This Row],[Conversion Cost]]+tblData[[#This Row],[Inbound Freight]]</f>
        <v>-637</v>
      </c>
      <c r="AH1212" s="74">
        <f>tblData[[#This Row],[Net Revenue]]+tblData[[#This Row],[COGS]]</f>
        <v>698</v>
      </c>
      <c r="AI1212" s="74">
        <f>tblData[[#This Row],[Advertising]]+tblData[[#This Row],[Promotions]]</f>
        <v>-58</v>
      </c>
      <c r="AJ1212" s="74">
        <f>tblData[[#This Row],[Outbound Logistics]]+tblData[[#This Row],[Direct Selling]]</f>
        <v>-151</v>
      </c>
      <c r="AK1212" s="74">
        <f>tblData[[#This Row],[Gross Profit]]+tblData[[#This Row],[AP Spend]]+tblData[[#This Row],[Cost to Serve]]</f>
        <v>489</v>
      </c>
    </row>
    <row r="1213" spans="2:37" x14ac:dyDescent="0.25">
      <c r="B1213" s="71" t="s">
        <v>51</v>
      </c>
      <c r="C1213" s="71">
        <v>2026</v>
      </c>
      <c r="D1213" s="71">
        <v>8</v>
      </c>
      <c r="E1213" s="71" t="s">
        <v>46</v>
      </c>
      <c r="F1213" s="71" t="s">
        <v>41</v>
      </c>
      <c r="G1213" s="72">
        <v>113.3</v>
      </c>
      <c r="H1213" s="73">
        <v>1251</v>
      </c>
      <c r="I1213" s="73">
        <v>-136</v>
      </c>
      <c r="J1213" s="73">
        <v>-50</v>
      </c>
      <c r="K1213" s="73">
        <v>-300</v>
      </c>
      <c r="L1213" s="73">
        <v>-74</v>
      </c>
      <c r="M1213" s="73">
        <v>-45</v>
      </c>
      <c r="N1213" s="73">
        <v>-79</v>
      </c>
      <c r="O1213" s="73">
        <v>-45</v>
      </c>
      <c r="P1213" s="73">
        <v>-96</v>
      </c>
      <c r="Q1213" s="73">
        <v>-25</v>
      </c>
      <c r="R1213" s="73">
        <v>0</v>
      </c>
      <c r="S1213" s="73">
        <v>0</v>
      </c>
      <c r="T1213" s="73">
        <v>0</v>
      </c>
      <c r="U1213" s="73">
        <v>0</v>
      </c>
      <c r="V1213" s="73">
        <v>0</v>
      </c>
      <c r="W1213" s="73">
        <v>0</v>
      </c>
      <c r="X1213" s="73">
        <v>0</v>
      </c>
      <c r="Y1213" s="73">
        <v>0</v>
      </c>
      <c r="Z1213" s="73">
        <v>938</v>
      </c>
      <c r="AA1213" s="73">
        <v>1287</v>
      </c>
      <c r="AB1213" s="73">
        <v>0</v>
      </c>
      <c r="AC1213" s="73">
        <v>0</v>
      </c>
      <c r="AD1213" s="73">
        <v>0</v>
      </c>
      <c r="AE1213" s="73">
        <v>0</v>
      </c>
      <c r="AF1213" s="74">
        <f>tblData[[#This Row],[Gross Sales]]+tblData[[#This Row],[Trade Discounts]]+tblData[[#This Row],[Returns]]</f>
        <v>1065</v>
      </c>
      <c r="AG1213" s="74">
        <f>tblData[[#This Row],[Material Cost]]+tblData[[#This Row],[Conversion Cost]]+tblData[[#This Row],[Inbound Freight]]</f>
        <v>-419</v>
      </c>
      <c r="AH1213" s="74">
        <f>tblData[[#This Row],[Net Revenue]]+tblData[[#This Row],[COGS]]</f>
        <v>646</v>
      </c>
      <c r="AI1213" s="74">
        <f>tblData[[#This Row],[Advertising]]+tblData[[#This Row],[Promotions]]</f>
        <v>-124</v>
      </c>
      <c r="AJ1213" s="74">
        <f>tblData[[#This Row],[Outbound Logistics]]+tblData[[#This Row],[Direct Selling]]</f>
        <v>-121</v>
      </c>
      <c r="AK1213" s="74">
        <f>tblData[[#This Row],[Gross Profit]]+tblData[[#This Row],[AP Spend]]+tblData[[#This Row],[Cost to Serve]]</f>
        <v>401</v>
      </c>
    </row>
    <row r="1214" spans="2:37" x14ac:dyDescent="0.25">
      <c r="B1214" s="71" t="s">
        <v>51</v>
      </c>
      <c r="C1214" s="71">
        <v>2026</v>
      </c>
      <c r="D1214" s="71">
        <v>8</v>
      </c>
      <c r="E1214" s="71" t="s">
        <v>46</v>
      </c>
      <c r="F1214" s="71" t="s">
        <v>42</v>
      </c>
      <c r="G1214" s="72">
        <v>139.5</v>
      </c>
      <c r="H1214" s="73">
        <v>836</v>
      </c>
      <c r="I1214" s="73">
        <v>-91</v>
      </c>
      <c r="J1214" s="73">
        <v>-33</v>
      </c>
      <c r="K1214" s="73">
        <v>-268</v>
      </c>
      <c r="L1214" s="73">
        <v>-66</v>
      </c>
      <c r="M1214" s="73">
        <v>-40</v>
      </c>
      <c r="N1214" s="73">
        <v>-15</v>
      </c>
      <c r="O1214" s="73">
        <v>-9</v>
      </c>
      <c r="P1214" s="73">
        <v>-64</v>
      </c>
      <c r="Q1214" s="73">
        <v>-17</v>
      </c>
      <c r="R1214" s="73">
        <v>0</v>
      </c>
      <c r="S1214" s="73">
        <v>0</v>
      </c>
      <c r="T1214" s="73">
        <v>0</v>
      </c>
      <c r="U1214" s="73">
        <v>0</v>
      </c>
      <c r="V1214" s="73">
        <v>0</v>
      </c>
      <c r="W1214" s="73">
        <v>0</v>
      </c>
      <c r="X1214" s="73">
        <v>0</v>
      </c>
      <c r="Y1214" s="73">
        <v>0</v>
      </c>
      <c r="Z1214" s="73">
        <v>625</v>
      </c>
      <c r="AA1214" s="73">
        <v>1497</v>
      </c>
      <c r="AB1214" s="73">
        <v>0</v>
      </c>
      <c r="AC1214" s="73">
        <v>0</v>
      </c>
      <c r="AD1214" s="73">
        <v>0</v>
      </c>
      <c r="AE1214" s="73">
        <v>0</v>
      </c>
      <c r="AF1214" s="74">
        <f>tblData[[#This Row],[Gross Sales]]+tblData[[#This Row],[Trade Discounts]]+tblData[[#This Row],[Returns]]</f>
        <v>712</v>
      </c>
      <c r="AG1214" s="74">
        <f>tblData[[#This Row],[Material Cost]]+tblData[[#This Row],[Conversion Cost]]+tblData[[#This Row],[Inbound Freight]]</f>
        <v>-374</v>
      </c>
      <c r="AH1214" s="74">
        <f>tblData[[#This Row],[Net Revenue]]+tblData[[#This Row],[COGS]]</f>
        <v>338</v>
      </c>
      <c r="AI1214" s="74">
        <f>tblData[[#This Row],[Advertising]]+tblData[[#This Row],[Promotions]]</f>
        <v>-24</v>
      </c>
      <c r="AJ1214" s="74">
        <f>tblData[[#This Row],[Outbound Logistics]]+tblData[[#This Row],[Direct Selling]]</f>
        <v>-81</v>
      </c>
      <c r="AK1214" s="74">
        <f>tblData[[#This Row],[Gross Profit]]+tblData[[#This Row],[AP Spend]]+tblData[[#This Row],[Cost to Serve]]</f>
        <v>233</v>
      </c>
    </row>
    <row r="1215" spans="2:37" x14ac:dyDescent="0.25">
      <c r="B1215" s="71" t="s">
        <v>51</v>
      </c>
      <c r="C1215" s="71">
        <v>2026</v>
      </c>
      <c r="D1215" s="71">
        <v>8</v>
      </c>
      <c r="E1215" s="71" t="s">
        <v>46</v>
      </c>
      <c r="F1215" s="71" t="s">
        <v>43</v>
      </c>
      <c r="G1215" s="72">
        <v>26.8</v>
      </c>
      <c r="H1215" s="73">
        <v>482</v>
      </c>
      <c r="I1215" s="73">
        <v>-52</v>
      </c>
      <c r="J1215" s="73">
        <v>-19</v>
      </c>
      <c r="K1215" s="73">
        <v>-133</v>
      </c>
      <c r="L1215" s="73">
        <v>-33</v>
      </c>
      <c r="M1215" s="73">
        <v>-20</v>
      </c>
      <c r="N1215" s="73">
        <v>-43</v>
      </c>
      <c r="O1215" s="73">
        <v>-25</v>
      </c>
      <c r="P1215" s="73">
        <v>-37</v>
      </c>
      <c r="Q1215" s="73">
        <v>-10</v>
      </c>
      <c r="R1215" s="73">
        <v>0</v>
      </c>
      <c r="S1215" s="73">
        <v>0</v>
      </c>
      <c r="T1215" s="73">
        <v>0</v>
      </c>
      <c r="U1215" s="73">
        <v>0</v>
      </c>
      <c r="V1215" s="73">
        <v>0</v>
      </c>
      <c r="W1215" s="73">
        <v>0</v>
      </c>
      <c r="X1215" s="73">
        <v>0</v>
      </c>
      <c r="Y1215" s="73">
        <v>0</v>
      </c>
      <c r="Z1215" s="73">
        <v>361</v>
      </c>
      <c r="AA1215" s="73">
        <v>751</v>
      </c>
      <c r="AB1215" s="73">
        <v>0</v>
      </c>
      <c r="AC1215" s="73">
        <v>0</v>
      </c>
      <c r="AD1215" s="73">
        <v>0</v>
      </c>
      <c r="AE1215" s="73">
        <v>0</v>
      </c>
      <c r="AF1215" s="74">
        <f>tblData[[#This Row],[Gross Sales]]+tblData[[#This Row],[Trade Discounts]]+tblData[[#This Row],[Returns]]</f>
        <v>411</v>
      </c>
      <c r="AG1215" s="74">
        <f>tblData[[#This Row],[Material Cost]]+tblData[[#This Row],[Conversion Cost]]+tblData[[#This Row],[Inbound Freight]]</f>
        <v>-186</v>
      </c>
      <c r="AH1215" s="74">
        <f>tblData[[#This Row],[Net Revenue]]+tblData[[#This Row],[COGS]]</f>
        <v>225</v>
      </c>
      <c r="AI1215" s="74">
        <f>tblData[[#This Row],[Advertising]]+tblData[[#This Row],[Promotions]]</f>
        <v>-68</v>
      </c>
      <c r="AJ1215" s="74">
        <f>tblData[[#This Row],[Outbound Logistics]]+tblData[[#This Row],[Direct Selling]]</f>
        <v>-47</v>
      </c>
      <c r="AK1215" s="74">
        <f>tblData[[#This Row],[Gross Profit]]+tblData[[#This Row],[AP Spend]]+tblData[[#This Row],[Cost to Serve]]</f>
        <v>110</v>
      </c>
    </row>
    <row r="1216" spans="2:37" x14ac:dyDescent="0.25">
      <c r="B1216" s="71" t="s">
        <v>51</v>
      </c>
      <c r="C1216" s="71">
        <v>2026</v>
      </c>
      <c r="D1216" s="71">
        <v>8</v>
      </c>
      <c r="E1216" s="71" t="s">
        <v>47</v>
      </c>
      <c r="F1216" s="71" t="s">
        <v>38</v>
      </c>
      <c r="G1216" s="72">
        <v>65.400000000000006</v>
      </c>
      <c r="H1216" s="73">
        <v>923</v>
      </c>
      <c r="I1216" s="73">
        <v>-28</v>
      </c>
      <c r="J1216" s="73">
        <v>-46</v>
      </c>
      <c r="K1216" s="73">
        <v>-202</v>
      </c>
      <c r="L1216" s="73">
        <v>-50</v>
      </c>
      <c r="M1216" s="73">
        <v>-30</v>
      </c>
      <c r="N1216" s="73">
        <v>-48</v>
      </c>
      <c r="O1216" s="73">
        <v>-28</v>
      </c>
      <c r="P1216" s="73">
        <v>-113</v>
      </c>
      <c r="Q1216" s="73">
        <v>-37</v>
      </c>
      <c r="R1216" s="73">
        <v>0</v>
      </c>
      <c r="S1216" s="73">
        <v>0</v>
      </c>
      <c r="T1216" s="73">
        <v>0</v>
      </c>
      <c r="U1216" s="73">
        <v>0</v>
      </c>
      <c r="V1216" s="73">
        <v>0</v>
      </c>
      <c r="W1216" s="73">
        <v>0</v>
      </c>
      <c r="X1216" s="73">
        <v>0</v>
      </c>
      <c r="Y1216" s="73">
        <v>0</v>
      </c>
      <c r="Z1216" s="73">
        <v>139</v>
      </c>
      <c r="AA1216" s="73">
        <v>913</v>
      </c>
      <c r="AB1216" s="73">
        <v>0</v>
      </c>
      <c r="AC1216" s="73">
        <v>0</v>
      </c>
      <c r="AD1216" s="73">
        <v>0</v>
      </c>
      <c r="AE1216" s="73">
        <v>0</v>
      </c>
      <c r="AF1216" s="74">
        <f>tblData[[#This Row],[Gross Sales]]+tblData[[#This Row],[Trade Discounts]]+tblData[[#This Row],[Returns]]</f>
        <v>849</v>
      </c>
      <c r="AG1216" s="74">
        <f>tblData[[#This Row],[Material Cost]]+tblData[[#This Row],[Conversion Cost]]+tblData[[#This Row],[Inbound Freight]]</f>
        <v>-282</v>
      </c>
      <c r="AH1216" s="74">
        <f>tblData[[#This Row],[Net Revenue]]+tblData[[#This Row],[COGS]]</f>
        <v>567</v>
      </c>
      <c r="AI1216" s="74">
        <f>tblData[[#This Row],[Advertising]]+tblData[[#This Row],[Promotions]]</f>
        <v>-76</v>
      </c>
      <c r="AJ1216" s="74">
        <f>tblData[[#This Row],[Outbound Logistics]]+tblData[[#This Row],[Direct Selling]]</f>
        <v>-150</v>
      </c>
      <c r="AK1216" s="74">
        <f>tblData[[#This Row],[Gross Profit]]+tblData[[#This Row],[AP Spend]]+tblData[[#This Row],[Cost to Serve]]</f>
        <v>341</v>
      </c>
    </row>
    <row r="1217" spans="2:37" x14ac:dyDescent="0.25">
      <c r="B1217" s="71" t="s">
        <v>51</v>
      </c>
      <c r="C1217" s="71">
        <v>2026</v>
      </c>
      <c r="D1217" s="71">
        <v>8</v>
      </c>
      <c r="E1217" s="71" t="s">
        <v>47</v>
      </c>
      <c r="F1217" s="71" t="s">
        <v>39</v>
      </c>
      <c r="G1217" s="72">
        <v>86.2</v>
      </c>
      <c r="H1217" s="73">
        <v>780</v>
      </c>
      <c r="I1217" s="73">
        <v>-23</v>
      </c>
      <c r="J1217" s="73">
        <v>-39</v>
      </c>
      <c r="K1217" s="73">
        <v>-204</v>
      </c>
      <c r="L1217" s="73">
        <v>-51</v>
      </c>
      <c r="M1217" s="73">
        <v>-31</v>
      </c>
      <c r="N1217" s="73">
        <v>-28</v>
      </c>
      <c r="O1217" s="73">
        <v>-16</v>
      </c>
      <c r="P1217" s="73">
        <v>-96</v>
      </c>
      <c r="Q1217" s="73">
        <v>-31</v>
      </c>
      <c r="R1217" s="73">
        <v>0</v>
      </c>
      <c r="S1217" s="73">
        <v>0</v>
      </c>
      <c r="T1217" s="73">
        <v>0</v>
      </c>
      <c r="U1217" s="73">
        <v>0</v>
      </c>
      <c r="V1217" s="73">
        <v>0</v>
      </c>
      <c r="W1217" s="73">
        <v>0</v>
      </c>
      <c r="X1217" s="73">
        <v>0</v>
      </c>
      <c r="Y1217" s="73">
        <v>0</v>
      </c>
      <c r="Z1217" s="73">
        <v>117</v>
      </c>
      <c r="AA1217" s="73">
        <v>784</v>
      </c>
      <c r="AB1217" s="73">
        <v>0</v>
      </c>
      <c r="AC1217" s="73">
        <v>0</v>
      </c>
      <c r="AD1217" s="73">
        <v>0</v>
      </c>
      <c r="AE1217" s="73">
        <v>0</v>
      </c>
      <c r="AF1217" s="74">
        <f>tblData[[#This Row],[Gross Sales]]+tblData[[#This Row],[Trade Discounts]]+tblData[[#This Row],[Returns]]</f>
        <v>718</v>
      </c>
      <c r="AG1217" s="74">
        <f>tblData[[#This Row],[Material Cost]]+tblData[[#This Row],[Conversion Cost]]+tblData[[#This Row],[Inbound Freight]]</f>
        <v>-286</v>
      </c>
      <c r="AH1217" s="74">
        <f>tblData[[#This Row],[Net Revenue]]+tblData[[#This Row],[COGS]]</f>
        <v>432</v>
      </c>
      <c r="AI1217" s="74">
        <f>tblData[[#This Row],[Advertising]]+tblData[[#This Row],[Promotions]]</f>
        <v>-44</v>
      </c>
      <c r="AJ1217" s="74">
        <f>tblData[[#This Row],[Outbound Logistics]]+tblData[[#This Row],[Direct Selling]]</f>
        <v>-127</v>
      </c>
      <c r="AK1217" s="74">
        <f>tblData[[#This Row],[Gross Profit]]+tblData[[#This Row],[AP Spend]]+tblData[[#This Row],[Cost to Serve]]</f>
        <v>261</v>
      </c>
    </row>
    <row r="1218" spans="2:37" x14ac:dyDescent="0.25">
      <c r="B1218" s="71" t="s">
        <v>51</v>
      </c>
      <c r="C1218" s="71">
        <v>2026</v>
      </c>
      <c r="D1218" s="71">
        <v>8</v>
      </c>
      <c r="E1218" s="71" t="s">
        <v>47</v>
      </c>
      <c r="F1218" s="71" t="s">
        <v>40</v>
      </c>
      <c r="G1218" s="72">
        <v>82.6</v>
      </c>
      <c r="H1218" s="73">
        <v>581</v>
      </c>
      <c r="I1218" s="73">
        <v>-17</v>
      </c>
      <c r="J1218" s="73">
        <v>-29</v>
      </c>
      <c r="K1218" s="73">
        <v>-169</v>
      </c>
      <c r="L1218" s="73">
        <v>-42</v>
      </c>
      <c r="M1218" s="73">
        <v>-25</v>
      </c>
      <c r="N1218" s="73">
        <v>-14</v>
      </c>
      <c r="O1218" s="73">
        <v>-8</v>
      </c>
      <c r="P1218" s="73">
        <v>-71</v>
      </c>
      <c r="Q1218" s="73">
        <v>-23</v>
      </c>
      <c r="R1218" s="73">
        <v>0</v>
      </c>
      <c r="S1218" s="73">
        <v>0</v>
      </c>
      <c r="T1218" s="73">
        <v>0</v>
      </c>
      <c r="U1218" s="73">
        <v>0</v>
      </c>
      <c r="V1218" s="73">
        <v>0</v>
      </c>
      <c r="W1218" s="73">
        <v>0</v>
      </c>
      <c r="X1218" s="73">
        <v>0</v>
      </c>
      <c r="Y1218" s="73">
        <v>0</v>
      </c>
      <c r="Z1218" s="73">
        <v>87</v>
      </c>
      <c r="AA1218" s="73">
        <v>607</v>
      </c>
      <c r="AB1218" s="73">
        <v>0</v>
      </c>
      <c r="AC1218" s="73">
        <v>0</v>
      </c>
      <c r="AD1218" s="73">
        <v>0</v>
      </c>
      <c r="AE1218" s="73">
        <v>0</v>
      </c>
      <c r="AF1218" s="74">
        <f>tblData[[#This Row],[Gross Sales]]+tblData[[#This Row],[Trade Discounts]]+tblData[[#This Row],[Returns]]</f>
        <v>535</v>
      </c>
      <c r="AG1218" s="74">
        <f>tblData[[#This Row],[Material Cost]]+tblData[[#This Row],[Conversion Cost]]+tblData[[#This Row],[Inbound Freight]]</f>
        <v>-236</v>
      </c>
      <c r="AH1218" s="74">
        <f>tblData[[#This Row],[Net Revenue]]+tblData[[#This Row],[COGS]]</f>
        <v>299</v>
      </c>
      <c r="AI1218" s="74">
        <f>tblData[[#This Row],[Advertising]]+tblData[[#This Row],[Promotions]]</f>
        <v>-22</v>
      </c>
      <c r="AJ1218" s="74">
        <f>tblData[[#This Row],[Outbound Logistics]]+tblData[[#This Row],[Direct Selling]]</f>
        <v>-94</v>
      </c>
      <c r="AK1218" s="74">
        <f>tblData[[#This Row],[Gross Profit]]+tblData[[#This Row],[AP Spend]]+tblData[[#This Row],[Cost to Serve]]</f>
        <v>183</v>
      </c>
    </row>
    <row r="1219" spans="2:37" x14ac:dyDescent="0.25">
      <c r="B1219" s="71" t="s">
        <v>51</v>
      </c>
      <c r="C1219" s="71">
        <v>2026</v>
      </c>
      <c r="D1219" s="71">
        <v>8</v>
      </c>
      <c r="E1219" s="71" t="s">
        <v>47</v>
      </c>
      <c r="F1219" s="71" t="s">
        <v>41</v>
      </c>
      <c r="G1219" s="72">
        <v>41.4</v>
      </c>
      <c r="H1219" s="73">
        <v>458</v>
      </c>
      <c r="I1219" s="73">
        <v>-14</v>
      </c>
      <c r="J1219" s="73">
        <v>-23</v>
      </c>
      <c r="K1219" s="73">
        <v>-110</v>
      </c>
      <c r="L1219" s="73">
        <v>-27</v>
      </c>
      <c r="M1219" s="73">
        <v>-16</v>
      </c>
      <c r="N1219" s="73">
        <v>-29</v>
      </c>
      <c r="O1219" s="73">
        <v>-17</v>
      </c>
      <c r="P1219" s="73">
        <v>-56</v>
      </c>
      <c r="Q1219" s="73">
        <v>-18</v>
      </c>
      <c r="R1219" s="73">
        <v>0</v>
      </c>
      <c r="S1219" s="73">
        <v>0</v>
      </c>
      <c r="T1219" s="73">
        <v>0</v>
      </c>
      <c r="U1219" s="73">
        <v>0</v>
      </c>
      <c r="V1219" s="73">
        <v>0</v>
      </c>
      <c r="W1219" s="73">
        <v>0</v>
      </c>
      <c r="X1219" s="73">
        <v>0</v>
      </c>
      <c r="Y1219" s="73">
        <v>0</v>
      </c>
      <c r="Z1219" s="73">
        <v>69</v>
      </c>
      <c r="AA1219" s="73">
        <v>472</v>
      </c>
      <c r="AB1219" s="73">
        <v>0</v>
      </c>
      <c r="AC1219" s="73">
        <v>0</v>
      </c>
      <c r="AD1219" s="73">
        <v>0</v>
      </c>
      <c r="AE1219" s="73">
        <v>0</v>
      </c>
      <c r="AF1219" s="74">
        <f>tblData[[#This Row],[Gross Sales]]+tblData[[#This Row],[Trade Discounts]]+tblData[[#This Row],[Returns]]</f>
        <v>421</v>
      </c>
      <c r="AG1219" s="74">
        <f>tblData[[#This Row],[Material Cost]]+tblData[[#This Row],[Conversion Cost]]+tblData[[#This Row],[Inbound Freight]]</f>
        <v>-153</v>
      </c>
      <c r="AH1219" s="74">
        <f>tblData[[#This Row],[Net Revenue]]+tblData[[#This Row],[COGS]]</f>
        <v>268</v>
      </c>
      <c r="AI1219" s="74">
        <f>tblData[[#This Row],[Advertising]]+tblData[[#This Row],[Promotions]]</f>
        <v>-46</v>
      </c>
      <c r="AJ1219" s="74">
        <f>tblData[[#This Row],[Outbound Logistics]]+tblData[[#This Row],[Direct Selling]]</f>
        <v>-74</v>
      </c>
      <c r="AK1219" s="74">
        <f>tblData[[#This Row],[Gross Profit]]+tblData[[#This Row],[AP Spend]]+tblData[[#This Row],[Cost to Serve]]</f>
        <v>148</v>
      </c>
    </row>
    <row r="1220" spans="2:37" x14ac:dyDescent="0.25">
      <c r="B1220" s="71" t="s">
        <v>51</v>
      </c>
      <c r="C1220" s="71">
        <v>2026</v>
      </c>
      <c r="D1220" s="71">
        <v>8</v>
      </c>
      <c r="E1220" s="71" t="s">
        <v>47</v>
      </c>
      <c r="F1220" s="71" t="s">
        <v>42</v>
      </c>
      <c r="G1220" s="72">
        <v>50.8</v>
      </c>
      <c r="H1220" s="73">
        <v>305</v>
      </c>
      <c r="I1220" s="73">
        <v>-9</v>
      </c>
      <c r="J1220" s="73">
        <v>-15</v>
      </c>
      <c r="K1220" s="73">
        <v>-98</v>
      </c>
      <c r="L1220" s="73">
        <v>-24</v>
      </c>
      <c r="M1220" s="73">
        <v>-15</v>
      </c>
      <c r="N1220" s="73">
        <v>-6</v>
      </c>
      <c r="O1220" s="73">
        <v>-3</v>
      </c>
      <c r="P1220" s="73">
        <v>-37</v>
      </c>
      <c r="Q1220" s="73">
        <v>-12</v>
      </c>
      <c r="R1220" s="73">
        <v>0</v>
      </c>
      <c r="S1220" s="73">
        <v>0</v>
      </c>
      <c r="T1220" s="73">
        <v>0</v>
      </c>
      <c r="U1220" s="73">
        <v>0</v>
      </c>
      <c r="V1220" s="73">
        <v>0</v>
      </c>
      <c r="W1220" s="73">
        <v>0</v>
      </c>
      <c r="X1220" s="73">
        <v>0</v>
      </c>
      <c r="Y1220" s="73">
        <v>0</v>
      </c>
      <c r="Z1220" s="73">
        <v>46</v>
      </c>
      <c r="AA1220" s="73">
        <v>550</v>
      </c>
      <c r="AB1220" s="73">
        <v>0</v>
      </c>
      <c r="AC1220" s="73">
        <v>0</v>
      </c>
      <c r="AD1220" s="73">
        <v>0</v>
      </c>
      <c r="AE1220" s="73">
        <v>0</v>
      </c>
      <c r="AF1220" s="74">
        <f>tblData[[#This Row],[Gross Sales]]+tblData[[#This Row],[Trade Discounts]]+tblData[[#This Row],[Returns]]</f>
        <v>281</v>
      </c>
      <c r="AG1220" s="74">
        <f>tblData[[#This Row],[Material Cost]]+tblData[[#This Row],[Conversion Cost]]+tblData[[#This Row],[Inbound Freight]]</f>
        <v>-137</v>
      </c>
      <c r="AH1220" s="74">
        <f>tblData[[#This Row],[Net Revenue]]+tblData[[#This Row],[COGS]]</f>
        <v>144</v>
      </c>
      <c r="AI1220" s="74">
        <f>tblData[[#This Row],[Advertising]]+tblData[[#This Row],[Promotions]]</f>
        <v>-9</v>
      </c>
      <c r="AJ1220" s="74">
        <f>tblData[[#This Row],[Outbound Logistics]]+tblData[[#This Row],[Direct Selling]]</f>
        <v>-49</v>
      </c>
      <c r="AK1220" s="74">
        <f>tblData[[#This Row],[Gross Profit]]+tblData[[#This Row],[AP Spend]]+tblData[[#This Row],[Cost to Serve]]</f>
        <v>86</v>
      </c>
    </row>
    <row r="1221" spans="2:37" x14ac:dyDescent="0.25">
      <c r="B1221" s="71" t="s">
        <v>51</v>
      </c>
      <c r="C1221" s="71">
        <v>2026</v>
      </c>
      <c r="D1221" s="71">
        <v>8</v>
      </c>
      <c r="E1221" s="71" t="s">
        <v>47</v>
      </c>
      <c r="F1221" s="71" t="s">
        <v>43</v>
      </c>
      <c r="G1221" s="72">
        <v>9.8000000000000007</v>
      </c>
      <c r="H1221" s="73">
        <v>177</v>
      </c>
      <c r="I1221" s="73">
        <v>-5</v>
      </c>
      <c r="J1221" s="73">
        <v>-9</v>
      </c>
      <c r="K1221" s="73">
        <v>-49</v>
      </c>
      <c r="L1221" s="73">
        <v>-12</v>
      </c>
      <c r="M1221" s="73">
        <v>-7</v>
      </c>
      <c r="N1221" s="73">
        <v>-16</v>
      </c>
      <c r="O1221" s="73">
        <v>-9</v>
      </c>
      <c r="P1221" s="73">
        <v>-22</v>
      </c>
      <c r="Q1221" s="73">
        <v>-7</v>
      </c>
      <c r="R1221" s="73">
        <v>0</v>
      </c>
      <c r="S1221" s="73">
        <v>0</v>
      </c>
      <c r="T1221" s="73">
        <v>0</v>
      </c>
      <c r="U1221" s="73">
        <v>0</v>
      </c>
      <c r="V1221" s="73">
        <v>0</v>
      </c>
      <c r="W1221" s="73">
        <v>0</v>
      </c>
      <c r="X1221" s="73">
        <v>0</v>
      </c>
      <c r="Y1221" s="73">
        <v>0</v>
      </c>
      <c r="Z1221" s="73">
        <v>27</v>
      </c>
      <c r="AA1221" s="73">
        <v>277</v>
      </c>
      <c r="AB1221" s="73">
        <v>0</v>
      </c>
      <c r="AC1221" s="73">
        <v>0</v>
      </c>
      <c r="AD1221" s="73">
        <v>0</v>
      </c>
      <c r="AE1221" s="73">
        <v>0</v>
      </c>
      <c r="AF1221" s="74">
        <f>tblData[[#This Row],[Gross Sales]]+tblData[[#This Row],[Trade Discounts]]+tblData[[#This Row],[Returns]]</f>
        <v>163</v>
      </c>
      <c r="AG1221" s="74">
        <f>tblData[[#This Row],[Material Cost]]+tblData[[#This Row],[Conversion Cost]]+tblData[[#This Row],[Inbound Freight]]</f>
        <v>-68</v>
      </c>
      <c r="AH1221" s="74">
        <f>tblData[[#This Row],[Net Revenue]]+tblData[[#This Row],[COGS]]</f>
        <v>95</v>
      </c>
      <c r="AI1221" s="74">
        <f>tblData[[#This Row],[Advertising]]+tblData[[#This Row],[Promotions]]</f>
        <v>-25</v>
      </c>
      <c r="AJ1221" s="74">
        <f>tblData[[#This Row],[Outbound Logistics]]+tblData[[#This Row],[Direct Selling]]</f>
        <v>-29</v>
      </c>
      <c r="AK1221" s="74">
        <f>tblData[[#This Row],[Gross Profit]]+tblData[[#This Row],[AP Spend]]+tblData[[#This Row],[Cost to Serve]]</f>
        <v>41</v>
      </c>
    </row>
    <row r="1222" spans="2:37" x14ac:dyDescent="0.25">
      <c r="B1222" s="71" t="s">
        <v>51</v>
      </c>
      <c r="C1222" s="71">
        <v>2026</v>
      </c>
      <c r="D1222" s="71">
        <v>8</v>
      </c>
      <c r="E1222" s="71" t="s">
        <v>48</v>
      </c>
      <c r="F1222" s="71" t="s">
        <v>38</v>
      </c>
      <c r="G1222" s="72">
        <v>106.8</v>
      </c>
      <c r="H1222" s="73">
        <v>1502</v>
      </c>
      <c r="I1222" s="73">
        <v>-135</v>
      </c>
      <c r="J1222" s="73">
        <v>-15</v>
      </c>
      <c r="K1222" s="73">
        <v>-328</v>
      </c>
      <c r="L1222" s="73">
        <v>-81</v>
      </c>
      <c r="M1222" s="73">
        <v>-49</v>
      </c>
      <c r="N1222" s="73">
        <v>-80</v>
      </c>
      <c r="O1222" s="73">
        <v>-46</v>
      </c>
      <c r="P1222" s="73">
        <v>-46</v>
      </c>
      <c r="Q1222" s="73">
        <v>-23</v>
      </c>
      <c r="R1222" s="73">
        <v>0</v>
      </c>
      <c r="S1222" s="73">
        <v>0</v>
      </c>
      <c r="T1222" s="73">
        <v>0</v>
      </c>
      <c r="U1222" s="73">
        <v>0</v>
      </c>
      <c r="V1222" s="73">
        <v>0</v>
      </c>
      <c r="W1222" s="73">
        <v>0</v>
      </c>
      <c r="X1222" s="73">
        <v>0</v>
      </c>
      <c r="Y1222" s="73">
        <v>0</v>
      </c>
      <c r="Z1222" s="73">
        <v>3163</v>
      </c>
      <c r="AA1222" s="73">
        <v>1473</v>
      </c>
      <c r="AB1222" s="73">
        <v>0</v>
      </c>
      <c r="AC1222" s="73">
        <v>0</v>
      </c>
      <c r="AD1222" s="73">
        <v>0</v>
      </c>
      <c r="AE1222" s="73">
        <v>0</v>
      </c>
      <c r="AF1222" s="74">
        <f>tblData[[#This Row],[Gross Sales]]+tblData[[#This Row],[Trade Discounts]]+tblData[[#This Row],[Returns]]</f>
        <v>1352</v>
      </c>
      <c r="AG1222" s="74">
        <f>tblData[[#This Row],[Material Cost]]+tblData[[#This Row],[Conversion Cost]]+tblData[[#This Row],[Inbound Freight]]</f>
        <v>-458</v>
      </c>
      <c r="AH1222" s="74">
        <f>tblData[[#This Row],[Net Revenue]]+tblData[[#This Row],[COGS]]</f>
        <v>894</v>
      </c>
      <c r="AI1222" s="74">
        <f>tblData[[#This Row],[Advertising]]+tblData[[#This Row],[Promotions]]</f>
        <v>-126</v>
      </c>
      <c r="AJ1222" s="74">
        <f>tblData[[#This Row],[Outbound Logistics]]+tblData[[#This Row],[Direct Selling]]</f>
        <v>-69</v>
      </c>
      <c r="AK1222" s="74">
        <f>tblData[[#This Row],[Gross Profit]]+tblData[[#This Row],[AP Spend]]+tblData[[#This Row],[Cost to Serve]]</f>
        <v>699</v>
      </c>
    </row>
    <row r="1223" spans="2:37" x14ac:dyDescent="0.25">
      <c r="B1223" s="71" t="s">
        <v>51</v>
      </c>
      <c r="C1223" s="71">
        <v>2026</v>
      </c>
      <c r="D1223" s="71">
        <v>8</v>
      </c>
      <c r="E1223" s="71" t="s">
        <v>48</v>
      </c>
      <c r="F1223" s="71" t="s">
        <v>39</v>
      </c>
      <c r="G1223" s="72">
        <v>138.9</v>
      </c>
      <c r="H1223" s="73">
        <v>1252</v>
      </c>
      <c r="I1223" s="73">
        <v>-113</v>
      </c>
      <c r="J1223" s="73">
        <v>-13</v>
      </c>
      <c r="K1223" s="73">
        <v>-328</v>
      </c>
      <c r="L1223" s="73">
        <v>-81</v>
      </c>
      <c r="M1223" s="73">
        <v>-49</v>
      </c>
      <c r="N1223" s="73">
        <v>-46</v>
      </c>
      <c r="O1223" s="73">
        <v>-26</v>
      </c>
      <c r="P1223" s="73">
        <v>-38</v>
      </c>
      <c r="Q1223" s="73">
        <v>-19</v>
      </c>
      <c r="R1223" s="73">
        <v>0</v>
      </c>
      <c r="S1223" s="73">
        <v>0</v>
      </c>
      <c r="T1223" s="73">
        <v>0</v>
      </c>
      <c r="U1223" s="73">
        <v>0</v>
      </c>
      <c r="V1223" s="73">
        <v>0</v>
      </c>
      <c r="W1223" s="73">
        <v>0</v>
      </c>
      <c r="X1223" s="73">
        <v>0</v>
      </c>
      <c r="Y1223" s="73">
        <v>0</v>
      </c>
      <c r="Z1223" s="73">
        <v>2657</v>
      </c>
      <c r="AA1223" s="73">
        <v>1260</v>
      </c>
      <c r="AB1223" s="73">
        <v>0</v>
      </c>
      <c r="AC1223" s="73">
        <v>0</v>
      </c>
      <c r="AD1223" s="73">
        <v>0</v>
      </c>
      <c r="AE1223" s="73">
        <v>0</v>
      </c>
      <c r="AF1223" s="74">
        <f>tblData[[#This Row],[Gross Sales]]+tblData[[#This Row],[Trade Discounts]]+tblData[[#This Row],[Returns]]</f>
        <v>1126</v>
      </c>
      <c r="AG1223" s="74">
        <f>tblData[[#This Row],[Material Cost]]+tblData[[#This Row],[Conversion Cost]]+tblData[[#This Row],[Inbound Freight]]</f>
        <v>-458</v>
      </c>
      <c r="AH1223" s="74">
        <f>tblData[[#This Row],[Net Revenue]]+tblData[[#This Row],[COGS]]</f>
        <v>668</v>
      </c>
      <c r="AI1223" s="74">
        <f>tblData[[#This Row],[Advertising]]+tblData[[#This Row],[Promotions]]</f>
        <v>-72</v>
      </c>
      <c r="AJ1223" s="74">
        <f>tblData[[#This Row],[Outbound Logistics]]+tblData[[#This Row],[Direct Selling]]</f>
        <v>-57</v>
      </c>
      <c r="AK1223" s="74">
        <f>tblData[[#This Row],[Gross Profit]]+tblData[[#This Row],[AP Spend]]+tblData[[#This Row],[Cost to Serve]]</f>
        <v>539</v>
      </c>
    </row>
    <row r="1224" spans="2:37" x14ac:dyDescent="0.25">
      <c r="B1224" s="71" t="s">
        <v>51</v>
      </c>
      <c r="C1224" s="71">
        <v>2026</v>
      </c>
      <c r="D1224" s="71">
        <v>8</v>
      </c>
      <c r="E1224" s="71" t="s">
        <v>48</v>
      </c>
      <c r="F1224" s="71" t="s">
        <v>40</v>
      </c>
      <c r="G1224" s="72">
        <v>133.19999999999999</v>
      </c>
      <c r="H1224" s="73">
        <v>932</v>
      </c>
      <c r="I1224" s="73">
        <v>-84</v>
      </c>
      <c r="J1224" s="73">
        <v>-9</v>
      </c>
      <c r="K1224" s="73">
        <v>-271</v>
      </c>
      <c r="L1224" s="73">
        <v>-67</v>
      </c>
      <c r="M1224" s="73">
        <v>-41</v>
      </c>
      <c r="N1224" s="73">
        <v>-23</v>
      </c>
      <c r="O1224" s="73">
        <v>-13</v>
      </c>
      <c r="P1224" s="73">
        <v>-29</v>
      </c>
      <c r="Q1224" s="73">
        <v>-14</v>
      </c>
      <c r="R1224" s="73">
        <v>0</v>
      </c>
      <c r="S1224" s="73">
        <v>0</v>
      </c>
      <c r="T1224" s="73">
        <v>0</v>
      </c>
      <c r="U1224" s="73">
        <v>0</v>
      </c>
      <c r="V1224" s="73">
        <v>0</v>
      </c>
      <c r="W1224" s="73">
        <v>0</v>
      </c>
      <c r="X1224" s="73">
        <v>0</v>
      </c>
      <c r="Y1224" s="73">
        <v>0</v>
      </c>
      <c r="Z1224" s="73">
        <v>1968</v>
      </c>
      <c r="AA1224" s="73">
        <v>975</v>
      </c>
      <c r="AB1224" s="73">
        <v>0</v>
      </c>
      <c r="AC1224" s="73">
        <v>0</v>
      </c>
      <c r="AD1224" s="73">
        <v>0</v>
      </c>
      <c r="AE1224" s="73">
        <v>0</v>
      </c>
      <c r="AF1224" s="74">
        <f>tblData[[#This Row],[Gross Sales]]+tblData[[#This Row],[Trade Discounts]]+tblData[[#This Row],[Returns]]</f>
        <v>839</v>
      </c>
      <c r="AG1224" s="74">
        <f>tblData[[#This Row],[Material Cost]]+tblData[[#This Row],[Conversion Cost]]+tblData[[#This Row],[Inbound Freight]]</f>
        <v>-379</v>
      </c>
      <c r="AH1224" s="74">
        <f>tblData[[#This Row],[Net Revenue]]+tblData[[#This Row],[COGS]]</f>
        <v>460</v>
      </c>
      <c r="AI1224" s="74">
        <f>tblData[[#This Row],[Advertising]]+tblData[[#This Row],[Promotions]]</f>
        <v>-36</v>
      </c>
      <c r="AJ1224" s="74">
        <f>tblData[[#This Row],[Outbound Logistics]]+tblData[[#This Row],[Direct Selling]]</f>
        <v>-43</v>
      </c>
      <c r="AK1224" s="74">
        <f>tblData[[#This Row],[Gross Profit]]+tblData[[#This Row],[AP Spend]]+tblData[[#This Row],[Cost to Serve]]</f>
        <v>381</v>
      </c>
    </row>
    <row r="1225" spans="2:37" x14ac:dyDescent="0.25">
      <c r="B1225" s="71" t="s">
        <v>51</v>
      </c>
      <c r="C1225" s="71">
        <v>2026</v>
      </c>
      <c r="D1225" s="71">
        <v>8</v>
      </c>
      <c r="E1225" s="71" t="s">
        <v>48</v>
      </c>
      <c r="F1225" s="71" t="s">
        <v>41</v>
      </c>
      <c r="G1225" s="72">
        <v>66.900000000000006</v>
      </c>
      <c r="H1225" s="73">
        <v>737</v>
      </c>
      <c r="I1225" s="73">
        <v>-66</v>
      </c>
      <c r="J1225" s="73">
        <v>-7</v>
      </c>
      <c r="K1225" s="73">
        <v>-177</v>
      </c>
      <c r="L1225" s="73">
        <v>-44</v>
      </c>
      <c r="M1225" s="73">
        <v>-26</v>
      </c>
      <c r="N1225" s="73">
        <v>-49</v>
      </c>
      <c r="O1225" s="73">
        <v>-28</v>
      </c>
      <c r="P1225" s="73">
        <v>-23</v>
      </c>
      <c r="Q1225" s="73">
        <v>-11</v>
      </c>
      <c r="R1225" s="73">
        <v>0</v>
      </c>
      <c r="S1225" s="73">
        <v>0</v>
      </c>
      <c r="T1225" s="73">
        <v>0</v>
      </c>
      <c r="U1225" s="73">
        <v>0</v>
      </c>
      <c r="V1225" s="73">
        <v>0</v>
      </c>
      <c r="W1225" s="73">
        <v>0</v>
      </c>
      <c r="X1225" s="73">
        <v>0</v>
      </c>
      <c r="Y1225" s="73">
        <v>0</v>
      </c>
      <c r="Z1225" s="73">
        <v>1566</v>
      </c>
      <c r="AA1225" s="73">
        <v>762</v>
      </c>
      <c r="AB1225" s="73">
        <v>0</v>
      </c>
      <c r="AC1225" s="73">
        <v>0</v>
      </c>
      <c r="AD1225" s="73">
        <v>0</v>
      </c>
      <c r="AE1225" s="73">
        <v>0</v>
      </c>
      <c r="AF1225" s="74">
        <f>tblData[[#This Row],[Gross Sales]]+tblData[[#This Row],[Trade Discounts]]+tblData[[#This Row],[Returns]]</f>
        <v>664</v>
      </c>
      <c r="AG1225" s="74">
        <f>tblData[[#This Row],[Material Cost]]+tblData[[#This Row],[Conversion Cost]]+tblData[[#This Row],[Inbound Freight]]</f>
        <v>-247</v>
      </c>
      <c r="AH1225" s="74">
        <f>tblData[[#This Row],[Net Revenue]]+tblData[[#This Row],[COGS]]</f>
        <v>417</v>
      </c>
      <c r="AI1225" s="74">
        <f>tblData[[#This Row],[Advertising]]+tblData[[#This Row],[Promotions]]</f>
        <v>-77</v>
      </c>
      <c r="AJ1225" s="74">
        <f>tblData[[#This Row],[Outbound Logistics]]+tblData[[#This Row],[Direct Selling]]</f>
        <v>-34</v>
      </c>
      <c r="AK1225" s="74">
        <f>tblData[[#This Row],[Gross Profit]]+tblData[[#This Row],[AP Spend]]+tblData[[#This Row],[Cost to Serve]]</f>
        <v>306</v>
      </c>
    </row>
    <row r="1226" spans="2:37" x14ac:dyDescent="0.25">
      <c r="B1226" s="71" t="s">
        <v>51</v>
      </c>
      <c r="C1226" s="71">
        <v>2026</v>
      </c>
      <c r="D1226" s="71">
        <v>8</v>
      </c>
      <c r="E1226" s="71" t="s">
        <v>48</v>
      </c>
      <c r="F1226" s="71" t="s">
        <v>42</v>
      </c>
      <c r="G1226" s="72">
        <v>82.2</v>
      </c>
      <c r="H1226" s="73">
        <v>492</v>
      </c>
      <c r="I1226" s="73">
        <v>-44</v>
      </c>
      <c r="J1226" s="73">
        <v>-5</v>
      </c>
      <c r="K1226" s="73">
        <v>-157</v>
      </c>
      <c r="L1226" s="73">
        <v>-39</v>
      </c>
      <c r="M1226" s="73">
        <v>-24</v>
      </c>
      <c r="N1226" s="73">
        <v>-10</v>
      </c>
      <c r="O1226" s="73">
        <v>-6</v>
      </c>
      <c r="P1226" s="73">
        <v>-15</v>
      </c>
      <c r="Q1226" s="73">
        <v>-7</v>
      </c>
      <c r="R1226" s="73">
        <v>0</v>
      </c>
      <c r="S1226" s="73">
        <v>0</v>
      </c>
      <c r="T1226" s="73">
        <v>0</v>
      </c>
      <c r="U1226" s="73">
        <v>0</v>
      </c>
      <c r="V1226" s="73">
        <v>0</v>
      </c>
      <c r="W1226" s="73">
        <v>0</v>
      </c>
      <c r="X1226" s="73">
        <v>0</v>
      </c>
      <c r="Y1226" s="73">
        <v>0</v>
      </c>
      <c r="Z1226" s="73">
        <v>1039</v>
      </c>
      <c r="AA1226" s="73">
        <v>882</v>
      </c>
      <c r="AB1226" s="73">
        <v>0</v>
      </c>
      <c r="AC1226" s="73">
        <v>0</v>
      </c>
      <c r="AD1226" s="73">
        <v>0</v>
      </c>
      <c r="AE1226" s="73">
        <v>0</v>
      </c>
      <c r="AF1226" s="74">
        <f>tblData[[#This Row],[Gross Sales]]+tblData[[#This Row],[Trade Discounts]]+tblData[[#This Row],[Returns]]</f>
        <v>443</v>
      </c>
      <c r="AG1226" s="74">
        <f>tblData[[#This Row],[Material Cost]]+tblData[[#This Row],[Conversion Cost]]+tblData[[#This Row],[Inbound Freight]]</f>
        <v>-220</v>
      </c>
      <c r="AH1226" s="74">
        <f>tblData[[#This Row],[Net Revenue]]+tblData[[#This Row],[COGS]]</f>
        <v>223</v>
      </c>
      <c r="AI1226" s="74">
        <f>tblData[[#This Row],[Advertising]]+tblData[[#This Row],[Promotions]]</f>
        <v>-16</v>
      </c>
      <c r="AJ1226" s="74">
        <f>tblData[[#This Row],[Outbound Logistics]]+tblData[[#This Row],[Direct Selling]]</f>
        <v>-22</v>
      </c>
      <c r="AK1226" s="74">
        <f>tblData[[#This Row],[Gross Profit]]+tblData[[#This Row],[AP Spend]]+tblData[[#This Row],[Cost to Serve]]</f>
        <v>185</v>
      </c>
    </row>
    <row r="1227" spans="2:37" x14ac:dyDescent="0.25">
      <c r="B1227" s="71" t="s">
        <v>51</v>
      </c>
      <c r="C1227" s="71">
        <v>2026</v>
      </c>
      <c r="D1227" s="71">
        <v>8</v>
      </c>
      <c r="E1227" s="71" t="s">
        <v>48</v>
      </c>
      <c r="F1227" s="71" t="s">
        <v>43</v>
      </c>
      <c r="G1227" s="72">
        <v>15.8</v>
      </c>
      <c r="H1227" s="73">
        <v>285</v>
      </c>
      <c r="I1227" s="73">
        <v>-26</v>
      </c>
      <c r="J1227" s="73">
        <v>-3</v>
      </c>
      <c r="K1227" s="73">
        <v>-79</v>
      </c>
      <c r="L1227" s="73">
        <v>-19</v>
      </c>
      <c r="M1227" s="73">
        <v>-12</v>
      </c>
      <c r="N1227" s="73">
        <v>-27</v>
      </c>
      <c r="O1227" s="73">
        <v>-15</v>
      </c>
      <c r="P1227" s="73">
        <v>-9</v>
      </c>
      <c r="Q1227" s="73">
        <v>-4</v>
      </c>
      <c r="R1227" s="73">
        <v>0</v>
      </c>
      <c r="S1227" s="73">
        <v>0</v>
      </c>
      <c r="T1227" s="73">
        <v>0</v>
      </c>
      <c r="U1227" s="73">
        <v>0</v>
      </c>
      <c r="V1227" s="73">
        <v>0</v>
      </c>
      <c r="W1227" s="73">
        <v>0</v>
      </c>
      <c r="X1227" s="73">
        <v>0</v>
      </c>
      <c r="Y1227" s="73">
        <v>0</v>
      </c>
      <c r="Z1227" s="73">
        <v>602</v>
      </c>
      <c r="AA1227" s="73">
        <v>445</v>
      </c>
      <c r="AB1227" s="73">
        <v>0</v>
      </c>
      <c r="AC1227" s="73">
        <v>0</v>
      </c>
      <c r="AD1227" s="73">
        <v>0</v>
      </c>
      <c r="AE1227" s="73">
        <v>0</v>
      </c>
      <c r="AF1227" s="74">
        <f>tblData[[#This Row],[Gross Sales]]+tblData[[#This Row],[Trade Discounts]]+tblData[[#This Row],[Returns]]</f>
        <v>256</v>
      </c>
      <c r="AG1227" s="74">
        <f>tblData[[#This Row],[Material Cost]]+tblData[[#This Row],[Conversion Cost]]+tblData[[#This Row],[Inbound Freight]]</f>
        <v>-110</v>
      </c>
      <c r="AH1227" s="74">
        <f>tblData[[#This Row],[Net Revenue]]+tblData[[#This Row],[COGS]]</f>
        <v>146</v>
      </c>
      <c r="AI1227" s="74">
        <f>tblData[[#This Row],[Advertising]]+tblData[[#This Row],[Promotions]]</f>
        <v>-42</v>
      </c>
      <c r="AJ1227" s="74">
        <f>tblData[[#This Row],[Outbound Logistics]]+tblData[[#This Row],[Direct Selling]]</f>
        <v>-13</v>
      </c>
      <c r="AK1227" s="74">
        <f>tblData[[#This Row],[Gross Profit]]+tblData[[#This Row],[AP Spend]]+tblData[[#This Row],[Cost to Serve]]</f>
        <v>91</v>
      </c>
    </row>
    <row r="1228" spans="2:37" x14ac:dyDescent="0.25">
      <c r="B1228" s="71" t="s">
        <v>51</v>
      </c>
      <c r="C1228" s="71">
        <v>2026</v>
      </c>
      <c r="D1228" s="71">
        <v>8</v>
      </c>
      <c r="E1228" s="71" t="s">
        <v>49</v>
      </c>
      <c r="F1228" s="71" t="s">
        <v>49</v>
      </c>
      <c r="G1228" s="72">
        <v>0</v>
      </c>
      <c r="H1228" s="73">
        <v>0</v>
      </c>
      <c r="I1228" s="73">
        <v>0</v>
      </c>
      <c r="J1228" s="73">
        <v>0</v>
      </c>
      <c r="K1228" s="73">
        <v>0</v>
      </c>
      <c r="L1228" s="73">
        <v>0</v>
      </c>
      <c r="M1228" s="73">
        <v>0</v>
      </c>
      <c r="N1228" s="73">
        <v>0</v>
      </c>
      <c r="O1228" s="73">
        <v>0</v>
      </c>
      <c r="P1228" s="73">
        <v>0</v>
      </c>
      <c r="Q1228" s="73">
        <v>0</v>
      </c>
      <c r="R1228" s="73">
        <v>-4338</v>
      </c>
      <c r="S1228" s="73">
        <v>-1004</v>
      </c>
      <c r="T1228" s="73">
        <v>-1288</v>
      </c>
      <c r="U1228" s="73">
        <v>-1094</v>
      </c>
      <c r="V1228" s="73">
        <v>-1480</v>
      </c>
      <c r="W1228" s="73">
        <v>-694</v>
      </c>
      <c r="X1228" s="73">
        <v>-1617</v>
      </c>
      <c r="Y1228" s="73">
        <v>-1321</v>
      </c>
      <c r="Z1228" s="73">
        <v>0</v>
      </c>
      <c r="AA1228" s="73">
        <v>0</v>
      </c>
      <c r="AB1228" s="73">
        <v>34524</v>
      </c>
      <c r="AC1228" s="73">
        <v>56196</v>
      </c>
      <c r="AD1228" s="73">
        <v>185000</v>
      </c>
      <c r="AE1228" s="73">
        <v>1192</v>
      </c>
      <c r="AF1228" s="74">
        <f>tblData[[#This Row],[Gross Sales]]+tblData[[#This Row],[Trade Discounts]]+tblData[[#This Row],[Returns]]</f>
        <v>0</v>
      </c>
      <c r="AG1228" s="74">
        <f>tblData[[#This Row],[Material Cost]]+tblData[[#This Row],[Conversion Cost]]+tblData[[#This Row],[Inbound Freight]]</f>
        <v>0</v>
      </c>
      <c r="AH1228" s="74">
        <f>tblData[[#This Row],[Net Revenue]]+tblData[[#This Row],[COGS]]</f>
        <v>0</v>
      </c>
      <c r="AI1228" s="74">
        <f>tblData[[#This Row],[Advertising]]+tblData[[#This Row],[Promotions]]</f>
        <v>0</v>
      </c>
      <c r="AJ1228" s="74">
        <f>tblData[[#This Row],[Outbound Logistics]]+tblData[[#This Row],[Direct Selling]]</f>
        <v>0</v>
      </c>
      <c r="AK1228" s="74">
        <f>tblData[[#This Row],[Gross Profit]]+tblData[[#This Row],[AP Spend]]+tblData[[#This Row],[Cost to Serve]]</f>
        <v>0</v>
      </c>
    </row>
    <row r="1229" spans="2:37" x14ac:dyDescent="0.25">
      <c r="B1229" s="71" t="s">
        <v>51</v>
      </c>
      <c r="C1229" s="71">
        <v>2026</v>
      </c>
      <c r="D1229" s="71">
        <v>9</v>
      </c>
      <c r="E1229" s="71" t="s">
        <v>37</v>
      </c>
      <c r="F1229" s="71" t="s">
        <v>38</v>
      </c>
      <c r="G1229" s="72">
        <v>335.3</v>
      </c>
      <c r="H1229" s="73">
        <v>4715</v>
      </c>
      <c r="I1229" s="73">
        <v>-916</v>
      </c>
      <c r="J1229" s="73">
        <v>-71</v>
      </c>
      <c r="K1229" s="73">
        <v>-1029</v>
      </c>
      <c r="L1229" s="73">
        <v>-255</v>
      </c>
      <c r="M1229" s="73">
        <v>-154</v>
      </c>
      <c r="N1229" s="73">
        <v>-265</v>
      </c>
      <c r="O1229" s="73">
        <v>-152</v>
      </c>
      <c r="P1229" s="73">
        <v>-193</v>
      </c>
      <c r="Q1229" s="73">
        <v>-141</v>
      </c>
      <c r="R1229" s="73">
        <v>0</v>
      </c>
      <c r="S1229" s="73">
        <v>0</v>
      </c>
      <c r="T1229" s="73">
        <v>0</v>
      </c>
      <c r="U1229" s="73">
        <v>0</v>
      </c>
      <c r="V1229" s="73">
        <v>0</v>
      </c>
      <c r="W1229" s="73">
        <v>0</v>
      </c>
      <c r="X1229" s="73">
        <v>0</v>
      </c>
      <c r="Y1229" s="73">
        <v>0</v>
      </c>
      <c r="Z1229" s="73">
        <v>6548</v>
      </c>
      <c r="AA1229" s="73">
        <v>4386</v>
      </c>
      <c r="AB1229" s="73">
        <v>0</v>
      </c>
      <c r="AC1229" s="73">
        <v>0</v>
      </c>
      <c r="AD1229" s="73">
        <v>0</v>
      </c>
      <c r="AE1229" s="73">
        <v>0</v>
      </c>
      <c r="AF1229" s="74">
        <f>tblData[[#This Row],[Gross Sales]]+tblData[[#This Row],[Trade Discounts]]+tblData[[#This Row],[Returns]]</f>
        <v>3728</v>
      </c>
      <c r="AG1229" s="74">
        <f>tblData[[#This Row],[Material Cost]]+tblData[[#This Row],[Conversion Cost]]+tblData[[#This Row],[Inbound Freight]]</f>
        <v>-1438</v>
      </c>
      <c r="AH1229" s="74">
        <f>tblData[[#This Row],[Net Revenue]]+tblData[[#This Row],[COGS]]</f>
        <v>2290</v>
      </c>
      <c r="AI1229" s="74">
        <f>tblData[[#This Row],[Advertising]]+tblData[[#This Row],[Promotions]]</f>
        <v>-417</v>
      </c>
      <c r="AJ1229" s="74">
        <f>tblData[[#This Row],[Outbound Logistics]]+tblData[[#This Row],[Direct Selling]]</f>
        <v>-334</v>
      </c>
      <c r="AK1229" s="74">
        <f>tblData[[#This Row],[Gross Profit]]+tblData[[#This Row],[AP Spend]]+tblData[[#This Row],[Cost to Serve]]</f>
        <v>1539</v>
      </c>
    </row>
    <row r="1230" spans="2:37" x14ac:dyDescent="0.25">
      <c r="B1230" s="71" t="s">
        <v>51</v>
      </c>
      <c r="C1230" s="71">
        <v>2026</v>
      </c>
      <c r="D1230" s="71">
        <v>9</v>
      </c>
      <c r="E1230" s="71" t="s">
        <v>37</v>
      </c>
      <c r="F1230" s="71" t="s">
        <v>39</v>
      </c>
      <c r="G1230" s="72">
        <v>441.6</v>
      </c>
      <c r="H1230" s="73">
        <v>3980</v>
      </c>
      <c r="I1230" s="73">
        <v>-773</v>
      </c>
      <c r="J1230" s="73">
        <v>-60</v>
      </c>
      <c r="K1230" s="73">
        <v>-1043</v>
      </c>
      <c r="L1230" s="73">
        <v>-258</v>
      </c>
      <c r="M1230" s="73">
        <v>-156</v>
      </c>
      <c r="N1230" s="73">
        <v>-151</v>
      </c>
      <c r="O1230" s="73">
        <v>-87</v>
      </c>
      <c r="P1230" s="73">
        <v>-163</v>
      </c>
      <c r="Q1230" s="73">
        <v>-119</v>
      </c>
      <c r="R1230" s="73">
        <v>0</v>
      </c>
      <c r="S1230" s="73">
        <v>0</v>
      </c>
      <c r="T1230" s="73">
        <v>0</v>
      </c>
      <c r="U1230" s="73">
        <v>0</v>
      </c>
      <c r="V1230" s="73">
        <v>0</v>
      </c>
      <c r="W1230" s="73">
        <v>0</v>
      </c>
      <c r="X1230" s="73">
        <v>0</v>
      </c>
      <c r="Y1230" s="73">
        <v>0</v>
      </c>
      <c r="Z1230" s="73">
        <v>5515</v>
      </c>
      <c r="AA1230" s="73">
        <v>3761</v>
      </c>
      <c r="AB1230" s="73">
        <v>0</v>
      </c>
      <c r="AC1230" s="73">
        <v>0</v>
      </c>
      <c r="AD1230" s="73">
        <v>0</v>
      </c>
      <c r="AE1230" s="73">
        <v>0</v>
      </c>
      <c r="AF1230" s="74">
        <f>tblData[[#This Row],[Gross Sales]]+tblData[[#This Row],[Trade Discounts]]+tblData[[#This Row],[Returns]]</f>
        <v>3147</v>
      </c>
      <c r="AG1230" s="74">
        <f>tblData[[#This Row],[Material Cost]]+tblData[[#This Row],[Conversion Cost]]+tblData[[#This Row],[Inbound Freight]]</f>
        <v>-1457</v>
      </c>
      <c r="AH1230" s="74">
        <f>tblData[[#This Row],[Net Revenue]]+tblData[[#This Row],[COGS]]</f>
        <v>1690</v>
      </c>
      <c r="AI1230" s="74">
        <f>tblData[[#This Row],[Advertising]]+tblData[[#This Row],[Promotions]]</f>
        <v>-238</v>
      </c>
      <c r="AJ1230" s="74">
        <f>tblData[[#This Row],[Outbound Logistics]]+tblData[[#This Row],[Direct Selling]]</f>
        <v>-282</v>
      </c>
      <c r="AK1230" s="74">
        <f>tblData[[#This Row],[Gross Profit]]+tblData[[#This Row],[AP Spend]]+tblData[[#This Row],[Cost to Serve]]</f>
        <v>1170</v>
      </c>
    </row>
    <row r="1231" spans="2:37" x14ac:dyDescent="0.25">
      <c r="B1231" s="71" t="s">
        <v>51</v>
      </c>
      <c r="C1231" s="71">
        <v>2026</v>
      </c>
      <c r="D1231" s="71">
        <v>9</v>
      </c>
      <c r="E1231" s="71" t="s">
        <v>37</v>
      </c>
      <c r="F1231" s="71" t="s">
        <v>40</v>
      </c>
      <c r="G1231" s="72">
        <v>415.3</v>
      </c>
      <c r="H1231" s="73">
        <v>2907</v>
      </c>
      <c r="I1231" s="73">
        <v>-565</v>
      </c>
      <c r="J1231" s="73">
        <v>-44</v>
      </c>
      <c r="K1231" s="73">
        <v>-846</v>
      </c>
      <c r="L1231" s="73">
        <v>-209</v>
      </c>
      <c r="M1231" s="73">
        <v>-126</v>
      </c>
      <c r="N1231" s="73">
        <v>-76</v>
      </c>
      <c r="O1231" s="73">
        <v>-43</v>
      </c>
      <c r="P1231" s="73">
        <v>-119</v>
      </c>
      <c r="Q1231" s="73">
        <v>-87</v>
      </c>
      <c r="R1231" s="73">
        <v>0</v>
      </c>
      <c r="S1231" s="73">
        <v>0</v>
      </c>
      <c r="T1231" s="73">
        <v>0</v>
      </c>
      <c r="U1231" s="73">
        <v>0</v>
      </c>
      <c r="V1231" s="73">
        <v>0</v>
      </c>
      <c r="W1231" s="73">
        <v>0</v>
      </c>
      <c r="X1231" s="73">
        <v>0</v>
      </c>
      <c r="Y1231" s="73">
        <v>0</v>
      </c>
      <c r="Z1231" s="73">
        <v>4054</v>
      </c>
      <c r="AA1231" s="73">
        <v>2889</v>
      </c>
      <c r="AB1231" s="73">
        <v>0</v>
      </c>
      <c r="AC1231" s="73">
        <v>0</v>
      </c>
      <c r="AD1231" s="73">
        <v>0</v>
      </c>
      <c r="AE1231" s="73">
        <v>0</v>
      </c>
      <c r="AF1231" s="74">
        <f>tblData[[#This Row],[Gross Sales]]+tblData[[#This Row],[Trade Discounts]]+tblData[[#This Row],[Returns]]</f>
        <v>2298</v>
      </c>
      <c r="AG1231" s="74">
        <f>tblData[[#This Row],[Material Cost]]+tblData[[#This Row],[Conversion Cost]]+tblData[[#This Row],[Inbound Freight]]</f>
        <v>-1181</v>
      </c>
      <c r="AH1231" s="74">
        <f>tblData[[#This Row],[Net Revenue]]+tblData[[#This Row],[COGS]]</f>
        <v>1117</v>
      </c>
      <c r="AI1231" s="74">
        <f>tblData[[#This Row],[Advertising]]+tblData[[#This Row],[Promotions]]</f>
        <v>-119</v>
      </c>
      <c r="AJ1231" s="74">
        <f>tblData[[#This Row],[Outbound Logistics]]+tblData[[#This Row],[Direct Selling]]</f>
        <v>-206</v>
      </c>
      <c r="AK1231" s="74">
        <f>tblData[[#This Row],[Gross Profit]]+tblData[[#This Row],[AP Spend]]+tblData[[#This Row],[Cost to Serve]]</f>
        <v>792</v>
      </c>
    </row>
    <row r="1232" spans="2:37" x14ac:dyDescent="0.25">
      <c r="B1232" s="71" t="s">
        <v>51</v>
      </c>
      <c r="C1232" s="71">
        <v>2026</v>
      </c>
      <c r="D1232" s="71">
        <v>9</v>
      </c>
      <c r="E1232" s="71" t="s">
        <v>37</v>
      </c>
      <c r="F1232" s="71" t="s">
        <v>41</v>
      </c>
      <c r="G1232" s="72">
        <v>212.3</v>
      </c>
      <c r="H1232" s="73">
        <v>2341</v>
      </c>
      <c r="I1232" s="73">
        <v>-455</v>
      </c>
      <c r="J1232" s="73">
        <v>-35</v>
      </c>
      <c r="K1232" s="73">
        <v>-562</v>
      </c>
      <c r="L1232" s="73">
        <v>-139</v>
      </c>
      <c r="M1232" s="73">
        <v>-84</v>
      </c>
      <c r="N1232" s="73">
        <v>-162</v>
      </c>
      <c r="O1232" s="73">
        <v>-93</v>
      </c>
      <c r="P1232" s="73">
        <v>-96</v>
      </c>
      <c r="Q1232" s="73">
        <v>-70</v>
      </c>
      <c r="R1232" s="73">
        <v>0</v>
      </c>
      <c r="S1232" s="73">
        <v>0</v>
      </c>
      <c r="T1232" s="73">
        <v>0</v>
      </c>
      <c r="U1232" s="73">
        <v>0</v>
      </c>
      <c r="V1232" s="73">
        <v>0</v>
      </c>
      <c r="W1232" s="73">
        <v>0</v>
      </c>
      <c r="X1232" s="73">
        <v>0</v>
      </c>
      <c r="Y1232" s="73">
        <v>0</v>
      </c>
      <c r="Z1232" s="73">
        <v>3234</v>
      </c>
      <c r="AA1232" s="73">
        <v>2263</v>
      </c>
      <c r="AB1232" s="73">
        <v>0</v>
      </c>
      <c r="AC1232" s="73">
        <v>0</v>
      </c>
      <c r="AD1232" s="73">
        <v>0</v>
      </c>
      <c r="AE1232" s="73">
        <v>0</v>
      </c>
      <c r="AF1232" s="74">
        <f>tblData[[#This Row],[Gross Sales]]+tblData[[#This Row],[Trade Discounts]]+tblData[[#This Row],[Returns]]</f>
        <v>1851</v>
      </c>
      <c r="AG1232" s="74">
        <f>tblData[[#This Row],[Material Cost]]+tblData[[#This Row],[Conversion Cost]]+tblData[[#This Row],[Inbound Freight]]</f>
        <v>-785</v>
      </c>
      <c r="AH1232" s="74">
        <f>tblData[[#This Row],[Net Revenue]]+tblData[[#This Row],[COGS]]</f>
        <v>1066</v>
      </c>
      <c r="AI1232" s="74">
        <f>tblData[[#This Row],[Advertising]]+tblData[[#This Row],[Promotions]]</f>
        <v>-255</v>
      </c>
      <c r="AJ1232" s="74">
        <f>tblData[[#This Row],[Outbound Logistics]]+tblData[[#This Row],[Direct Selling]]</f>
        <v>-166</v>
      </c>
      <c r="AK1232" s="74">
        <f>tblData[[#This Row],[Gross Profit]]+tblData[[#This Row],[AP Spend]]+tblData[[#This Row],[Cost to Serve]]</f>
        <v>645</v>
      </c>
    </row>
    <row r="1233" spans="2:37" x14ac:dyDescent="0.25">
      <c r="B1233" s="71" t="s">
        <v>51</v>
      </c>
      <c r="C1233" s="71">
        <v>2026</v>
      </c>
      <c r="D1233" s="71">
        <v>9</v>
      </c>
      <c r="E1233" s="71" t="s">
        <v>37</v>
      </c>
      <c r="F1233" s="71" t="s">
        <v>42</v>
      </c>
      <c r="G1233" s="72">
        <v>260.10000000000002</v>
      </c>
      <c r="H1233" s="73">
        <v>1556</v>
      </c>
      <c r="I1233" s="73">
        <v>-302</v>
      </c>
      <c r="J1233" s="73">
        <v>-23</v>
      </c>
      <c r="K1233" s="73">
        <v>-498</v>
      </c>
      <c r="L1233" s="73">
        <v>-123</v>
      </c>
      <c r="M1233" s="73">
        <v>-74</v>
      </c>
      <c r="N1233" s="73">
        <v>-31</v>
      </c>
      <c r="O1233" s="73">
        <v>-18</v>
      </c>
      <c r="P1233" s="73">
        <v>-64</v>
      </c>
      <c r="Q1233" s="73">
        <v>-47</v>
      </c>
      <c r="R1233" s="73">
        <v>0</v>
      </c>
      <c r="S1233" s="73">
        <v>0</v>
      </c>
      <c r="T1233" s="73">
        <v>0</v>
      </c>
      <c r="U1233" s="73">
        <v>0</v>
      </c>
      <c r="V1233" s="73">
        <v>0</v>
      </c>
      <c r="W1233" s="73">
        <v>0</v>
      </c>
      <c r="X1233" s="73">
        <v>0</v>
      </c>
      <c r="Y1233" s="73">
        <v>0</v>
      </c>
      <c r="Z1233" s="73">
        <v>2149</v>
      </c>
      <c r="AA1233" s="73">
        <v>2623</v>
      </c>
      <c r="AB1233" s="73">
        <v>0</v>
      </c>
      <c r="AC1233" s="73">
        <v>0</v>
      </c>
      <c r="AD1233" s="73">
        <v>0</v>
      </c>
      <c r="AE1233" s="73">
        <v>0</v>
      </c>
      <c r="AF1233" s="74">
        <f>tblData[[#This Row],[Gross Sales]]+tblData[[#This Row],[Trade Discounts]]+tblData[[#This Row],[Returns]]</f>
        <v>1231</v>
      </c>
      <c r="AG1233" s="74">
        <f>tblData[[#This Row],[Material Cost]]+tblData[[#This Row],[Conversion Cost]]+tblData[[#This Row],[Inbound Freight]]</f>
        <v>-695</v>
      </c>
      <c r="AH1233" s="74">
        <f>tblData[[#This Row],[Net Revenue]]+tblData[[#This Row],[COGS]]</f>
        <v>536</v>
      </c>
      <c r="AI1233" s="74">
        <f>tblData[[#This Row],[Advertising]]+tblData[[#This Row],[Promotions]]</f>
        <v>-49</v>
      </c>
      <c r="AJ1233" s="74">
        <f>tblData[[#This Row],[Outbound Logistics]]+tblData[[#This Row],[Direct Selling]]</f>
        <v>-111</v>
      </c>
      <c r="AK1233" s="74">
        <f>tblData[[#This Row],[Gross Profit]]+tblData[[#This Row],[AP Spend]]+tblData[[#This Row],[Cost to Serve]]</f>
        <v>376</v>
      </c>
    </row>
    <row r="1234" spans="2:37" x14ac:dyDescent="0.25">
      <c r="B1234" s="71" t="s">
        <v>51</v>
      </c>
      <c r="C1234" s="71">
        <v>2026</v>
      </c>
      <c r="D1234" s="71">
        <v>9</v>
      </c>
      <c r="E1234" s="71" t="s">
        <v>37</v>
      </c>
      <c r="F1234" s="71" t="s">
        <v>43</v>
      </c>
      <c r="G1234" s="72">
        <v>50.1</v>
      </c>
      <c r="H1234" s="73">
        <v>902</v>
      </c>
      <c r="I1234" s="73">
        <v>-175</v>
      </c>
      <c r="J1234" s="73">
        <v>-14</v>
      </c>
      <c r="K1234" s="73">
        <v>-249</v>
      </c>
      <c r="L1234" s="73">
        <v>-62</v>
      </c>
      <c r="M1234" s="73">
        <v>-37</v>
      </c>
      <c r="N1234" s="73">
        <v>-88</v>
      </c>
      <c r="O1234" s="73">
        <v>-51</v>
      </c>
      <c r="P1234" s="73">
        <v>-37</v>
      </c>
      <c r="Q1234" s="73">
        <v>-27</v>
      </c>
      <c r="R1234" s="73">
        <v>0</v>
      </c>
      <c r="S1234" s="73">
        <v>0</v>
      </c>
      <c r="T1234" s="73">
        <v>0</v>
      </c>
      <c r="U1234" s="73">
        <v>0</v>
      </c>
      <c r="V1234" s="73">
        <v>0</v>
      </c>
      <c r="W1234" s="73">
        <v>0</v>
      </c>
      <c r="X1234" s="73">
        <v>0</v>
      </c>
      <c r="Y1234" s="73">
        <v>0</v>
      </c>
      <c r="Z1234" s="73">
        <v>1248</v>
      </c>
      <c r="AA1234" s="73">
        <v>1327</v>
      </c>
      <c r="AB1234" s="73">
        <v>0</v>
      </c>
      <c r="AC1234" s="73">
        <v>0</v>
      </c>
      <c r="AD1234" s="73">
        <v>0</v>
      </c>
      <c r="AE1234" s="73">
        <v>0</v>
      </c>
      <c r="AF1234" s="74">
        <f>tblData[[#This Row],[Gross Sales]]+tblData[[#This Row],[Trade Discounts]]+tblData[[#This Row],[Returns]]</f>
        <v>713</v>
      </c>
      <c r="AG1234" s="74">
        <f>tblData[[#This Row],[Material Cost]]+tblData[[#This Row],[Conversion Cost]]+tblData[[#This Row],[Inbound Freight]]</f>
        <v>-348</v>
      </c>
      <c r="AH1234" s="74">
        <f>tblData[[#This Row],[Net Revenue]]+tblData[[#This Row],[COGS]]</f>
        <v>365</v>
      </c>
      <c r="AI1234" s="74">
        <f>tblData[[#This Row],[Advertising]]+tblData[[#This Row],[Promotions]]</f>
        <v>-139</v>
      </c>
      <c r="AJ1234" s="74">
        <f>tblData[[#This Row],[Outbound Logistics]]+tblData[[#This Row],[Direct Selling]]</f>
        <v>-64</v>
      </c>
      <c r="AK1234" s="74">
        <f>tblData[[#This Row],[Gross Profit]]+tblData[[#This Row],[AP Spend]]+tblData[[#This Row],[Cost to Serve]]</f>
        <v>162</v>
      </c>
    </row>
    <row r="1235" spans="2:37" x14ac:dyDescent="0.25">
      <c r="B1235" s="71" t="s">
        <v>51</v>
      </c>
      <c r="C1235" s="71">
        <v>2026</v>
      </c>
      <c r="D1235" s="71">
        <v>9</v>
      </c>
      <c r="E1235" s="71" t="s">
        <v>44</v>
      </c>
      <c r="F1235" s="71" t="s">
        <v>38</v>
      </c>
      <c r="G1235" s="72">
        <v>277.89999999999998</v>
      </c>
      <c r="H1235" s="73">
        <v>3919</v>
      </c>
      <c r="I1235" s="73">
        <v>-633</v>
      </c>
      <c r="J1235" s="73">
        <v>-47</v>
      </c>
      <c r="K1235" s="73">
        <v>-856</v>
      </c>
      <c r="L1235" s="73">
        <v>-212</v>
      </c>
      <c r="M1235" s="73">
        <v>-128</v>
      </c>
      <c r="N1235" s="73">
        <v>-212</v>
      </c>
      <c r="O1235" s="73">
        <v>-122</v>
      </c>
      <c r="P1235" s="73">
        <v>-160</v>
      </c>
      <c r="Q1235" s="73">
        <v>-118</v>
      </c>
      <c r="R1235" s="73">
        <v>0</v>
      </c>
      <c r="S1235" s="73">
        <v>0</v>
      </c>
      <c r="T1235" s="73">
        <v>0</v>
      </c>
      <c r="U1235" s="73">
        <v>0</v>
      </c>
      <c r="V1235" s="73">
        <v>0</v>
      </c>
      <c r="W1235" s="73">
        <v>0</v>
      </c>
      <c r="X1235" s="73">
        <v>0</v>
      </c>
      <c r="Y1235" s="73">
        <v>0</v>
      </c>
      <c r="Z1235" s="73">
        <v>5170</v>
      </c>
      <c r="AA1235" s="73">
        <v>3631</v>
      </c>
      <c r="AB1235" s="73">
        <v>0</v>
      </c>
      <c r="AC1235" s="73">
        <v>0</v>
      </c>
      <c r="AD1235" s="73">
        <v>0</v>
      </c>
      <c r="AE1235" s="73">
        <v>0</v>
      </c>
      <c r="AF1235" s="74">
        <f>tblData[[#This Row],[Gross Sales]]+tblData[[#This Row],[Trade Discounts]]+tblData[[#This Row],[Returns]]</f>
        <v>3239</v>
      </c>
      <c r="AG1235" s="74">
        <f>tblData[[#This Row],[Material Cost]]+tblData[[#This Row],[Conversion Cost]]+tblData[[#This Row],[Inbound Freight]]</f>
        <v>-1196</v>
      </c>
      <c r="AH1235" s="74">
        <f>tblData[[#This Row],[Net Revenue]]+tblData[[#This Row],[COGS]]</f>
        <v>2043</v>
      </c>
      <c r="AI1235" s="74">
        <f>tblData[[#This Row],[Advertising]]+tblData[[#This Row],[Promotions]]</f>
        <v>-334</v>
      </c>
      <c r="AJ1235" s="74">
        <f>tblData[[#This Row],[Outbound Logistics]]+tblData[[#This Row],[Direct Selling]]</f>
        <v>-278</v>
      </c>
      <c r="AK1235" s="74">
        <f>tblData[[#This Row],[Gross Profit]]+tblData[[#This Row],[AP Spend]]+tblData[[#This Row],[Cost to Serve]]</f>
        <v>1431</v>
      </c>
    </row>
    <row r="1236" spans="2:37" x14ac:dyDescent="0.25">
      <c r="B1236" s="71" t="s">
        <v>51</v>
      </c>
      <c r="C1236" s="71">
        <v>2026</v>
      </c>
      <c r="D1236" s="71">
        <v>9</v>
      </c>
      <c r="E1236" s="71" t="s">
        <v>44</v>
      </c>
      <c r="F1236" s="71" t="s">
        <v>39</v>
      </c>
      <c r="G1236" s="72">
        <v>366.6</v>
      </c>
      <c r="H1236" s="73">
        <v>3313</v>
      </c>
      <c r="I1236" s="73">
        <v>-535</v>
      </c>
      <c r="J1236" s="73">
        <v>-40</v>
      </c>
      <c r="K1236" s="73">
        <v>-868</v>
      </c>
      <c r="L1236" s="73">
        <v>-215</v>
      </c>
      <c r="M1236" s="73">
        <v>-130</v>
      </c>
      <c r="N1236" s="73">
        <v>-121</v>
      </c>
      <c r="O1236" s="73">
        <v>-70</v>
      </c>
      <c r="P1236" s="73">
        <v>-135</v>
      </c>
      <c r="Q1236" s="73">
        <v>-99</v>
      </c>
      <c r="R1236" s="73">
        <v>0</v>
      </c>
      <c r="S1236" s="73">
        <v>0</v>
      </c>
      <c r="T1236" s="73">
        <v>0</v>
      </c>
      <c r="U1236" s="73">
        <v>0</v>
      </c>
      <c r="V1236" s="73">
        <v>0</v>
      </c>
      <c r="W1236" s="73">
        <v>0</v>
      </c>
      <c r="X1236" s="73">
        <v>0</v>
      </c>
      <c r="Y1236" s="73">
        <v>0</v>
      </c>
      <c r="Z1236" s="73">
        <v>4372</v>
      </c>
      <c r="AA1236" s="73">
        <v>3127</v>
      </c>
      <c r="AB1236" s="73">
        <v>0</v>
      </c>
      <c r="AC1236" s="73">
        <v>0</v>
      </c>
      <c r="AD1236" s="73">
        <v>0</v>
      </c>
      <c r="AE1236" s="73">
        <v>0</v>
      </c>
      <c r="AF1236" s="74">
        <f>tblData[[#This Row],[Gross Sales]]+tblData[[#This Row],[Trade Discounts]]+tblData[[#This Row],[Returns]]</f>
        <v>2738</v>
      </c>
      <c r="AG1236" s="74">
        <f>tblData[[#This Row],[Material Cost]]+tblData[[#This Row],[Conversion Cost]]+tblData[[#This Row],[Inbound Freight]]</f>
        <v>-1213</v>
      </c>
      <c r="AH1236" s="74">
        <f>tblData[[#This Row],[Net Revenue]]+tblData[[#This Row],[COGS]]</f>
        <v>1525</v>
      </c>
      <c r="AI1236" s="74">
        <f>tblData[[#This Row],[Advertising]]+tblData[[#This Row],[Promotions]]</f>
        <v>-191</v>
      </c>
      <c r="AJ1236" s="74">
        <f>tblData[[#This Row],[Outbound Logistics]]+tblData[[#This Row],[Direct Selling]]</f>
        <v>-234</v>
      </c>
      <c r="AK1236" s="74">
        <f>tblData[[#This Row],[Gross Profit]]+tblData[[#This Row],[AP Spend]]+tblData[[#This Row],[Cost to Serve]]</f>
        <v>1100</v>
      </c>
    </row>
    <row r="1237" spans="2:37" x14ac:dyDescent="0.25">
      <c r="B1237" s="71" t="s">
        <v>51</v>
      </c>
      <c r="C1237" s="71">
        <v>2026</v>
      </c>
      <c r="D1237" s="71">
        <v>9</v>
      </c>
      <c r="E1237" s="71" t="s">
        <v>44</v>
      </c>
      <c r="F1237" s="71" t="s">
        <v>40</v>
      </c>
      <c r="G1237" s="72">
        <v>349.9</v>
      </c>
      <c r="H1237" s="73">
        <v>2456</v>
      </c>
      <c r="I1237" s="73">
        <v>-397</v>
      </c>
      <c r="J1237" s="73">
        <v>-29</v>
      </c>
      <c r="K1237" s="73">
        <v>-715</v>
      </c>
      <c r="L1237" s="73">
        <v>-177</v>
      </c>
      <c r="M1237" s="73">
        <v>-107</v>
      </c>
      <c r="N1237" s="73">
        <v>-60</v>
      </c>
      <c r="O1237" s="73">
        <v>-35</v>
      </c>
      <c r="P1237" s="73">
        <v>-100</v>
      </c>
      <c r="Q1237" s="73">
        <v>-74</v>
      </c>
      <c r="R1237" s="73">
        <v>0</v>
      </c>
      <c r="S1237" s="73">
        <v>0</v>
      </c>
      <c r="T1237" s="73">
        <v>0</v>
      </c>
      <c r="U1237" s="73">
        <v>0</v>
      </c>
      <c r="V1237" s="73">
        <v>0</v>
      </c>
      <c r="W1237" s="73">
        <v>0</v>
      </c>
      <c r="X1237" s="73">
        <v>0</v>
      </c>
      <c r="Y1237" s="73">
        <v>0</v>
      </c>
      <c r="Z1237" s="73">
        <v>3237</v>
      </c>
      <c r="AA1237" s="73">
        <v>2419</v>
      </c>
      <c r="AB1237" s="73">
        <v>0</v>
      </c>
      <c r="AC1237" s="73">
        <v>0</v>
      </c>
      <c r="AD1237" s="73">
        <v>0</v>
      </c>
      <c r="AE1237" s="73">
        <v>0</v>
      </c>
      <c r="AF1237" s="74">
        <f>tblData[[#This Row],[Gross Sales]]+tblData[[#This Row],[Trade Discounts]]+tblData[[#This Row],[Returns]]</f>
        <v>2030</v>
      </c>
      <c r="AG1237" s="74">
        <f>tblData[[#This Row],[Material Cost]]+tblData[[#This Row],[Conversion Cost]]+tblData[[#This Row],[Inbound Freight]]</f>
        <v>-999</v>
      </c>
      <c r="AH1237" s="74">
        <f>tblData[[#This Row],[Net Revenue]]+tblData[[#This Row],[COGS]]</f>
        <v>1031</v>
      </c>
      <c r="AI1237" s="74">
        <f>tblData[[#This Row],[Advertising]]+tblData[[#This Row],[Promotions]]</f>
        <v>-95</v>
      </c>
      <c r="AJ1237" s="74">
        <f>tblData[[#This Row],[Outbound Logistics]]+tblData[[#This Row],[Direct Selling]]</f>
        <v>-174</v>
      </c>
      <c r="AK1237" s="74">
        <f>tblData[[#This Row],[Gross Profit]]+tblData[[#This Row],[AP Spend]]+tblData[[#This Row],[Cost to Serve]]</f>
        <v>762</v>
      </c>
    </row>
    <row r="1238" spans="2:37" x14ac:dyDescent="0.25">
      <c r="B1238" s="71" t="s">
        <v>51</v>
      </c>
      <c r="C1238" s="71">
        <v>2026</v>
      </c>
      <c r="D1238" s="71">
        <v>9</v>
      </c>
      <c r="E1238" s="71" t="s">
        <v>44</v>
      </c>
      <c r="F1238" s="71" t="s">
        <v>41</v>
      </c>
      <c r="G1238" s="72">
        <v>176.1</v>
      </c>
      <c r="H1238" s="73">
        <v>1947</v>
      </c>
      <c r="I1238" s="73">
        <v>-314</v>
      </c>
      <c r="J1238" s="73">
        <v>-23</v>
      </c>
      <c r="K1238" s="73">
        <v>-468</v>
      </c>
      <c r="L1238" s="73">
        <v>-116</v>
      </c>
      <c r="M1238" s="73">
        <v>-70</v>
      </c>
      <c r="N1238" s="73">
        <v>-129</v>
      </c>
      <c r="O1238" s="73">
        <v>-74</v>
      </c>
      <c r="P1238" s="73">
        <v>-80</v>
      </c>
      <c r="Q1238" s="73">
        <v>-58</v>
      </c>
      <c r="R1238" s="73">
        <v>0</v>
      </c>
      <c r="S1238" s="73">
        <v>0</v>
      </c>
      <c r="T1238" s="73">
        <v>0</v>
      </c>
      <c r="U1238" s="73">
        <v>0</v>
      </c>
      <c r="V1238" s="73">
        <v>0</v>
      </c>
      <c r="W1238" s="73">
        <v>0</v>
      </c>
      <c r="X1238" s="73">
        <v>0</v>
      </c>
      <c r="Y1238" s="73">
        <v>0</v>
      </c>
      <c r="Z1238" s="73">
        <v>2564</v>
      </c>
      <c r="AA1238" s="73">
        <v>1881</v>
      </c>
      <c r="AB1238" s="73">
        <v>0</v>
      </c>
      <c r="AC1238" s="73">
        <v>0</v>
      </c>
      <c r="AD1238" s="73">
        <v>0</v>
      </c>
      <c r="AE1238" s="73">
        <v>0</v>
      </c>
      <c r="AF1238" s="74">
        <f>tblData[[#This Row],[Gross Sales]]+tblData[[#This Row],[Trade Discounts]]+tblData[[#This Row],[Returns]]</f>
        <v>1610</v>
      </c>
      <c r="AG1238" s="74">
        <f>tblData[[#This Row],[Material Cost]]+tblData[[#This Row],[Conversion Cost]]+tblData[[#This Row],[Inbound Freight]]</f>
        <v>-654</v>
      </c>
      <c r="AH1238" s="74">
        <f>tblData[[#This Row],[Net Revenue]]+tblData[[#This Row],[COGS]]</f>
        <v>956</v>
      </c>
      <c r="AI1238" s="74">
        <f>tblData[[#This Row],[Advertising]]+tblData[[#This Row],[Promotions]]</f>
        <v>-203</v>
      </c>
      <c r="AJ1238" s="74">
        <f>tblData[[#This Row],[Outbound Logistics]]+tblData[[#This Row],[Direct Selling]]</f>
        <v>-138</v>
      </c>
      <c r="AK1238" s="74">
        <f>tblData[[#This Row],[Gross Profit]]+tblData[[#This Row],[AP Spend]]+tblData[[#This Row],[Cost to Serve]]</f>
        <v>615</v>
      </c>
    </row>
    <row r="1239" spans="2:37" x14ac:dyDescent="0.25">
      <c r="B1239" s="71" t="s">
        <v>51</v>
      </c>
      <c r="C1239" s="71">
        <v>2026</v>
      </c>
      <c r="D1239" s="71">
        <v>9</v>
      </c>
      <c r="E1239" s="71" t="s">
        <v>44</v>
      </c>
      <c r="F1239" s="71" t="s">
        <v>42</v>
      </c>
      <c r="G1239" s="72">
        <v>215.3</v>
      </c>
      <c r="H1239" s="73">
        <v>1292</v>
      </c>
      <c r="I1239" s="73">
        <v>-209</v>
      </c>
      <c r="J1239" s="73">
        <v>-16</v>
      </c>
      <c r="K1239" s="73">
        <v>-414</v>
      </c>
      <c r="L1239" s="73">
        <v>-102</v>
      </c>
      <c r="M1239" s="73">
        <v>-62</v>
      </c>
      <c r="N1239" s="73">
        <v>-25</v>
      </c>
      <c r="O1239" s="73">
        <v>-14</v>
      </c>
      <c r="P1239" s="73">
        <v>-53</v>
      </c>
      <c r="Q1239" s="73">
        <v>-39</v>
      </c>
      <c r="R1239" s="73">
        <v>0</v>
      </c>
      <c r="S1239" s="73">
        <v>0</v>
      </c>
      <c r="T1239" s="73">
        <v>0</v>
      </c>
      <c r="U1239" s="73">
        <v>0</v>
      </c>
      <c r="V1239" s="73">
        <v>0</v>
      </c>
      <c r="W1239" s="73">
        <v>0</v>
      </c>
      <c r="X1239" s="73">
        <v>0</v>
      </c>
      <c r="Y1239" s="73">
        <v>0</v>
      </c>
      <c r="Z1239" s="73">
        <v>1707</v>
      </c>
      <c r="AA1239" s="73">
        <v>2185</v>
      </c>
      <c r="AB1239" s="73">
        <v>0</v>
      </c>
      <c r="AC1239" s="73">
        <v>0</v>
      </c>
      <c r="AD1239" s="73">
        <v>0</v>
      </c>
      <c r="AE1239" s="73">
        <v>0</v>
      </c>
      <c r="AF1239" s="74">
        <f>tblData[[#This Row],[Gross Sales]]+tblData[[#This Row],[Trade Discounts]]+tblData[[#This Row],[Returns]]</f>
        <v>1067</v>
      </c>
      <c r="AG1239" s="74">
        <f>tblData[[#This Row],[Material Cost]]+tblData[[#This Row],[Conversion Cost]]+tblData[[#This Row],[Inbound Freight]]</f>
        <v>-578</v>
      </c>
      <c r="AH1239" s="74">
        <f>tblData[[#This Row],[Net Revenue]]+tblData[[#This Row],[COGS]]</f>
        <v>489</v>
      </c>
      <c r="AI1239" s="74">
        <f>tblData[[#This Row],[Advertising]]+tblData[[#This Row],[Promotions]]</f>
        <v>-39</v>
      </c>
      <c r="AJ1239" s="74">
        <f>tblData[[#This Row],[Outbound Logistics]]+tblData[[#This Row],[Direct Selling]]</f>
        <v>-92</v>
      </c>
      <c r="AK1239" s="74">
        <f>tblData[[#This Row],[Gross Profit]]+tblData[[#This Row],[AP Spend]]+tblData[[#This Row],[Cost to Serve]]</f>
        <v>358</v>
      </c>
    </row>
    <row r="1240" spans="2:37" x14ac:dyDescent="0.25">
      <c r="B1240" s="71" t="s">
        <v>51</v>
      </c>
      <c r="C1240" s="71">
        <v>2026</v>
      </c>
      <c r="D1240" s="71">
        <v>9</v>
      </c>
      <c r="E1240" s="71" t="s">
        <v>44</v>
      </c>
      <c r="F1240" s="71" t="s">
        <v>43</v>
      </c>
      <c r="G1240" s="72">
        <v>41.5</v>
      </c>
      <c r="H1240" s="73">
        <v>748</v>
      </c>
      <c r="I1240" s="73">
        <v>-121</v>
      </c>
      <c r="J1240" s="73">
        <v>-9</v>
      </c>
      <c r="K1240" s="73">
        <v>-207</v>
      </c>
      <c r="L1240" s="73">
        <v>-51</v>
      </c>
      <c r="M1240" s="73">
        <v>-31</v>
      </c>
      <c r="N1240" s="73">
        <v>-71</v>
      </c>
      <c r="O1240" s="73">
        <v>-41</v>
      </c>
      <c r="P1240" s="73">
        <v>-31</v>
      </c>
      <c r="Q1240" s="73">
        <v>-22</v>
      </c>
      <c r="R1240" s="73">
        <v>0</v>
      </c>
      <c r="S1240" s="73">
        <v>0</v>
      </c>
      <c r="T1240" s="73">
        <v>0</v>
      </c>
      <c r="U1240" s="73">
        <v>0</v>
      </c>
      <c r="V1240" s="73">
        <v>0</v>
      </c>
      <c r="W1240" s="73">
        <v>0</v>
      </c>
      <c r="X1240" s="73">
        <v>0</v>
      </c>
      <c r="Y1240" s="73">
        <v>0</v>
      </c>
      <c r="Z1240" s="73">
        <v>989</v>
      </c>
      <c r="AA1240" s="73">
        <v>1102</v>
      </c>
      <c r="AB1240" s="73">
        <v>0</v>
      </c>
      <c r="AC1240" s="73">
        <v>0</v>
      </c>
      <c r="AD1240" s="73">
        <v>0</v>
      </c>
      <c r="AE1240" s="73">
        <v>0</v>
      </c>
      <c r="AF1240" s="74">
        <f>tblData[[#This Row],[Gross Sales]]+tblData[[#This Row],[Trade Discounts]]+tblData[[#This Row],[Returns]]</f>
        <v>618</v>
      </c>
      <c r="AG1240" s="74">
        <f>tblData[[#This Row],[Material Cost]]+tblData[[#This Row],[Conversion Cost]]+tblData[[#This Row],[Inbound Freight]]</f>
        <v>-289</v>
      </c>
      <c r="AH1240" s="74">
        <f>tblData[[#This Row],[Net Revenue]]+tblData[[#This Row],[COGS]]</f>
        <v>329</v>
      </c>
      <c r="AI1240" s="74">
        <f>tblData[[#This Row],[Advertising]]+tblData[[#This Row],[Promotions]]</f>
        <v>-112</v>
      </c>
      <c r="AJ1240" s="74">
        <f>tblData[[#This Row],[Outbound Logistics]]+tblData[[#This Row],[Direct Selling]]</f>
        <v>-53</v>
      </c>
      <c r="AK1240" s="74">
        <f>tblData[[#This Row],[Gross Profit]]+tblData[[#This Row],[AP Spend]]+tblData[[#This Row],[Cost to Serve]]</f>
        <v>164</v>
      </c>
    </row>
    <row r="1241" spans="2:37" x14ac:dyDescent="0.25">
      <c r="B1241" s="71" t="s">
        <v>51</v>
      </c>
      <c r="C1241" s="71">
        <v>2026</v>
      </c>
      <c r="D1241" s="71">
        <v>9</v>
      </c>
      <c r="E1241" s="71" t="s">
        <v>45</v>
      </c>
      <c r="F1241" s="71" t="s">
        <v>38</v>
      </c>
      <c r="G1241" s="72">
        <v>159.5</v>
      </c>
      <c r="H1241" s="73">
        <v>2230</v>
      </c>
      <c r="I1241" s="73">
        <v>-510</v>
      </c>
      <c r="J1241" s="73">
        <v>-22</v>
      </c>
      <c r="K1241" s="73">
        <v>-487</v>
      </c>
      <c r="L1241" s="73">
        <v>-120</v>
      </c>
      <c r="M1241" s="73">
        <v>-73</v>
      </c>
      <c r="N1241" s="73">
        <v>-123</v>
      </c>
      <c r="O1241" s="73">
        <v>-71</v>
      </c>
      <c r="P1241" s="73">
        <v>-80</v>
      </c>
      <c r="Q1241" s="73">
        <v>-45</v>
      </c>
      <c r="R1241" s="73">
        <v>0</v>
      </c>
      <c r="S1241" s="73">
        <v>0</v>
      </c>
      <c r="T1241" s="73">
        <v>0</v>
      </c>
      <c r="U1241" s="73">
        <v>0</v>
      </c>
      <c r="V1241" s="73">
        <v>0</v>
      </c>
      <c r="W1241" s="73">
        <v>0</v>
      </c>
      <c r="X1241" s="73">
        <v>0</v>
      </c>
      <c r="Y1241" s="73">
        <v>0</v>
      </c>
      <c r="Z1241" s="73">
        <v>2447</v>
      </c>
      <c r="AA1241" s="73">
        <v>2064</v>
      </c>
      <c r="AB1241" s="73">
        <v>0</v>
      </c>
      <c r="AC1241" s="73">
        <v>0</v>
      </c>
      <c r="AD1241" s="73">
        <v>0</v>
      </c>
      <c r="AE1241" s="73">
        <v>0</v>
      </c>
      <c r="AF1241" s="74">
        <f>tblData[[#This Row],[Gross Sales]]+tblData[[#This Row],[Trade Discounts]]+tblData[[#This Row],[Returns]]</f>
        <v>1698</v>
      </c>
      <c r="AG1241" s="74">
        <f>tblData[[#This Row],[Material Cost]]+tblData[[#This Row],[Conversion Cost]]+tblData[[#This Row],[Inbound Freight]]</f>
        <v>-680</v>
      </c>
      <c r="AH1241" s="74">
        <f>tblData[[#This Row],[Net Revenue]]+tblData[[#This Row],[COGS]]</f>
        <v>1018</v>
      </c>
      <c r="AI1241" s="74">
        <f>tblData[[#This Row],[Advertising]]+tblData[[#This Row],[Promotions]]</f>
        <v>-194</v>
      </c>
      <c r="AJ1241" s="74">
        <f>tblData[[#This Row],[Outbound Logistics]]+tblData[[#This Row],[Direct Selling]]</f>
        <v>-125</v>
      </c>
      <c r="AK1241" s="74">
        <f>tblData[[#This Row],[Gross Profit]]+tblData[[#This Row],[AP Spend]]+tblData[[#This Row],[Cost to Serve]]</f>
        <v>699</v>
      </c>
    </row>
    <row r="1242" spans="2:37" x14ac:dyDescent="0.25">
      <c r="B1242" s="71" t="s">
        <v>51</v>
      </c>
      <c r="C1242" s="71">
        <v>2026</v>
      </c>
      <c r="D1242" s="71">
        <v>9</v>
      </c>
      <c r="E1242" s="71" t="s">
        <v>45</v>
      </c>
      <c r="F1242" s="71" t="s">
        <v>39</v>
      </c>
      <c r="G1242" s="72">
        <v>209.5</v>
      </c>
      <c r="H1242" s="73">
        <v>1877</v>
      </c>
      <c r="I1242" s="73">
        <v>-429</v>
      </c>
      <c r="J1242" s="73">
        <v>-19</v>
      </c>
      <c r="K1242" s="73">
        <v>-492</v>
      </c>
      <c r="L1242" s="73">
        <v>-122</v>
      </c>
      <c r="M1242" s="73">
        <v>-73</v>
      </c>
      <c r="N1242" s="73">
        <v>-71</v>
      </c>
      <c r="O1242" s="73">
        <v>-41</v>
      </c>
      <c r="P1242" s="73">
        <v>-67</v>
      </c>
      <c r="Q1242" s="73">
        <v>-38</v>
      </c>
      <c r="R1242" s="73">
        <v>0</v>
      </c>
      <c r="S1242" s="73">
        <v>0</v>
      </c>
      <c r="T1242" s="73">
        <v>0</v>
      </c>
      <c r="U1242" s="73">
        <v>0</v>
      </c>
      <c r="V1242" s="73">
        <v>0</v>
      </c>
      <c r="W1242" s="73">
        <v>0</v>
      </c>
      <c r="X1242" s="73">
        <v>0</v>
      </c>
      <c r="Y1242" s="73">
        <v>0</v>
      </c>
      <c r="Z1242" s="73">
        <v>2049</v>
      </c>
      <c r="AA1242" s="73">
        <v>1760</v>
      </c>
      <c r="AB1242" s="73">
        <v>0</v>
      </c>
      <c r="AC1242" s="73">
        <v>0</v>
      </c>
      <c r="AD1242" s="73">
        <v>0</v>
      </c>
      <c r="AE1242" s="73">
        <v>0</v>
      </c>
      <c r="AF1242" s="74">
        <f>tblData[[#This Row],[Gross Sales]]+tblData[[#This Row],[Trade Discounts]]+tblData[[#This Row],[Returns]]</f>
        <v>1429</v>
      </c>
      <c r="AG1242" s="74">
        <f>tblData[[#This Row],[Material Cost]]+tblData[[#This Row],[Conversion Cost]]+tblData[[#This Row],[Inbound Freight]]</f>
        <v>-687</v>
      </c>
      <c r="AH1242" s="74">
        <f>tblData[[#This Row],[Net Revenue]]+tblData[[#This Row],[COGS]]</f>
        <v>742</v>
      </c>
      <c r="AI1242" s="74">
        <f>tblData[[#This Row],[Advertising]]+tblData[[#This Row],[Promotions]]</f>
        <v>-112</v>
      </c>
      <c r="AJ1242" s="74">
        <f>tblData[[#This Row],[Outbound Logistics]]+tblData[[#This Row],[Direct Selling]]</f>
        <v>-105</v>
      </c>
      <c r="AK1242" s="74">
        <f>tblData[[#This Row],[Gross Profit]]+tblData[[#This Row],[AP Spend]]+tblData[[#This Row],[Cost to Serve]]</f>
        <v>525</v>
      </c>
    </row>
    <row r="1243" spans="2:37" x14ac:dyDescent="0.25">
      <c r="B1243" s="71" t="s">
        <v>51</v>
      </c>
      <c r="C1243" s="71">
        <v>2026</v>
      </c>
      <c r="D1243" s="71">
        <v>9</v>
      </c>
      <c r="E1243" s="71" t="s">
        <v>45</v>
      </c>
      <c r="F1243" s="71" t="s">
        <v>40</v>
      </c>
      <c r="G1243" s="72">
        <v>198.8</v>
      </c>
      <c r="H1243" s="73">
        <v>1383</v>
      </c>
      <c r="I1243" s="73">
        <v>-316</v>
      </c>
      <c r="J1243" s="73">
        <v>-14</v>
      </c>
      <c r="K1243" s="73">
        <v>-403</v>
      </c>
      <c r="L1243" s="73">
        <v>-100</v>
      </c>
      <c r="M1243" s="73">
        <v>-60</v>
      </c>
      <c r="N1243" s="73">
        <v>-35</v>
      </c>
      <c r="O1243" s="73">
        <v>-20</v>
      </c>
      <c r="P1243" s="73">
        <v>-49</v>
      </c>
      <c r="Q1243" s="73">
        <v>-28</v>
      </c>
      <c r="R1243" s="73">
        <v>0</v>
      </c>
      <c r="S1243" s="73">
        <v>0</v>
      </c>
      <c r="T1243" s="73">
        <v>0</v>
      </c>
      <c r="U1243" s="73">
        <v>0</v>
      </c>
      <c r="V1243" s="73">
        <v>0</v>
      </c>
      <c r="W1243" s="73">
        <v>0</v>
      </c>
      <c r="X1243" s="73">
        <v>0</v>
      </c>
      <c r="Y1243" s="73">
        <v>0</v>
      </c>
      <c r="Z1243" s="73">
        <v>1516</v>
      </c>
      <c r="AA1243" s="73">
        <v>1361</v>
      </c>
      <c r="AB1243" s="73">
        <v>0</v>
      </c>
      <c r="AC1243" s="73">
        <v>0</v>
      </c>
      <c r="AD1243" s="73">
        <v>0</v>
      </c>
      <c r="AE1243" s="73">
        <v>0</v>
      </c>
      <c r="AF1243" s="74">
        <f>tblData[[#This Row],[Gross Sales]]+tblData[[#This Row],[Trade Discounts]]+tblData[[#This Row],[Returns]]</f>
        <v>1053</v>
      </c>
      <c r="AG1243" s="74">
        <f>tblData[[#This Row],[Material Cost]]+tblData[[#This Row],[Conversion Cost]]+tblData[[#This Row],[Inbound Freight]]</f>
        <v>-563</v>
      </c>
      <c r="AH1243" s="74">
        <f>tblData[[#This Row],[Net Revenue]]+tblData[[#This Row],[COGS]]</f>
        <v>490</v>
      </c>
      <c r="AI1243" s="74">
        <f>tblData[[#This Row],[Advertising]]+tblData[[#This Row],[Promotions]]</f>
        <v>-55</v>
      </c>
      <c r="AJ1243" s="74">
        <f>tblData[[#This Row],[Outbound Logistics]]+tblData[[#This Row],[Direct Selling]]</f>
        <v>-77</v>
      </c>
      <c r="AK1243" s="74">
        <f>tblData[[#This Row],[Gross Profit]]+tblData[[#This Row],[AP Spend]]+tblData[[#This Row],[Cost to Serve]]</f>
        <v>358</v>
      </c>
    </row>
    <row r="1244" spans="2:37" x14ac:dyDescent="0.25">
      <c r="B1244" s="71" t="s">
        <v>51</v>
      </c>
      <c r="C1244" s="71">
        <v>2026</v>
      </c>
      <c r="D1244" s="71">
        <v>9</v>
      </c>
      <c r="E1244" s="71" t="s">
        <v>45</v>
      </c>
      <c r="F1244" s="71" t="s">
        <v>41</v>
      </c>
      <c r="G1244" s="72">
        <v>100.2</v>
      </c>
      <c r="H1244" s="73">
        <v>1098</v>
      </c>
      <c r="I1244" s="73">
        <v>-251</v>
      </c>
      <c r="J1244" s="73">
        <v>-11</v>
      </c>
      <c r="K1244" s="73">
        <v>-264</v>
      </c>
      <c r="L1244" s="73">
        <v>-65</v>
      </c>
      <c r="M1244" s="73">
        <v>-39</v>
      </c>
      <c r="N1244" s="73">
        <v>-75</v>
      </c>
      <c r="O1244" s="73">
        <v>-43</v>
      </c>
      <c r="P1244" s="73">
        <v>-39</v>
      </c>
      <c r="Q1244" s="73">
        <v>-22</v>
      </c>
      <c r="R1244" s="73">
        <v>0</v>
      </c>
      <c r="S1244" s="73">
        <v>0</v>
      </c>
      <c r="T1244" s="73">
        <v>0</v>
      </c>
      <c r="U1244" s="73">
        <v>0</v>
      </c>
      <c r="V1244" s="73">
        <v>0</v>
      </c>
      <c r="W1244" s="73">
        <v>0</v>
      </c>
      <c r="X1244" s="73">
        <v>0</v>
      </c>
      <c r="Y1244" s="73">
        <v>0</v>
      </c>
      <c r="Z1244" s="73">
        <v>1203</v>
      </c>
      <c r="AA1244" s="73">
        <v>1060</v>
      </c>
      <c r="AB1244" s="73">
        <v>0</v>
      </c>
      <c r="AC1244" s="73">
        <v>0</v>
      </c>
      <c r="AD1244" s="73">
        <v>0</v>
      </c>
      <c r="AE1244" s="73">
        <v>0</v>
      </c>
      <c r="AF1244" s="74">
        <f>tblData[[#This Row],[Gross Sales]]+tblData[[#This Row],[Trade Discounts]]+tblData[[#This Row],[Returns]]</f>
        <v>836</v>
      </c>
      <c r="AG1244" s="74">
        <f>tblData[[#This Row],[Material Cost]]+tblData[[#This Row],[Conversion Cost]]+tblData[[#This Row],[Inbound Freight]]</f>
        <v>-368</v>
      </c>
      <c r="AH1244" s="74">
        <f>tblData[[#This Row],[Net Revenue]]+tblData[[#This Row],[COGS]]</f>
        <v>468</v>
      </c>
      <c r="AI1244" s="74">
        <f>tblData[[#This Row],[Advertising]]+tblData[[#This Row],[Promotions]]</f>
        <v>-118</v>
      </c>
      <c r="AJ1244" s="74">
        <f>tblData[[#This Row],[Outbound Logistics]]+tblData[[#This Row],[Direct Selling]]</f>
        <v>-61</v>
      </c>
      <c r="AK1244" s="74">
        <f>tblData[[#This Row],[Gross Profit]]+tblData[[#This Row],[AP Spend]]+tblData[[#This Row],[Cost to Serve]]</f>
        <v>289</v>
      </c>
    </row>
    <row r="1245" spans="2:37" x14ac:dyDescent="0.25">
      <c r="B1245" s="71" t="s">
        <v>51</v>
      </c>
      <c r="C1245" s="71">
        <v>2026</v>
      </c>
      <c r="D1245" s="71">
        <v>9</v>
      </c>
      <c r="E1245" s="71" t="s">
        <v>45</v>
      </c>
      <c r="F1245" s="71" t="s">
        <v>42</v>
      </c>
      <c r="G1245" s="72">
        <v>123.5</v>
      </c>
      <c r="H1245" s="73">
        <v>735</v>
      </c>
      <c r="I1245" s="73">
        <v>-168</v>
      </c>
      <c r="J1245" s="73">
        <v>-7</v>
      </c>
      <c r="K1245" s="73">
        <v>-235</v>
      </c>
      <c r="L1245" s="73">
        <v>-58</v>
      </c>
      <c r="M1245" s="73">
        <v>-35</v>
      </c>
      <c r="N1245" s="73">
        <v>-15</v>
      </c>
      <c r="O1245" s="73">
        <v>-8</v>
      </c>
      <c r="P1245" s="73">
        <v>-26</v>
      </c>
      <c r="Q1245" s="73">
        <v>-15</v>
      </c>
      <c r="R1245" s="73">
        <v>0</v>
      </c>
      <c r="S1245" s="73">
        <v>0</v>
      </c>
      <c r="T1245" s="73">
        <v>0</v>
      </c>
      <c r="U1245" s="73">
        <v>0</v>
      </c>
      <c r="V1245" s="73">
        <v>0</v>
      </c>
      <c r="W1245" s="73">
        <v>0</v>
      </c>
      <c r="X1245" s="73">
        <v>0</v>
      </c>
      <c r="Y1245" s="73">
        <v>0</v>
      </c>
      <c r="Z1245" s="73">
        <v>803</v>
      </c>
      <c r="AA1245" s="73">
        <v>1234</v>
      </c>
      <c r="AB1245" s="73">
        <v>0</v>
      </c>
      <c r="AC1245" s="73">
        <v>0</v>
      </c>
      <c r="AD1245" s="73">
        <v>0</v>
      </c>
      <c r="AE1245" s="73">
        <v>0</v>
      </c>
      <c r="AF1245" s="74">
        <f>tblData[[#This Row],[Gross Sales]]+tblData[[#This Row],[Trade Discounts]]+tblData[[#This Row],[Returns]]</f>
        <v>560</v>
      </c>
      <c r="AG1245" s="74">
        <f>tblData[[#This Row],[Material Cost]]+tblData[[#This Row],[Conversion Cost]]+tblData[[#This Row],[Inbound Freight]]</f>
        <v>-328</v>
      </c>
      <c r="AH1245" s="74">
        <f>tblData[[#This Row],[Net Revenue]]+tblData[[#This Row],[COGS]]</f>
        <v>232</v>
      </c>
      <c r="AI1245" s="74">
        <f>tblData[[#This Row],[Advertising]]+tblData[[#This Row],[Promotions]]</f>
        <v>-23</v>
      </c>
      <c r="AJ1245" s="74">
        <f>tblData[[#This Row],[Outbound Logistics]]+tblData[[#This Row],[Direct Selling]]</f>
        <v>-41</v>
      </c>
      <c r="AK1245" s="74">
        <f>tblData[[#This Row],[Gross Profit]]+tblData[[#This Row],[AP Spend]]+tblData[[#This Row],[Cost to Serve]]</f>
        <v>168</v>
      </c>
    </row>
    <row r="1246" spans="2:37" x14ac:dyDescent="0.25">
      <c r="B1246" s="71" t="s">
        <v>51</v>
      </c>
      <c r="C1246" s="71">
        <v>2026</v>
      </c>
      <c r="D1246" s="71">
        <v>9</v>
      </c>
      <c r="E1246" s="71" t="s">
        <v>45</v>
      </c>
      <c r="F1246" s="71" t="s">
        <v>43</v>
      </c>
      <c r="G1246" s="72">
        <v>23.7</v>
      </c>
      <c r="H1246" s="73">
        <v>424</v>
      </c>
      <c r="I1246" s="73">
        <v>-97</v>
      </c>
      <c r="J1246" s="73">
        <v>-4</v>
      </c>
      <c r="K1246" s="73">
        <v>-117</v>
      </c>
      <c r="L1246" s="73">
        <v>-29</v>
      </c>
      <c r="M1246" s="73">
        <v>-17</v>
      </c>
      <c r="N1246" s="73">
        <v>-41</v>
      </c>
      <c r="O1246" s="73">
        <v>-24</v>
      </c>
      <c r="P1246" s="73">
        <v>-15</v>
      </c>
      <c r="Q1246" s="73">
        <v>-8</v>
      </c>
      <c r="R1246" s="73">
        <v>0</v>
      </c>
      <c r="S1246" s="73">
        <v>0</v>
      </c>
      <c r="T1246" s="73">
        <v>0</v>
      </c>
      <c r="U1246" s="73">
        <v>0</v>
      </c>
      <c r="V1246" s="73">
        <v>0</v>
      </c>
      <c r="W1246" s="73">
        <v>0</v>
      </c>
      <c r="X1246" s="73">
        <v>0</v>
      </c>
      <c r="Y1246" s="73">
        <v>0</v>
      </c>
      <c r="Z1246" s="73">
        <v>466</v>
      </c>
      <c r="AA1246" s="73">
        <v>623</v>
      </c>
      <c r="AB1246" s="73">
        <v>0</v>
      </c>
      <c r="AC1246" s="73">
        <v>0</v>
      </c>
      <c r="AD1246" s="73">
        <v>0</v>
      </c>
      <c r="AE1246" s="73">
        <v>0</v>
      </c>
      <c r="AF1246" s="74">
        <f>tblData[[#This Row],[Gross Sales]]+tblData[[#This Row],[Trade Discounts]]+tblData[[#This Row],[Returns]]</f>
        <v>323</v>
      </c>
      <c r="AG1246" s="74">
        <f>tblData[[#This Row],[Material Cost]]+tblData[[#This Row],[Conversion Cost]]+tblData[[#This Row],[Inbound Freight]]</f>
        <v>-163</v>
      </c>
      <c r="AH1246" s="74">
        <f>tblData[[#This Row],[Net Revenue]]+tblData[[#This Row],[COGS]]</f>
        <v>160</v>
      </c>
      <c r="AI1246" s="74">
        <f>tblData[[#This Row],[Advertising]]+tblData[[#This Row],[Promotions]]</f>
        <v>-65</v>
      </c>
      <c r="AJ1246" s="74">
        <f>tblData[[#This Row],[Outbound Logistics]]+tblData[[#This Row],[Direct Selling]]</f>
        <v>-23</v>
      </c>
      <c r="AK1246" s="74">
        <f>tblData[[#This Row],[Gross Profit]]+tblData[[#This Row],[AP Spend]]+tblData[[#This Row],[Cost to Serve]]</f>
        <v>72</v>
      </c>
    </row>
    <row r="1247" spans="2:37" x14ac:dyDescent="0.25">
      <c r="B1247" s="71" t="s">
        <v>51</v>
      </c>
      <c r="C1247" s="71">
        <v>2026</v>
      </c>
      <c r="D1247" s="71">
        <v>9</v>
      </c>
      <c r="E1247" s="71" t="s">
        <v>46</v>
      </c>
      <c r="F1247" s="71" t="s">
        <v>38</v>
      </c>
      <c r="G1247" s="72">
        <v>196.1</v>
      </c>
      <c r="H1247" s="73">
        <v>2762</v>
      </c>
      <c r="I1247" s="73">
        <v>-300</v>
      </c>
      <c r="J1247" s="73">
        <v>-110</v>
      </c>
      <c r="K1247" s="73">
        <v>-603</v>
      </c>
      <c r="L1247" s="73">
        <v>-149</v>
      </c>
      <c r="M1247" s="73">
        <v>-90</v>
      </c>
      <c r="N1247" s="73">
        <v>-141</v>
      </c>
      <c r="O1247" s="73">
        <v>-81</v>
      </c>
      <c r="P1247" s="73">
        <v>-212</v>
      </c>
      <c r="Q1247" s="73">
        <v>-55</v>
      </c>
      <c r="R1247" s="73">
        <v>0</v>
      </c>
      <c r="S1247" s="73">
        <v>0</v>
      </c>
      <c r="T1247" s="73">
        <v>0</v>
      </c>
      <c r="U1247" s="73">
        <v>0</v>
      </c>
      <c r="V1247" s="73">
        <v>0</v>
      </c>
      <c r="W1247" s="73">
        <v>0</v>
      </c>
      <c r="X1247" s="73">
        <v>0</v>
      </c>
      <c r="Y1247" s="73">
        <v>0</v>
      </c>
      <c r="Z1247" s="73">
        <v>1950</v>
      </c>
      <c r="AA1247" s="73">
        <v>2560</v>
      </c>
      <c r="AB1247" s="73">
        <v>0</v>
      </c>
      <c r="AC1247" s="73">
        <v>0</v>
      </c>
      <c r="AD1247" s="73">
        <v>0</v>
      </c>
      <c r="AE1247" s="73">
        <v>0</v>
      </c>
      <c r="AF1247" s="74">
        <f>tblData[[#This Row],[Gross Sales]]+tblData[[#This Row],[Trade Discounts]]+tblData[[#This Row],[Returns]]</f>
        <v>2352</v>
      </c>
      <c r="AG1247" s="74">
        <f>tblData[[#This Row],[Material Cost]]+tblData[[#This Row],[Conversion Cost]]+tblData[[#This Row],[Inbound Freight]]</f>
        <v>-842</v>
      </c>
      <c r="AH1247" s="74">
        <f>tblData[[#This Row],[Net Revenue]]+tblData[[#This Row],[COGS]]</f>
        <v>1510</v>
      </c>
      <c r="AI1247" s="74">
        <f>tblData[[#This Row],[Advertising]]+tblData[[#This Row],[Promotions]]</f>
        <v>-222</v>
      </c>
      <c r="AJ1247" s="74">
        <f>tblData[[#This Row],[Outbound Logistics]]+tblData[[#This Row],[Direct Selling]]</f>
        <v>-267</v>
      </c>
      <c r="AK1247" s="74">
        <f>tblData[[#This Row],[Gross Profit]]+tblData[[#This Row],[AP Spend]]+tblData[[#This Row],[Cost to Serve]]</f>
        <v>1021</v>
      </c>
    </row>
    <row r="1248" spans="2:37" x14ac:dyDescent="0.25">
      <c r="B1248" s="71" t="s">
        <v>51</v>
      </c>
      <c r="C1248" s="71">
        <v>2026</v>
      </c>
      <c r="D1248" s="71">
        <v>9</v>
      </c>
      <c r="E1248" s="71" t="s">
        <v>46</v>
      </c>
      <c r="F1248" s="71" t="s">
        <v>39</v>
      </c>
      <c r="G1248" s="72">
        <v>256.3</v>
      </c>
      <c r="H1248" s="73">
        <v>2313</v>
      </c>
      <c r="I1248" s="73">
        <v>-251</v>
      </c>
      <c r="J1248" s="73">
        <v>-93</v>
      </c>
      <c r="K1248" s="73">
        <v>-606</v>
      </c>
      <c r="L1248" s="73">
        <v>-150</v>
      </c>
      <c r="M1248" s="73">
        <v>-90</v>
      </c>
      <c r="N1248" s="73">
        <v>-81</v>
      </c>
      <c r="O1248" s="73">
        <v>-46</v>
      </c>
      <c r="P1248" s="73">
        <v>-177</v>
      </c>
      <c r="Q1248" s="73">
        <v>-46</v>
      </c>
      <c r="R1248" s="73">
        <v>0</v>
      </c>
      <c r="S1248" s="73">
        <v>0</v>
      </c>
      <c r="T1248" s="73">
        <v>0</v>
      </c>
      <c r="U1248" s="73">
        <v>0</v>
      </c>
      <c r="V1248" s="73">
        <v>0</v>
      </c>
      <c r="W1248" s="73">
        <v>0</v>
      </c>
      <c r="X1248" s="73">
        <v>0</v>
      </c>
      <c r="Y1248" s="73">
        <v>0</v>
      </c>
      <c r="Z1248" s="73">
        <v>1637</v>
      </c>
      <c r="AA1248" s="73">
        <v>2188</v>
      </c>
      <c r="AB1248" s="73">
        <v>0</v>
      </c>
      <c r="AC1248" s="73">
        <v>0</v>
      </c>
      <c r="AD1248" s="73">
        <v>0</v>
      </c>
      <c r="AE1248" s="73">
        <v>0</v>
      </c>
      <c r="AF1248" s="74">
        <f>tblData[[#This Row],[Gross Sales]]+tblData[[#This Row],[Trade Discounts]]+tblData[[#This Row],[Returns]]</f>
        <v>1969</v>
      </c>
      <c r="AG1248" s="74">
        <f>tblData[[#This Row],[Material Cost]]+tblData[[#This Row],[Conversion Cost]]+tblData[[#This Row],[Inbound Freight]]</f>
        <v>-846</v>
      </c>
      <c r="AH1248" s="74">
        <f>tblData[[#This Row],[Net Revenue]]+tblData[[#This Row],[COGS]]</f>
        <v>1123</v>
      </c>
      <c r="AI1248" s="74">
        <f>tblData[[#This Row],[Advertising]]+tblData[[#This Row],[Promotions]]</f>
        <v>-127</v>
      </c>
      <c r="AJ1248" s="74">
        <f>tblData[[#This Row],[Outbound Logistics]]+tblData[[#This Row],[Direct Selling]]</f>
        <v>-223</v>
      </c>
      <c r="AK1248" s="74">
        <f>tblData[[#This Row],[Gross Profit]]+tblData[[#This Row],[AP Spend]]+tblData[[#This Row],[Cost to Serve]]</f>
        <v>773</v>
      </c>
    </row>
    <row r="1249" spans="2:37" x14ac:dyDescent="0.25">
      <c r="B1249" s="71" t="s">
        <v>51</v>
      </c>
      <c r="C1249" s="71">
        <v>2026</v>
      </c>
      <c r="D1249" s="71">
        <v>9</v>
      </c>
      <c r="E1249" s="71" t="s">
        <v>46</v>
      </c>
      <c r="F1249" s="71" t="s">
        <v>40</v>
      </c>
      <c r="G1249" s="72">
        <v>244.8</v>
      </c>
      <c r="H1249" s="73">
        <v>1716</v>
      </c>
      <c r="I1249" s="73">
        <v>-186</v>
      </c>
      <c r="J1249" s="73">
        <v>-69</v>
      </c>
      <c r="K1249" s="73">
        <v>-499</v>
      </c>
      <c r="L1249" s="73">
        <v>-124</v>
      </c>
      <c r="M1249" s="73">
        <v>-75</v>
      </c>
      <c r="N1249" s="73">
        <v>-40</v>
      </c>
      <c r="O1249" s="73">
        <v>-23</v>
      </c>
      <c r="P1249" s="73">
        <v>-131</v>
      </c>
      <c r="Q1249" s="73">
        <v>-34</v>
      </c>
      <c r="R1249" s="73">
        <v>0</v>
      </c>
      <c r="S1249" s="73">
        <v>0</v>
      </c>
      <c r="T1249" s="73">
        <v>0</v>
      </c>
      <c r="U1249" s="73">
        <v>0</v>
      </c>
      <c r="V1249" s="73">
        <v>0</v>
      </c>
      <c r="W1249" s="73">
        <v>0</v>
      </c>
      <c r="X1249" s="73">
        <v>0</v>
      </c>
      <c r="Y1249" s="73">
        <v>0</v>
      </c>
      <c r="Z1249" s="73">
        <v>1214</v>
      </c>
      <c r="AA1249" s="73">
        <v>1696</v>
      </c>
      <c r="AB1249" s="73">
        <v>0</v>
      </c>
      <c r="AC1249" s="73">
        <v>0</v>
      </c>
      <c r="AD1249" s="73">
        <v>0</v>
      </c>
      <c r="AE1249" s="73">
        <v>0</v>
      </c>
      <c r="AF1249" s="74">
        <f>tblData[[#This Row],[Gross Sales]]+tblData[[#This Row],[Trade Discounts]]+tblData[[#This Row],[Returns]]</f>
        <v>1461</v>
      </c>
      <c r="AG1249" s="74">
        <f>tblData[[#This Row],[Material Cost]]+tblData[[#This Row],[Conversion Cost]]+tblData[[#This Row],[Inbound Freight]]</f>
        <v>-698</v>
      </c>
      <c r="AH1249" s="74">
        <f>tblData[[#This Row],[Net Revenue]]+tblData[[#This Row],[COGS]]</f>
        <v>763</v>
      </c>
      <c r="AI1249" s="74">
        <f>tblData[[#This Row],[Advertising]]+tblData[[#This Row],[Promotions]]</f>
        <v>-63</v>
      </c>
      <c r="AJ1249" s="74">
        <f>tblData[[#This Row],[Outbound Logistics]]+tblData[[#This Row],[Direct Selling]]</f>
        <v>-165</v>
      </c>
      <c r="AK1249" s="74">
        <f>tblData[[#This Row],[Gross Profit]]+tblData[[#This Row],[AP Spend]]+tblData[[#This Row],[Cost to Serve]]</f>
        <v>535</v>
      </c>
    </row>
    <row r="1250" spans="2:37" x14ac:dyDescent="0.25">
      <c r="B1250" s="71" t="s">
        <v>51</v>
      </c>
      <c r="C1250" s="71">
        <v>2026</v>
      </c>
      <c r="D1250" s="71">
        <v>9</v>
      </c>
      <c r="E1250" s="71" t="s">
        <v>46</v>
      </c>
      <c r="F1250" s="71" t="s">
        <v>41</v>
      </c>
      <c r="G1250" s="72">
        <v>123.8</v>
      </c>
      <c r="H1250" s="73">
        <v>1366</v>
      </c>
      <c r="I1250" s="73">
        <v>-148</v>
      </c>
      <c r="J1250" s="73">
        <v>-55</v>
      </c>
      <c r="K1250" s="73">
        <v>-328</v>
      </c>
      <c r="L1250" s="73">
        <v>-81</v>
      </c>
      <c r="M1250" s="73">
        <v>-49</v>
      </c>
      <c r="N1250" s="73">
        <v>-86</v>
      </c>
      <c r="O1250" s="73">
        <v>-50</v>
      </c>
      <c r="P1250" s="73">
        <v>-105</v>
      </c>
      <c r="Q1250" s="73">
        <v>-27</v>
      </c>
      <c r="R1250" s="73">
        <v>0</v>
      </c>
      <c r="S1250" s="73">
        <v>0</v>
      </c>
      <c r="T1250" s="73">
        <v>0</v>
      </c>
      <c r="U1250" s="73">
        <v>0</v>
      </c>
      <c r="V1250" s="73">
        <v>0</v>
      </c>
      <c r="W1250" s="73">
        <v>0</v>
      </c>
      <c r="X1250" s="73">
        <v>0</v>
      </c>
      <c r="Y1250" s="73">
        <v>0</v>
      </c>
      <c r="Z1250" s="73">
        <v>969</v>
      </c>
      <c r="AA1250" s="73">
        <v>1329</v>
      </c>
      <c r="AB1250" s="73">
        <v>0</v>
      </c>
      <c r="AC1250" s="73">
        <v>0</v>
      </c>
      <c r="AD1250" s="73">
        <v>0</v>
      </c>
      <c r="AE1250" s="73">
        <v>0</v>
      </c>
      <c r="AF1250" s="74">
        <f>tblData[[#This Row],[Gross Sales]]+tblData[[#This Row],[Trade Discounts]]+tblData[[#This Row],[Returns]]</f>
        <v>1163</v>
      </c>
      <c r="AG1250" s="74">
        <f>tblData[[#This Row],[Material Cost]]+tblData[[#This Row],[Conversion Cost]]+tblData[[#This Row],[Inbound Freight]]</f>
        <v>-458</v>
      </c>
      <c r="AH1250" s="74">
        <f>tblData[[#This Row],[Net Revenue]]+tblData[[#This Row],[COGS]]</f>
        <v>705</v>
      </c>
      <c r="AI1250" s="74">
        <f>tblData[[#This Row],[Advertising]]+tblData[[#This Row],[Promotions]]</f>
        <v>-136</v>
      </c>
      <c r="AJ1250" s="74">
        <f>tblData[[#This Row],[Outbound Logistics]]+tblData[[#This Row],[Direct Selling]]</f>
        <v>-132</v>
      </c>
      <c r="AK1250" s="74">
        <f>tblData[[#This Row],[Gross Profit]]+tblData[[#This Row],[AP Spend]]+tblData[[#This Row],[Cost to Serve]]</f>
        <v>437</v>
      </c>
    </row>
    <row r="1251" spans="2:37" x14ac:dyDescent="0.25">
      <c r="B1251" s="71" t="s">
        <v>51</v>
      </c>
      <c r="C1251" s="71">
        <v>2026</v>
      </c>
      <c r="D1251" s="71">
        <v>9</v>
      </c>
      <c r="E1251" s="71" t="s">
        <v>46</v>
      </c>
      <c r="F1251" s="71" t="s">
        <v>42</v>
      </c>
      <c r="G1251" s="72">
        <v>152.1</v>
      </c>
      <c r="H1251" s="73">
        <v>911</v>
      </c>
      <c r="I1251" s="73">
        <v>-99</v>
      </c>
      <c r="J1251" s="73">
        <v>-36</v>
      </c>
      <c r="K1251" s="73">
        <v>-292</v>
      </c>
      <c r="L1251" s="73">
        <v>-72</v>
      </c>
      <c r="M1251" s="73">
        <v>-44</v>
      </c>
      <c r="N1251" s="73">
        <v>-17</v>
      </c>
      <c r="O1251" s="73">
        <v>-10</v>
      </c>
      <c r="P1251" s="73">
        <v>-70</v>
      </c>
      <c r="Q1251" s="73">
        <v>-18</v>
      </c>
      <c r="R1251" s="73">
        <v>0</v>
      </c>
      <c r="S1251" s="73">
        <v>0</v>
      </c>
      <c r="T1251" s="73">
        <v>0</v>
      </c>
      <c r="U1251" s="73">
        <v>0</v>
      </c>
      <c r="V1251" s="73">
        <v>0</v>
      </c>
      <c r="W1251" s="73">
        <v>0</v>
      </c>
      <c r="X1251" s="73">
        <v>0</v>
      </c>
      <c r="Y1251" s="73">
        <v>0</v>
      </c>
      <c r="Z1251" s="73">
        <v>645</v>
      </c>
      <c r="AA1251" s="73">
        <v>1544</v>
      </c>
      <c r="AB1251" s="73">
        <v>0</v>
      </c>
      <c r="AC1251" s="73">
        <v>0</v>
      </c>
      <c r="AD1251" s="73">
        <v>0</v>
      </c>
      <c r="AE1251" s="73">
        <v>0</v>
      </c>
      <c r="AF1251" s="74">
        <f>tblData[[#This Row],[Gross Sales]]+tblData[[#This Row],[Trade Discounts]]+tblData[[#This Row],[Returns]]</f>
        <v>776</v>
      </c>
      <c r="AG1251" s="74">
        <f>tblData[[#This Row],[Material Cost]]+tblData[[#This Row],[Conversion Cost]]+tblData[[#This Row],[Inbound Freight]]</f>
        <v>-408</v>
      </c>
      <c r="AH1251" s="74">
        <f>tblData[[#This Row],[Net Revenue]]+tblData[[#This Row],[COGS]]</f>
        <v>368</v>
      </c>
      <c r="AI1251" s="74">
        <f>tblData[[#This Row],[Advertising]]+tblData[[#This Row],[Promotions]]</f>
        <v>-27</v>
      </c>
      <c r="AJ1251" s="74">
        <f>tblData[[#This Row],[Outbound Logistics]]+tblData[[#This Row],[Direct Selling]]</f>
        <v>-88</v>
      </c>
      <c r="AK1251" s="74">
        <f>tblData[[#This Row],[Gross Profit]]+tblData[[#This Row],[AP Spend]]+tblData[[#This Row],[Cost to Serve]]</f>
        <v>253</v>
      </c>
    </row>
    <row r="1252" spans="2:37" x14ac:dyDescent="0.25">
      <c r="B1252" s="71" t="s">
        <v>51</v>
      </c>
      <c r="C1252" s="71">
        <v>2026</v>
      </c>
      <c r="D1252" s="71">
        <v>9</v>
      </c>
      <c r="E1252" s="71" t="s">
        <v>46</v>
      </c>
      <c r="F1252" s="71" t="s">
        <v>43</v>
      </c>
      <c r="G1252" s="72">
        <v>29.4</v>
      </c>
      <c r="H1252" s="73">
        <v>531</v>
      </c>
      <c r="I1252" s="73">
        <v>-58</v>
      </c>
      <c r="J1252" s="73">
        <v>-21</v>
      </c>
      <c r="K1252" s="73">
        <v>-147</v>
      </c>
      <c r="L1252" s="73">
        <v>-36</v>
      </c>
      <c r="M1252" s="73">
        <v>-22</v>
      </c>
      <c r="N1252" s="73">
        <v>-47</v>
      </c>
      <c r="O1252" s="73">
        <v>-27</v>
      </c>
      <c r="P1252" s="73">
        <v>-41</v>
      </c>
      <c r="Q1252" s="73">
        <v>-11</v>
      </c>
      <c r="R1252" s="73">
        <v>0</v>
      </c>
      <c r="S1252" s="73">
        <v>0</v>
      </c>
      <c r="T1252" s="73">
        <v>0</v>
      </c>
      <c r="U1252" s="73">
        <v>0</v>
      </c>
      <c r="V1252" s="73">
        <v>0</v>
      </c>
      <c r="W1252" s="73">
        <v>0</v>
      </c>
      <c r="X1252" s="73">
        <v>0</v>
      </c>
      <c r="Y1252" s="73">
        <v>0</v>
      </c>
      <c r="Z1252" s="73">
        <v>373</v>
      </c>
      <c r="AA1252" s="73">
        <v>778</v>
      </c>
      <c r="AB1252" s="73">
        <v>0</v>
      </c>
      <c r="AC1252" s="73">
        <v>0</v>
      </c>
      <c r="AD1252" s="73">
        <v>0</v>
      </c>
      <c r="AE1252" s="73">
        <v>0</v>
      </c>
      <c r="AF1252" s="74">
        <f>tblData[[#This Row],[Gross Sales]]+tblData[[#This Row],[Trade Discounts]]+tblData[[#This Row],[Returns]]</f>
        <v>452</v>
      </c>
      <c r="AG1252" s="74">
        <f>tblData[[#This Row],[Material Cost]]+tblData[[#This Row],[Conversion Cost]]+tblData[[#This Row],[Inbound Freight]]</f>
        <v>-205</v>
      </c>
      <c r="AH1252" s="74">
        <f>tblData[[#This Row],[Net Revenue]]+tblData[[#This Row],[COGS]]</f>
        <v>247</v>
      </c>
      <c r="AI1252" s="74">
        <f>tblData[[#This Row],[Advertising]]+tblData[[#This Row],[Promotions]]</f>
        <v>-74</v>
      </c>
      <c r="AJ1252" s="74">
        <f>tblData[[#This Row],[Outbound Logistics]]+tblData[[#This Row],[Direct Selling]]</f>
        <v>-52</v>
      </c>
      <c r="AK1252" s="74">
        <f>tblData[[#This Row],[Gross Profit]]+tblData[[#This Row],[AP Spend]]+tblData[[#This Row],[Cost to Serve]]</f>
        <v>121</v>
      </c>
    </row>
    <row r="1253" spans="2:37" x14ac:dyDescent="0.25">
      <c r="B1253" s="71" t="s">
        <v>51</v>
      </c>
      <c r="C1253" s="71">
        <v>2026</v>
      </c>
      <c r="D1253" s="71">
        <v>9</v>
      </c>
      <c r="E1253" s="71" t="s">
        <v>47</v>
      </c>
      <c r="F1253" s="71" t="s">
        <v>38</v>
      </c>
      <c r="G1253" s="72">
        <v>72.599999999999994</v>
      </c>
      <c r="H1253" s="73">
        <v>1026</v>
      </c>
      <c r="I1253" s="73">
        <v>-31</v>
      </c>
      <c r="J1253" s="73">
        <v>-51</v>
      </c>
      <c r="K1253" s="73">
        <v>-224</v>
      </c>
      <c r="L1253" s="73">
        <v>-55</v>
      </c>
      <c r="M1253" s="73">
        <v>-33</v>
      </c>
      <c r="N1253" s="73">
        <v>-53</v>
      </c>
      <c r="O1253" s="73">
        <v>-30</v>
      </c>
      <c r="P1253" s="73">
        <v>-126</v>
      </c>
      <c r="Q1253" s="73">
        <v>-41</v>
      </c>
      <c r="R1253" s="73">
        <v>0</v>
      </c>
      <c r="S1253" s="73">
        <v>0</v>
      </c>
      <c r="T1253" s="73">
        <v>0</v>
      </c>
      <c r="U1253" s="73">
        <v>0</v>
      </c>
      <c r="V1253" s="73">
        <v>0</v>
      </c>
      <c r="W1253" s="73">
        <v>0</v>
      </c>
      <c r="X1253" s="73">
        <v>0</v>
      </c>
      <c r="Y1253" s="73">
        <v>0</v>
      </c>
      <c r="Z1253" s="73">
        <v>144</v>
      </c>
      <c r="AA1253" s="73">
        <v>945</v>
      </c>
      <c r="AB1253" s="73">
        <v>0</v>
      </c>
      <c r="AC1253" s="73">
        <v>0</v>
      </c>
      <c r="AD1253" s="73">
        <v>0</v>
      </c>
      <c r="AE1253" s="73">
        <v>0</v>
      </c>
      <c r="AF1253" s="74">
        <f>tblData[[#This Row],[Gross Sales]]+tblData[[#This Row],[Trade Discounts]]+tblData[[#This Row],[Returns]]</f>
        <v>944</v>
      </c>
      <c r="AG1253" s="74">
        <f>tblData[[#This Row],[Material Cost]]+tblData[[#This Row],[Conversion Cost]]+tblData[[#This Row],[Inbound Freight]]</f>
        <v>-312</v>
      </c>
      <c r="AH1253" s="74">
        <f>tblData[[#This Row],[Net Revenue]]+tblData[[#This Row],[COGS]]</f>
        <v>632</v>
      </c>
      <c r="AI1253" s="74">
        <f>tblData[[#This Row],[Advertising]]+tblData[[#This Row],[Promotions]]</f>
        <v>-83</v>
      </c>
      <c r="AJ1253" s="74">
        <f>tblData[[#This Row],[Outbound Logistics]]+tblData[[#This Row],[Direct Selling]]</f>
        <v>-167</v>
      </c>
      <c r="AK1253" s="74">
        <f>tblData[[#This Row],[Gross Profit]]+tblData[[#This Row],[AP Spend]]+tblData[[#This Row],[Cost to Serve]]</f>
        <v>382</v>
      </c>
    </row>
    <row r="1254" spans="2:37" x14ac:dyDescent="0.25">
      <c r="B1254" s="71" t="s">
        <v>51</v>
      </c>
      <c r="C1254" s="71">
        <v>2026</v>
      </c>
      <c r="D1254" s="71">
        <v>9</v>
      </c>
      <c r="E1254" s="71" t="s">
        <v>47</v>
      </c>
      <c r="F1254" s="71" t="s">
        <v>39</v>
      </c>
      <c r="G1254" s="72">
        <v>94.8</v>
      </c>
      <c r="H1254" s="73">
        <v>858</v>
      </c>
      <c r="I1254" s="73">
        <v>-26</v>
      </c>
      <c r="J1254" s="73">
        <v>-43</v>
      </c>
      <c r="K1254" s="73">
        <v>-225</v>
      </c>
      <c r="L1254" s="73">
        <v>-56</v>
      </c>
      <c r="M1254" s="73">
        <v>-34</v>
      </c>
      <c r="N1254" s="73">
        <v>-30</v>
      </c>
      <c r="O1254" s="73">
        <v>-17</v>
      </c>
      <c r="P1254" s="73">
        <v>-105</v>
      </c>
      <c r="Q1254" s="73">
        <v>-34</v>
      </c>
      <c r="R1254" s="73">
        <v>0</v>
      </c>
      <c r="S1254" s="73">
        <v>0</v>
      </c>
      <c r="T1254" s="73">
        <v>0</v>
      </c>
      <c r="U1254" s="73">
        <v>0</v>
      </c>
      <c r="V1254" s="73">
        <v>0</v>
      </c>
      <c r="W1254" s="73">
        <v>0</v>
      </c>
      <c r="X1254" s="73">
        <v>0</v>
      </c>
      <c r="Y1254" s="73">
        <v>0</v>
      </c>
      <c r="Z1254" s="73">
        <v>121</v>
      </c>
      <c r="AA1254" s="73">
        <v>809</v>
      </c>
      <c r="AB1254" s="73">
        <v>0</v>
      </c>
      <c r="AC1254" s="73">
        <v>0</v>
      </c>
      <c r="AD1254" s="73">
        <v>0</v>
      </c>
      <c r="AE1254" s="73">
        <v>0</v>
      </c>
      <c r="AF1254" s="74">
        <f>tblData[[#This Row],[Gross Sales]]+tblData[[#This Row],[Trade Discounts]]+tblData[[#This Row],[Returns]]</f>
        <v>789</v>
      </c>
      <c r="AG1254" s="74">
        <f>tblData[[#This Row],[Material Cost]]+tblData[[#This Row],[Conversion Cost]]+tblData[[#This Row],[Inbound Freight]]</f>
        <v>-315</v>
      </c>
      <c r="AH1254" s="74">
        <f>tblData[[#This Row],[Net Revenue]]+tblData[[#This Row],[COGS]]</f>
        <v>474</v>
      </c>
      <c r="AI1254" s="74">
        <f>tblData[[#This Row],[Advertising]]+tblData[[#This Row],[Promotions]]</f>
        <v>-47</v>
      </c>
      <c r="AJ1254" s="74">
        <f>tblData[[#This Row],[Outbound Logistics]]+tblData[[#This Row],[Direct Selling]]</f>
        <v>-139</v>
      </c>
      <c r="AK1254" s="74">
        <f>tblData[[#This Row],[Gross Profit]]+tblData[[#This Row],[AP Spend]]+tblData[[#This Row],[Cost to Serve]]</f>
        <v>288</v>
      </c>
    </row>
    <row r="1255" spans="2:37" x14ac:dyDescent="0.25">
      <c r="B1255" s="71" t="s">
        <v>51</v>
      </c>
      <c r="C1255" s="71">
        <v>2026</v>
      </c>
      <c r="D1255" s="71">
        <v>9</v>
      </c>
      <c r="E1255" s="71" t="s">
        <v>47</v>
      </c>
      <c r="F1255" s="71" t="s">
        <v>40</v>
      </c>
      <c r="G1255" s="72">
        <v>90.5</v>
      </c>
      <c r="H1255" s="73">
        <v>637</v>
      </c>
      <c r="I1255" s="73">
        <v>-19</v>
      </c>
      <c r="J1255" s="73">
        <v>-32</v>
      </c>
      <c r="K1255" s="73">
        <v>-185</v>
      </c>
      <c r="L1255" s="73">
        <v>-46</v>
      </c>
      <c r="M1255" s="73">
        <v>-28</v>
      </c>
      <c r="N1255" s="73">
        <v>-15</v>
      </c>
      <c r="O1255" s="73">
        <v>-9</v>
      </c>
      <c r="P1255" s="73">
        <v>-78</v>
      </c>
      <c r="Q1255" s="73">
        <v>-25</v>
      </c>
      <c r="R1255" s="73">
        <v>0</v>
      </c>
      <c r="S1255" s="73">
        <v>0</v>
      </c>
      <c r="T1255" s="73">
        <v>0</v>
      </c>
      <c r="U1255" s="73">
        <v>0</v>
      </c>
      <c r="V1255" s="73">
        <v>0</v>
      </c>
      <c r="W1255" s="73">
        <v>0</v>
      </c>
      <c r="X1255" s="73">
        <v>0</v>
      </c>
      <c r="Y1255" s="73">
        <v>0</v>
      </c>
      <c r="Z1255" s="73">
        <v>90</v>
      </c>
      <c r="AA1255" s="73">
        <v>627</v>
      </c>
      <c r="AB1255" s="73">
        <v>0</v>
      </c>
      <c r="AC1255" s="73">
        <v>0</v>
      </c>
      <c r="AD1255" s="73">
        <v>0</v>
      </c>
      <c r="AE1255" s="73">
        <v>0</v>
      </c>
      <c r="AF1255" s="74">
        <f>tblData[[#This Row],[Gross Sales]]+tblData[[#This Row],[Trade Discounts]]+tblData[[#This Row],[Returns]]</f>
        <v>586</v>
      </c>
      <c r="AG1255" s="74">
        <f>tblData[[#This Row],[Material Cost]]+tblData[[#This Row],[Conversion Cost]]+tblData[[#This Row],[Inbound Freight]]</f>
        <v>-259</v>
      </c>
      <c r="AH1255" s="74">
        <f>tblData[[#This Row],[Net Revenue]]+tblData[[#This Row],[COGS]]</f>
        <v>327</v>
      </c>
      <c r="AI1255" s="74">
        <f>tblData[[#This Row],[Advertising]]+tblData[[#This Row],[Promotions]]</f>
        <v>-24</v>
      </c>
      <c r="AJ1255" s="74">
        <f>tblData[[#This Row],[Outbound Logistics]]+tblData[[#This Row],[Direct Selling]]</f>
        <v>-103</v>
      </c>
      <c r="AK1255" s="74">
        <f>tblData[[#This Row],[Gross Profit]]+tblData[[#This Row],[AP Spend]]+tblData[[#This Row],[Cost to Serve]]</f>
        <v>200</v>
      </c>
    </row>
    <row r="1256" spans="2:37" x14ac:dyDescent="0.25">
      <c r="B1256" s="71" t="s">
        <v>51</v>
      </c>
      <c r="C1256" s="71">
        <v>2026</v>
      </c>
      <c r="D1256" s="71">
        <v>9</v>
      </c>
      <c r="E1256" s="71" t="s">
        <v>47</v>
      </c>
      <c r="F1256" s="71" t="s">
        <v>41</v>
      </c>
      <c r="G1256" s="72">
        <v>45.6</v>
      </c>
      <c r="H1256" s="73">
        <v>505</v>
      </c>
      <c r="I1256" s="73">
        <v>-15</v>
      </c>
      <c r="J1256" s="73">
        <v>-25</v>
      </c>
      <c r="K1256" s="73">
        <v>-121</v>
      </c>
      <c r="L1256" s="73">
        <v>-30</v>
      </c>
      <c r="M1256" s="73">
        <v>-18</v>
      </c>
      <c r="N1256" s="73">
        <v>-32</v>
      </c>
      <c r="O1256" s="73">
        <v>-19</v>
      </c>
      <c r="P1256" s="73">
        <v>-62</v>
      </c>
      <c r="Q1256" s="73">
        <v>-20</v>
      </c>
      <c r="R1256" s="73">
        <v>0</v>
      </c>
      <c r="S1256" s="73">
        <v>0</v>
      </c>
      <c r="T1256" s="73">
        <v>0</v>
      </c>
      <c r="U1256" s="73">
        <v>0</v>
      </c>
      <c r="V1256" s="73">
        <v>0</v>
      </c>
      <c r="W1256" s="73">
        <v>0</v>
      </c>
      <c r="X1256" s="73">
        <v>0</v>
      </c>
      <c r="Y1256" s="73">
        <v>0</v>
      </c>
      <c r="Z1256" s="73">
        <v>71</v>
      </c>
      <c r="AA1256" s="73">
        <v>488</v>
      </c>
      <c r="AB1256" s="73">
        <v>0</v>
      </c>
      <c r="AC1256" s="73">
        <v>0</v>
      </c>
      <c r="AD1256" s="73">
        <v>0</v>
      </c>
      <c r="AE1256" s="73">
        <v>0</v>
      </c>
      <c r="AF1256" s="74">
        <f>tblData[[#This Row],[Gross Sales]]+tblData[[#This Row],[Trade Discounts]]+tblData[[#This Row],[Returns]]</f>
        <v>465</v>
      </c>
      <c r="AG1256" s="74">
        <f>tblData[[#This Row],[Material Cost]]+tblData[[#This Row],[Conversion Cost]]+tblData[[#This Row],[Inbound Freight]]</f>
        <v>-169</v>
      </c>
      <c r="AH1256" s="74">
        <f>tblData[[#This Row],[Net Revenue]]+tblData[[#This Row],[COGS]]</f>
        <v>296</v>
      </c>
      <c r="AI1256" s="74">
        <f>tblData[[#This Row],[Advertising]]+tblData[[#This Row],[Promotions]]</f>
        <v>-51</v>
      </c>
      <c r="AJ1256" s="74">
        <f>tblData[[#This Row],[Outbound Logistics]]+tblData[[#This Row],[Direct Selling]]</f>
        <v>-82</v>
      </c>
      <c r="AK1256" s="74">
        <f>tblData[[#This Row],[Gross Profit]]+tblData[[#This Row],[AP Spend]]+tblData[[#This Row],[Cost to Serve]]</f>
        <v>163</v>
      </c>
    </row>
    <row r="1257" spans="2:37" x14ac:dyDescent="0.25">
      <c r="B1257" s="71" t="s">
        <v>51</v>
      </c>
      <c r="C1257" s="71">
        <v>2026</v>
      </c>
      <c r="D1257" s="71">
        <v>9</v>
      </c>
      <c r="E1257" s="71" t="s">
        <v>47</v>
      </c>
      <c r="F1257" s="71" t="s">
        <v>42</v>
      </c>
      <c r="G1257" s="72">
        <v>56.2</v>
      </c>
      <c r="H1257" s="73">
        <v>337</v>
      </c>
      <c r="I1257" s="73">
        <v>-10</v>
      </c>
      <c r="J1257" s="73">
        <v>-17</v>
      </c>
      <c r="K1257" s="73">
        <v>-108</v>
      </c>
      <c r="L1257" s="73">
        <v>-27</v>
      </c>
      <c r="M1257" s="73">
        <v>-16</v>
      </c>
      <c r="N1257" s="73">
        <v>-6</v>
      </c>
      <c r="O1257" s="73">
        <v>-4</v>
      </c>
      <c r="P1257" s="73">
        <v>-41</v>
      </c>
      <c r="Q1257" s="73">
        <v>-13</v>
      </c>
      <c r="R1257" s="73">
        <v>0</v>
      </c>
      <c r="S1257" s="73">
        <v>0</v>
      </c>
      <c r="T1257" s="73">
        <v>0</v>
      </c>
      <c r="U1257" s="73">
        <v>0</v>
      </c>
      <c r="V1257" s="73">
        <v>0</v>
      </c>
      <c r="W1257" s="73">
        <v>0</v>
      </c>
      <c r="X1257" s="73">
        <v>0</v>
      </c>
      <c r="Y1257" s="73">
        <v>0</v>
      </c>
      <c r="Z1257" s="73">
        <v>48</v>
      </c>
      <c r="AA1257" s="73">
        <v>568</v>
      </c>
      <c r="AB1257" s="73">
        <v>0</v>
      </c>
      <c r="AC1257" s="73">
        <v>0</v>
      </c>
      <c r="AD1257" s="73">
        <v>0</v>
      </c>
      <c r="AE1257" s="73">
        <v>0</v>
      </c>
      <c r="AF1257" s="74">
        <f>tblData[[#This Row],[Gross Sales]]+tblData[[#This Row],[Trade Discounts]]+tblData[[#This Row],[Returns]]</f>
        <v>310</v>
      </c>
      <c r="AG1257" s="74">
        <f>tblData[[#This Row],[Material Cost]]+tblData[[#This Row],[Conversion Cost]]+tblData[[#This Row],[Inbound Freight]]</f>
        <v>-151</v>
      </c>
      <c r="AH1257" s="74">
        <f>tblData[[#This Row],[Net Revenue]]+tblData[[#This Row],[COGS]]</f>
        <v>159</v>
      </c>
      <c r="AI1257" s="74">
        <f>tblData[[#This Row],[Advertising]]+tblData[[#This Row],[Promotions]]</f>
        <v>-10</v>
      </c>
      <c r="AJ1257" s="74">
        <f>tblData[[#This Row],[Outbound Logistics]]+tblData[[#This Row],[Direct Selling]]</f>
        <v>-54</v>
      </c>
      <c r="AK1257" s="74">
        <f>tblData[[#This Row],[Gross Profit]]+tblData[[#This Row],[AP Spend]]+tblData[[#This Row],[Cost to Serve]]</f>
        <v>95</v>
      </c>
    </row>
    <row r="1258" spans="2:37" x14ac:dyDescent="0.25">
      <c r="B1258" s="71" t="s">
        <v>51</v>
      </c>
      <c r="C1258" s="71">
        <v>2026</v>
      </c>
      <c r="D1258" s="71">
        <v>9</v>
      </c>
      <c r="E1258" s="71" t="s">
        <v>47</v>
      </c>
      <c r="F1258" s="71" t="s">
        <v>43</v>
      </c>
      <c r="G1258" s="72">
        <v>10.8</v>
      </c>
      <c r="H1258" s="73">
        <v>195</v>
      </c>
      <c r="I1258" s="73">
        <v>-6</v>
      </c>
      <c r="J1258" s="73">
        <v>-10</v>
      </c>
      <c r="K1258" s="73">
        <v>-54</v>
      </c>
      <c r="L1258" s="73">
        <v>-13</v>
      </c>
      <c r="M1258" s="73">
        <v>-8</v>
      </c>
      <c r="N1258" s="73">
        <v>-18</v>
      </c>
      <c r="O1258" s="73">
        <v>-10</v>
      </c>
      <c r="P1258" s="73">
        <v>-24</v>
      </c>
      <c r="Q1258" s="73">
        <v>-8</v>
      </c>
      <c r="R1258" s="73">
        <v>0</v>
      </c>
      <c r="S1258" s="73">
        <v>0</v>
      </c>
      <c r="T1258" s="73">
        <v>0</v>
      </c>
      <c r="U1258" s="73">
        <v>0</v>
      </c>
      <c r="V1258" s="73">
        <v>0</v>
      </c>
      <c r="W1258" s="73">
        <v>0</v>
      </c>
      <c r="X1258" s="73">
        <v>0</v>
      </c>
      <c r="Y1258" s="73">
        <v>0</v>
      </c>
      <c r="Z1258" s="73">
        <v>27</v>
      </c>
      <c r="AA1258" s="73">
        <v>286</v>
      </c>
      <c r="AB1258" s="73">
        <v>0</v>
      </c>
      <c r="AC1258" s="73">
        <v>0</v>
      </c>
      <c r="AD1258" s="73">
        <v>0</v>
      </c>
      <c r="AE1258" s="73">
        <v>0</v>
      </c>
      <c r="AF1258" s="74">
        <f>tblData[[#This Row],[Gross Sales]]+tblData[[#This Row],[Trade Discounts]]+tblData[[#This Row],[Returns]]</f>
        <v>179</v>
      </c>
      <c r="AG1258" s="74">
        <f>tblData[[#This Row],[Material Cost]]+tblData[[#This Row],[Conversion Cost]]+tblData[[#This Row],[Inbound Freight]]</f>
        <v>-75</v>
      </c>
      <c r="AH1258" s="74">
        <f>tblData[[#This Row],[Net Revenue]]+tblData[[#This Row],[COGS]]</f>
        <v>104</v>
      </c>
      <c r="AI1258" s="74">
        <f>tblData[[#This Row],[Advertising]]+tblData[[#This Row],[Promotions]]</f>
        <v>-28</v>
      </c>
      <c r="AJ1258" s="74">
        <f>tblData[[#This Row],[Outbound Logistics]]+tblData[[#This Row],[Direct Selling]]</f>
        <v>-32</v>
      </c>
      <c r="AK1258" s="74">
        <f>tblData[[#This Row],[Gross Profit]]+tblData[[#This Row],[AP Spend]]+tblData[[#This Row],[Cost to Serve]]</f>
        <v>44</v>
      </c>
    </row>
    <row r="1259" spans="2:37" x14ac:dyDescent="0.25">
      <c r="B1259" s="71" t="s">
        <v>51</v>
      </c>
      <c r="C1259" s="71">
        <v>2026</v>
      </c>
      <c r="D1259" s="71">
        <v>9</v>
      </c>
      <c r="E1259" s="71" t="s">
        <v>48</v>
      </c>
      <c r="F1259" s="71" t="s">
        <v>38</v>
      </c>
      <c r="G1259" s="72">
        <v>117.3</v>
      </c>
      <c r="H1259" s="73">
        <v>1649</v>
      </c>
      <c r="I1259" s="73">
        <v>-148</v>
      </c>
      <c r="J1259" s="73">
        <v>-16</v>
      </c>
      <c r="K1259" s="73">
        <v>-360</v>
      </c>
      <c r="L1259" s="73">
        <v>-89</v>
      </c>
      <c r="M1259" s="73">
        <v>-54</v>
      </c>
      <c r="N1259" s="73">
        <v>-88</v>
      </c>
      <c r="O1259" s="73">
        <v>-51</v>
      </c>
      <c r="P1259" s="73">
        <v>-51</v>
      </c>
      <c r="Q1259" s="73">
        <v>-25</v>
      </c>
      <c r="R1259" s="73">
        <v>0</v>
      </c>
      <c r="S1259" s="73">
        <v>0</v>
      </c>
      <c r="T1259" s="73">
        <v>0</v>
      </c>
      <c r="U1259" s="73">
        <v>0</v>
      </c>
      <c r="V1259" s="73">
        <v>0</v>
      </c>
      <c r="W1259" s="73">
        <v>0</v>
      </c>
      <c r="X1259" s="73">
        <v>0</v>
      </c>
      <c r="Y1259" s="73">
        <v>0</v>
      </c>
      <c r="Z1259" s="73">
        <v>3271</v>
      </c>
      <c r="AA1259" s="73">
        <v>1524</v>
      </c>
      <c r="AB1259" s="73">
        <v>0</v>
      </c>
      <c r="AC1259" s="73">
        <v>0</v>
      </c>
      <c r="AD1259" s="73">
        <v>0</v>
      </c>
      <c r="AE1259" s="73">
        <v>0</v>
      </c>
      <c r="AF1259" s="74">
        <f>tblData[[#This Row],[Gross Sales]]+tblData[[#This Row],[Trade Discounts]]+tblData[[#This Row],[Returns]]</f>
        <v>1485</v>
      </c>
      <c r="AG1259" s="74">
        <f>tblData[[#This Row],[Material Cost]]+tblData[[#This Row],[Conversion Cost]]+tblData[[#This Row],[Inbound Freight]]</f>
        <v>-503</v>
      </c>
      <c r="AH1259" s="74">
        <f>tblData[[#This Row],[Net Revenue]]+tblData[[#This Row],[COGS]]</f>
        <v>982</v>
      </c>
      <c r="AI1259" s="74">
        <f>tblData[[#This Row],[Advertising]]+tblData[[#This Row],[Promotions]]</f>
        <v>-139</v>
      </c>
      <c r="AJ1259" s="74">
        <f>tblData[[#This Row],[Outbound Logistics]]+tblData[[#This Row],[Direct Selling]]</f>
        <v>-76</v>
      </c>
      <c r="AK1259" s="74">
        <f>tblData[[#This Row],[Gross Profit]]+tblData[[#This Row],[AP Spend]]+tblData[[#This Row],[Cost to Serve]]</f>
        <v>767</v>
      </c>
    </row>
    <row r="1260" spans="2:37" x14ac:dyDescent="0.25">
      <c r="B1260" s="71" t="s">
        <v>51</v>
      </c>
      <c r="C1260" s="71">
        <v>2026</v>
      </c>
      <c r="D1260" s="71">
        <v>9</v>
      </c>
      <c r="E1260" s="71" t="s">
        <v>48</v>
      </c>
      <c r="F1260" s="71" t="s">
        <v>39</v>
      </c>
      <c r="G1260" s="72">
        <v>152.19999999999999</v>
      </c>
      <c r="H1260" s="73">
        <v>1372</v>
      </c>
      <c r="I1260" s="73">
        <v>-123</v>
      </c>
      <c r="J1260" s="73">
        <v>-14</v>
      </c>
      <c r="K1260" s="73">
        <v>-359</v>
      </c>
      <c r="L1260" s="73">
        <v>-89</v>
      </c>
      <c r="M1260" s="73">
        <v>-54</v>
      </c>
      <c r="N1260" s="73">
        <v>-50</v>
      </c>
      <c r="O1260" s="73">
        <v>-29</v>
      </c>
      <c r="P1260" s="73">
        <v>-42</v>
      </c>
      <c r="Q1260" s="73">
        <v>-21</v>
      </c>
      <c r="R1260" s="73">
        <v>0</v>
      </c>
      <c r="S1260" s="73">
        <v>0</v>
      </c>
      <c r="T1260" s="73">
        <v>0</v>
      </c>
      <c r="U1260" s="73">
        <v>0</v>
      </c>
      <c r="V1260" s="73">
        <v>0</v>
      </c>
      <c r="W1260" s="73">
        <v>0</v>
      </c>
      <c r="X1260" s="73">
        <v>0</v>
      </c>
      <c r="Y1260" s="73">
        <v>0</v>
      </c>
      <c r="Z1260" s="73">
        <v>2738</v>
      </c>
      <c r="AA1260" s="73">
        <v>1299</v>
      </c>
      <c r="AB1260" s="73">
        <v>0</v>
      </c>
      <c r="AC1260" s="73">
        <v>0</v>
      </c>
      <c r="AD1260" s="73">
        <v>0</v>
      </c>
      <c r="AE1260" s="73">
        <v>0</v>
      </c>
      <c r="AF1260" s="74">
        <f>tblData[[#This Row],[Gross Sales]]+tblData[[#This Row],[Trade Discounts]]+tblData[[#This Row],[Returns]]</f>
        <v>1235</v>
      </c>
      <c r="AG1260" s="74">
        <f>tblData[[#This Row],[Material Cost]]+tblData[[#This Row],[Conversion Cost]]+tblData[[#This Row],[Inbound Freight]]</f>
        <v>-502</v>
      </c>
      <c r="AH1260" s="74">
        <f>tblData[[#This Row],[Net Revenue]]+tblData[[#This Row],[COGS]]</f>
        <v>733</v>
      </c>
      <c r="AI1260" s="74">
        <f>tblData[[#This Row],[Advertising]]+tblData[[#This Row],[Promotions]]</f>
        <v>-79</v>
      </c>
      <c r="AJ1260" s="74">
        <f>tblData[[#This Row],[Outbound Logistics]]+tblData[[#This Row],[Direct Selling]]</f>
        <v>-63</v>
      </c>
      <c r="AK1260" s="74">
        <f>tblData[[#This Row],[Gross Profit]]+tblData[[#This Row],[AP Spend]]+tblData[[#This Row],[Cost to Serve]]</f>
        <v>591</v>
      </c>
    </row>
    <row r="1261" spans="2:37" x14ac:dyDescent="0.25">
      <c r="B1261" s="71" t="s">
        <v>51</v>
      </c>
      <c r="C1261" s="71">
        <v>2026</v>
      </c>
      <c r="D1261" s="71">
        <v>9</v>
      </c>
      <c r="E1261" s="71" t="s">
        <v>48</v>
      </c>
      <c r="F1261" s="71" t="s">
        <v>40</v>
      </c>
      <c r="G1261" s="72">
        <v>145.6</v>
      </c>
      <c r="H1261" s="73">
        <v>1019</v>
      </c>
      <c r="I1261" s="73">
        <v>-92</v>
      </c>
      <c r="J1261" s="73">
        <v>-10</v>
      </c>
      <c r="K1261" s="73">
        <v>-297</v>
      </c>
      <c r="L1261" s="73">
        <v>-73</v>
      </c>
      <c r="M1261" s="73">
        <v>-44</v>
      </c>
      <c r="N1261" s="73">
        <v>-25</v>
      </c>
      <c r="O1261" s="73">
        <v>-14</v>
      </c>
      <c r="P1261" s="73">
        <v>-31</v>
      </c>
      <c r="Q1261" s="73">
        <v>-15</v>
      </c>
      <c r="R1261" s="73">
        <v>0</v>
      </c>
      <c r="S1261" s="73">
        <v>0</v>
      </c>
      <c r="T1261" s="73">
        <v>0</v>
      </c>
      <c r="U1261" s="73">
        <v>0</v>
      </c>
      <c r="V1261" s="73">
        <v>0</v>
      </c>
      <c r="W1261" s="73">
        <v>0</v>
      </c>
      <c r="X1261" s="73">
        <v>0</v>
      </c>
      <c r="Y1261" s="73">
        <v>0</v>
      </c>
      <c r="Z1261" s="73">
        <v>2030</v>
      </c>
      <c r="AA1261" s="73">
        <v>1006</v>
      </c>
      <c r="AB1261" s="73">
        <v>0</v>
      </c>
      <c r="AC1261" s="73">
        <v>0</v>
      </c>
      <c r="AD1261" s="73">
        <v>0</v>
      </c>
      <c r="AE1261" s="73">
        <v>0</v>
      </c>
      <c r="AF1261" s="74">
        <f>tblData[[#This Row],[Gross Sales]]+tblData[[#This Row],[Trade Discounts]]+tblData[[#This Row],[Returns]]</f>
        <v>917</v>
      </c>
      <c r="AG1261" s="74">
        <f>tblData[[#This Row],[Material Cost]]+tblData[[#This Row],[Conversion Cost]]+tblData[[#This Row],[Inbound Freight]]</f>
        <v>-414</v>
      </c>
      <c r="AH1261" s="74">
        <f>tblData[[#This Row],[Net Revenue]]+tblData[[#This Row],[COGS]]</f>
        <v>503</v>
      </c>
      <c r="AI1261" s="74">
        <f>tblData[[#This Row],[Advertising]]+tblData[[#This Row],[Promotions]]</f>
        <v>-39</v>
      </c>
      <c r="AJ1261" s="74">
        <f>tblData[[#This Row],[Outbound Logistics]]+tblData[[#This Row],[Direct Selling]]</f>
        <v>-46</v>
      </c>
      <c r="AK1261" s="74">
        <f>tblData[[#This Row],[Gross Profit]]+tblData[[#This Row],[AP Spend]]+tblData[[#This Row],[Cost to Serve]]</f>
        <v>418</v>
      </c>
    </row>
    <row r="1262" spans="2:37" x14ac:dyDescent="0.25">
      <c r="B1262" s="71" t="s">
        <v>51</v>
      </c>
      <c r="C1262" s="71">
        <v>2026</v>
      </c>
      <c r="D1262" s="71">
        <v>9</v>
      </c>
      <c r="E1262" s="71" t="s">
        <v>48</v>
      </c>
      <c r="F1262" s="71" t="s">
        <v>41</v>
      </c>
      <c r="G1262" s="72">
        <v>74.099999999999994</v>
      </c>
      <c r="H1262" s="73">
        <v>817</v>
      </c>
      <c r="I1262" s="73">
        <v>-74</v>
      </c>
      <c r="J1262" s="73">
        <v>-8</v>
      </c>
      <c r="K1262" s="73">
        <v>-196</v>
      </c>
      <c r="L1262" s="73">
        <v>-49</v>
      </c>
      <c r="M1262" s="73">
        <v>-29</v>
      </c>
      <c r="N1262" s="73">
        <v>-54</v>
      </c>
      <c r="O1262" s="73">
        <v>-31</v>
      </c>
      <c r="P1262" s="73">
        <v>-25</v>
      </c>
      <c r="Q1262" s="73">
        <v>-12</v>
      </c>
      <c r="R1262" s="73">
        <v>0</v>
      </c>
      <c r="S1262" s="73">
        <v>0</v>
      </c>
      <c r="T1262" s="73">
        <v>0</v>
      </c>
      <c r="U1262" s="73">
        <v>0</v>
      </c>
      <c r="V1262" s="73">
        <v>0</v>
      </c>
      <c r="W1262" s="73">
        <v>0</v>
      </c>
      <c r="X1262" s="73">
        <v>0</v>
      </c>
      <c r="Y1262" s="73">
        <v>0</v>
      </c>
      <c r="Z1262" s="73">
        <v>1617</v>
      </c>
      <c r="AA1262" s="73">
        <v>787</v>
      </c>
      <c r="AB1262" s="73">
        <v>0</v>
      </c>
      <c r="AC1262" s="73">
        <v>0</v>
      </c>
      <c r="AD1262" s="73">
        <v>0</v>
      </c>
      <c r="AE1262" s="73">
        <v>0</v>
      </c>
      <c r="AF1262" s="74">
        <f>tblData[[#This Row],[Gross Sales]]+tblData[[#This Row],[Trade Discounts]]+tblData[[#This Row],[Returns]]</f>
        <v>735</v>
      </c>
      <c r="AG1262" s="74">
        <f>tblData[[#This Row],[Material Cost]]+tblData[[#This Row],[Conversion Cost]]+tblData[[#This Row],[Inbound Freight]]</f>
        <v>-274</v>
      </c>
      <c r="AH1262" s="74">
        <f>tblData[[#This Row],[Net Revenue]]+tblData[[#This Row],[COGS]]</f>
        <v>461</v>
      </c>
      <c r="AI1262" s="74">
        <f>tblData[[#This Row],[Advertising]]+tblData[[#This Row],[Promotions]]</f>
        <v>-85</v>
      </c>
      <c r="AJ1262" s="74">
        <f>tblData[[#This Row],[Outbound Logistics]]+tblData[[#This Row],[Direct Selling]]</f>
        <v>-37</v>
      </c>
      <c r="AK1262" s="74">
        <f>tblData[[#This Row],[Gross Profit]]+tblData[[#This Row],[AP Spend]]+tblData[[#This Row],[Cost to Serve]]</f>
        <v>339</v>
      </c>
    </row>
    <row r="1263" spans="2:37" x14ac:dyDescent="0.25">
      <c r="B1263" s="71" t="s">
        <v>51</v>
      </c>
      <c r="C1263" s="71">
        <v>2026</v>
      </c>
      <c r="D1263" s="71">
        <v>9</v>
      </c>
      <c r="E1263" s="71" t="s">
        <v>48</v>
      </c>
      <c r="F1263" s="71" t="s">
        <v>42</v>
      </c>
      <c r="G1263" s="72">
        <v>90.2</v>
      </c>
      <c r="H1263" s="73">
        <v>540</v>
      </c>
      <c r="I1263" s="73">
        <v>-49</v>
      </c>
      <c r="J1263" s="73">
        <v>-5</v>
      </c>
      <c r="K1263" s="73">
        <v>-173</v>
      </c>
      <c r="L1263" s="73">
        <v>-43</v>
      </c>
      <c r="M1263" s="73">
        <v>-26</v>
      </c>
      <c r="N1263" s="73">
        <v>-10</v>
      </c>
      <c r="O1263" s="73">
        <v>-6</v>
      </c>
      <c r="P1263" s="73">
        <v>-17</v>
      </c>
      <c r="Q1263" s="73">
        <v>-8</v>
      </c>
      <c r="R1263" s="73">
        <v>0</v>
      </c>
      <c r="S1263" s="73">
        <v>0</v>
      </c>
      <c r="T1263" s="73">
        <v>0</v>
      </c>
      <c r="U1263" s="73">
        <v>0</v>
      </c>
      <c r="V1263" s="73">
        <v>0</v>
      </c>
      <c r="W1263" s="73">
        <v>0</v>
      </c>
      <c r="X1263" s="73">
        <v>0</v>
      </c>
      <c r="Y1263" s="73">
        <v>0</v>
      </c>
      <c r="Z1263" s="73">
        <v>1074</v>
      </c>
      <c r="AA1263" s="73">
        <v>912</v>
      </c>
      <c r="AB1263" s="73">
        <v>0</v>
      </c>
      <c r="AC1263" s="73">
        <v>0</v>
      </c>
      <c r="AD1263" s="73">
        <v>0</v>
      </c>
      <c r="AE1263" s="73">
        <v>0</v>
      </c>
      <c r="AF1263" s="74">
        <f>tblData[[#This Row],[Gross Sales]]+tblData[[#This Row],[Trade Discounts]]+tblData[[#This Row],[Returns]]</f>
        <v>486</v>
      </c>
      <c r="AG1263" s="74">
        <f>tblData[[#This Row],[Material Cost]]+tblData[[#This Row],[Conversion Cost]]+tblData[[#This Row],[Inbound Freight]]</f>
        <v>-242</v>
      </c>
      <c r="AH1263" s="74">
        <f>tblData[[#This Row],[Net Revenue]]+tblData[[#This Row],[COGS]]</f>
        <v>244</v>
      </c>
      <c r="AI1263" s="74">
        <f>tblData[[#This Row],[Advertising]]+tblData[[#This Row],[Promotions]]</f>
        <v>-16</v>
      </c>
      <c r="AJ1263" s="74">
        <f>tblData[[#This Row],[Outbound Logistics]]+tblData[[#This Row],[Direct Selling]]</f>
        <v>-25</v>
      </c>
      <c r="AK1263" s="74">
        <f>tblData[[#This Row],[Gross Profit]]+tblData[[#This Row],[AP Spend]]+tblData[[#This Row],[Cost to Serve]]</f>
        <v>203</v>
      </c>
    </row>
    <row r="1264" spans="2:37" x14ac:dyDescent="0.25">
      <c r="B1264" s="71" t="s">
        <v>51</v>
      </c>
      <c r="C1264" s="71">
        <v>2026</v>
      </c>
      <c r="D1264" s="71">
        <v>9</v>
      </c>
      <c r="E1264" s="71" t="s">
        <v>48</v>
      </c>
      <c r="F1264" s="71" t="s">
        <v>43</v>
      </c>
      <c r="G1264" s="72">
        <v>17.399999999999999</v>
      </c>
      <c r="H1264" s="73">
        <v>313</v>
      </c>
      <c r="I1264" s="73">
        <v>-28</v>
      </c>
      <c r="J1264" s="73">
        <v>-3</v>
      </c>
      <c r="K1264" s="73">
        <v>-87</v>
      </c>
      <c r="L1264" s="73">
        <v>-21</v>
      </c>
      <c r="M1264" s="73">
        <v>-13</v>
      </c>
      <c r="N1264" s="73">
        <v>-29</v>
      </c>
      <c r="O1264" s="73">
        <v>-17</v>
      </c>
      <c r="P1264" s="73">
        <v>-10</v>
      </c>
      <c r="Q1264" s="73">
        <v>-5</v>
      </c>
      <c r="R1264" s="73">
        <v>0</v>
      </c>
      <c r="S1264" s="73">
        <v>0</v>
      </c>
      <c r="T1264" s="73">
        <v>0</v>
      </c>
      <c r="U1264" s="73">
        <v>0</v>
      </c>
      <c r="V1264" s="73">
        <v>0</v>
      </c>
      <c r="W1264" s="73">
        <v>0</v>
      </c>
      <c r="X1264" s="73">
        <v>0</v>
      </c>
      <c r="Y1264" s="73">
        <v>0</v>
      </c>
      <c r="Z1264" s="73">
        <v>623</v>
      </c>
      <c r="AA1264" s="73">
        <v>460</v>
      </c>
      <c r="AB1264" s="73">
        <v>0</v>
      </c>
      <c r="AC1264" s="73">
        <v>0</v>
      </c>
      <c r="AD1264" s="73">
        <v>0</v>
      </c>
      <c r="AE1264" s="73">
        <v>0</v>
      </c>
      <c r="AF1264" s="74">
        <f>tblData[[#This Row],[Gross Sales]]+tblData[[#This Row],[Trade Discounts]]+tblData[[#This Row],[Returns]]</f>
        <v>282</v>
      </c>
      <c r="AG1264" s="74">
        <f>tblData[[#This Row],[Material Cost]]+tblData[[#This Row],[Conversion Cost]]+tblData[[#This Row],[Inbound Freight]]</f>
        <v>-121</v>
      </c>
      <c r="AH1264" s="74">
        <f>tblData[[#This Row],[Net Revenue]]+tblData[[#This Row],[COGS]]</f>
        <v>161</v>
      </c>
      <c r="AI1264" s="74">
        <f>tblData[[#This Row],[Advertising]]+tblData[[#This Row],[Promotions]]</f>
        <v>-46</v>
      </c>
      <c r="AJ1264" s="74">
        <f>tblData[[#This Row],[Outbound Logistics]]+tblData[[#This Row],[Direct Selling]]</f>
        <v>-15</v>
      </c>
      <c r="AK1264" s="74">
        <f>tblData[[#This Row],[Gross Profit]]+tblData[[#This Row],[AP Spend]]+tblData[[#This Row],[Cost to Serve]]</f>
        <v>100</v>
      </c>
    </row>
    <row r="1265" spans="2:37" x14ac:dyDescent="0.25">
      <c r="B1265" s="71" t="s">
        <v>51</v>
      </c>
      <c r="C1265" s="71">
        <v>2026</v>
      </c>
      <c r="D1265" s="71">
        <v>9</v>
      </c>
      <c r="E1265" s="71" t="s">
        <v>49</v>
      </c>
      <c r="F1265" s="71" t="s">
        <v>49</v>
      </c>
      <c r="G1265" s="72">
        <v>0</v>
      </c>
      <c r="H1265" s="73">
        <v>0</v>
      </c>
      <c r="I1265" s="73">
        <v>0</v>
      </c>
      <c r="J1265" s="73">
        <v>0</v>
      </c>
      <c r="K1265" s="73">
        <v>0</v>
      </c>
      <c r="L1265" s="73">
        <v>0</v>
      </c>
      <c r="M1265" s="73">
        <v>0</v>
      </c>
      <c r="N1265" s="73">
        <v>0</v>
      </c>
      <c r="O1265" s="73">
        <v>0</v>
      </c>
      <c r="P1265" s="73">
        <v>0</v>
      </c>
      <c r="Q1265" s="73">
        <v>0</v>
      </c>
      <c r="R1265" s="73">
        <v>-4355</v>
      </c>
      <c r="S1265" s="73">
        <v>-1004</v>
      </c>
      <c r="T1265" s="73">
        <v>-1288</v>
      </c>
      <c r="U1265" s="73">
        <v>-1094</v>
      </c>
      <c r="V1265" s="73">
        <v>-1480</v>
      </c>
      <c r="W1265" s="73">
        <v>-694</v>
      </c>
      <c r="X1265" s="73">
        <v>-2010</v>
      </c>
      <c r="Y1265" s="73">
        <v>-1449</v>
      </c>
      <c r="Z1265" s="73">
        <v>0</v>
      </c>
      <c r="AA1265" s="73">
        <v>0</v>
      </c>
      <c r="AB1265" s="73">
        <v>37874</v>
      </c>
      <c r="AC1265" s="73">
        <v>59141</v>
      </c>
      <c r="AD1265" s="73">
        <v>182500</v>
      </c>
      <c r="AE1265" s="73">
        <v>1195</v>
      </c>
      <c r="AF1265" s="74">
        <f>tblData[[#This Row],[Gross Sales]]+tblData[[#This Row],[Trade Discounts]]+tblData[[#This Row],[Returns]]</f>
        <v>0</v>
      </c>
      <c r="AG1265" s="74">
        <f>tblData[[#This Row],[Material Cost]]+tblData[[#This Row],[Conversion Cost]]+tblData[[#This Row],[Inbound Freight]]</f>
        <v>0</v>
      </c>
      <c r="AH1265" s="74">
        <f>tblData[[#This Row],[Net Revenue]]+tblData[[#This Row],[COGS]]</f>
        <v>0</v>
      </c>
      <c r="AI1265" s="74">
        <f>tblData[[#This Row],[Advertising]]+tblData[[#This Row],[Promotions]]</f>
        <v>0</v>
      </c>
      <c r="AJ1265" s="74">
        <f>tblData[[#This Row],[Outbound Logistics]]+tblData[[#This Row],[Direct Selling]]</f>
        <v>0</v>
      </c>
      <c r="AK1265" s="74">
        <f>tblData[[#This Row],[Gross Profit]]+tblData[[#This Row],[AP Spend]]+tblData[[#This Row],[Cost to Serve]]</f>
        <v>0</v>
      </c>
    </row>
    <row r="1266" spans="2:37" x14ac:dyDescent="0.25">
      <c r="B1266" s="71" t="s">
        <v>51</v>
      </c>
      <c r="C1266" s="71">
        <v>2026</v>
      </c>
      <c r="D1266" s="71">
        <v>10</v>
      </c>
      <c r="E1266" s="71" t="s">
        <v>37</v>
      </c>
      <c r="F1266" s="71" t="s">
        <v>38</v>
      </c>
      <c r="G1266" s="72">
        <v>366.3</v>
      </c>
      <c r="H1266" s="73">
        <v>5151</v>
      </c>
      <c r="I1266" s="73">
        <v>-1001</v>
      </c>
      <c r="J1266" s="73">
        <v>-77</v>
      </c>
      <c r="K1266" s="73">
        <v>-1125</v>
      </c>
      <c r="L1266" s="73">
        <v>-278</v>
      </c>
      <c r="M1266" s="73">
        <v>-168</v>
      </c>
      <c r="N1266" s="73">
        <v>-288</v>
      </c>
      <c r="O1266" s="73">
        <v>-166</v>
      </c>
      <c r="P1266" s="73">
        <v>-210</v>
      </c>
      <c r="Q1266" s="73">
        <v>-155</v>
      </c>
      <c r="R1266" s="73">
        <v>0</v>
      </c>
      <c r="S1266" s="73">
        <v>0</v>
      </c>
      <c r="T1266" s="73">
        <v>0</v>
      </c>
      <c r="U1266" s="73">
        <v>0</v>
      </c>
      <c r="V1266" s="73">
        <v>0</v>
      </c>
      <c r="W1266" s="73">
        <v>0</v>
      </c>
      <c r="X1266" s="73">
        <v>0</v>
      </c>
      <c r="Y1266" s="73">
        <v>0</v>
      </c>
      <c r="Z1266" s="73">
        <v>7013</v>
      </c>
      <c r="AA1266" s="73">
        <v>4697</v>
      </c>
      <c r="AB1266" s="73">
        <v>0</v>
      </c>
      <c r="AC1266" s="73">
        <v>0</v>
      </c>
      <c r="AD1266" s="73">
        <v>0</v>
      </c>
      <c r="AE1266" s="73">
        <v>0</v>
      </c>
      <c r="AF1266" s="74">
        <f>tblData[[#This Row],[Gross Sales]]+tblData[[#This Row],[Trade Discounts]]+tblData[[#This Row],[Returns]]</f>
        <v>4073</v>
      </c>
      <c r="AG1266" s="74">
        <f>tblData[[#This Row],[Material Cost]]+tblData[[#This Row],[Conversion Cost]]+tblData[[#This Row],[Inbound Freight]]</f>
        <v>-1571</v>
      </c>
      <c r="AH1266" s="74">
        <f>tblData[[#This Row],[Net Revenue]]+tblData[[#This Row],[COGS]]</f>
        <v>2502</v>
      </c>
      <c r="AI1266" s="74">
        <f>tblData[[#This Row],[Advertising]]+tblData[[#This Row],[Promotions]]</f>
        <v>-454</v>
      </c>
      <c r="AJ1266" s="74">
        <f>tblData[[#This Row],[Outbound Logistics]]+tblData[[#This Row],[Direct Selling]]</f>
        <v>-365</v>
      </c>
      <c r="AK1266" s="74">
        <f>tblData[[#This Row],[Gross Profit]]+tblData[[#This Row],[AP Spend]]+tblData[[#This Row],[Cost to Serve]]</f>
        <v>1683</v>
      </c>
    </row>
    <row r="1267" spans="2:37" x14ac:dyDescent="0.25">
      <c r="B1267" s="71" t="s">
        <v>51</v>
      </c>
      <c r="C1267" s="71">
        <v>2026</v>
      </c>
      <c r="D1267" s="71">
        <v>10</v>
      </c>
      <c r="E1267" s="71" t="s">
        <v>37</v>
      </c>
      <c r="F1267" s="71" t="s">
        <v>39</v>
      </c>
      <c r="G1267" s="72">
        <v>480.2</v>
      </c>
      <c r="H1267" s="73">
        <v>4328</v>
      </c>
      <c r="I1267" s="73">
        <v>-841</v>
      </c>
      <c r="J1267" s="73">
        <v>-65</v>
      </c>
      <c r="K1267" s="73">
        <v>-1134</v>
      </c>
      <c r="L1267" s="73">
        <v>-280</v>
      </c>
      <c r="M1267" s="73">
        <v>-169</v>
      </c>
      <c r="N1267" s="73">
        <v>-165</v>
      </c>
      <c r="O1267" s="73">
        <v>-95</v>
      </c>
      <c r="P1267" s="73">
        <v>-177</v>
      </c>
      <c r="Q1267" s="73">
        <v>-130</v>
      </c>
      <c r="R1267" s="73">
        <v>0</v>
      </c>
      <c r="S1267" s="73">
        <v>0</v>
      </c>
      <c r="T1267" s="73">
        <v>0</v>
      </c>
      <c r="U1267" s="73">
        <v>0</v>
      </c>
      <c r="V1267" s="73">
        <v>0</v>
      </c>
      <c r="W1267" s="73">
        <v>0</v>
      </c>
      <c r="X1267" s="73">
        <v>0</v>
      </c>
      <c r="Y1267" s="73">
        <v>0</v>
      </c>
      <c r="Z1267" s="73">
        <v>5903</v>
      </c>
      <c r="AA1267" s="73">
        <v>4026</v>
      </c>
      <c r="AB1267" s="73">
        <v>0</v>
      </c>
      <c r="AC1267" s="73">
        <v>0</v>
      </c>
      <c r="AD1267" s="73">
        <v>0</v>
      </c>
      <c r="AE1267" s="73">
        <v>0</v>
      </c>
      <c r="AF1267" s="74">
        <f>tblData[[#This Row],[Gross Sales]]+tblData[[#This Row],[Trade Discounts]]+tblData[[#This Row],[Returns]]</f>
        <v>3422</v>
      </c>
      <c r="AG1267" s="74">
        <f>tblData[[#This Row],[Material Cost]]+tblData[[#This Row],[Conversion Cost]]+tblData[[#This Row],[Inbound Freight]]</f>
        <v>-1583</v>
      </c>
      <c r="AH1267" s="74">
        <f>tblData[[#This Row],[Net Revenue]]+tblData[[#This Row],[COGS]]</f>
        <v>1839</v>
      </c>
      <c r="AI1267" s="74">
        <f>tblData[[#This Row],[Advertising]]+tblData[[#This Row],[Promotions]]</f>
        <v>-260</v>
      </c>
      <c r="AJ1267" s="74">
        <f>tblData[[#This Row],[Outbound Logistics]]+tblData[[#This Row],[Direct Selling]]</f>
        <v>-307</v>
      </c>
      <c r="AK1267" s="74">
        <f>tblData[[#This Row],[Gross Profit]]+tblData[[#This Row],[AP Spend]]+tblData[[#This Row],[Cost to Serve]]</f>
        <v>1272</v>
      </c>
    </row>
    <row r="1268" spans="2:37" x14ac:dyDescent="0.25">
      <c r="B1268" s="71" t="s">
        <v>51</v>
      </c>
      <c r="C1268" s="71">
        <v>2026</v>
      </c>
      <c r="D1268" s="71">
        <v>10</v>
      </c>
      <c r="E1268" s="71" t="s">
        <v>37</v>
      </c>
      <c r="F1268" s="71" t="s">
        <v>40</v>
      </c>
      <c r="G1268" s="72">
        <v>458.2</v>
      </c>
      <c r="H1268" s="73">
        <v>3207</v>
      </c>
      <c r="I1268" s="73">
        <v>-623</v>
      </c>
      <c r="J1268" s="73">
        <v>-48</v>
      </c>
      <c r="K1268" s="73">
        <v>-934</v>
      </c>
      <c r="L1268" s="73">
        <v>-231</v>
      </c>
      <c r="M1268" s="73">
        <v>-139</v>
      </c>
      <c r="N1268" s="73">
        <v>-82</v>
      </c>
      <c r="O1268" s="73">
        <v>-47</v>
      </c>
      <c r="P1268" s="73">
        <v>-131</v>
      </c>
      <c r="Q1268" s="73">
        <v>-96</v>
      </c>
      <c r="R1268" s="73">
        <v>0</v>
      </c>
      <c r="S1268" s="73">
        <v>0</v>
      </c>
      <c r="T1268" s="73">
        <v>0</v>
      </c>
      <c r="U1268" s="73">
        <v>0</v>
      </c>
      <c r="V1268" s="73">
        <v>0</v>
      </c>
      <c r="W1268" s="73">
        <v>0</v>
      </c>
      <c r="X1268" s="73">
        <v>0</v>
      </c>
      <c r="Y1268" s="73">
        <v>0</v>
      </c>
      <c r="Z1268" s="73">
        <v>4344</v>
      </c>
      <c r="AA1268" s="73">
        <v>3096</v>
      </c>
      <c r="AB1268" s="73">
        <v>0</v>
      </c>
      <c r="AC1268" s="73">
        <v>0</v>
      </c>
      <c r="AD1268" s="73">
        <v>0</v>
      </c>
      <c r="AE1268" s="73">
        <v>0</v>
      </c>
      <c r="AF1268" s="74">
        <f>tblData[[#This Row],[Gross Sales]]+tblData[[#This Row],[Trade Discounts]]+tblData[[#This Row],[Returns]]</f>
        <v>2536</v>
      </c>
      <c r="AG1268" s="74">
        <f>tblData[[#This Row],[Material Cost]]+tblData[[#This Row],[Conversion Cost]]+tblData[[#This Row],[Inbound Freight]]</f>
        <v>-1304</v>
      </c>
      <c r="AH1268" s="74">
        <f>tblData[[#This Row],[Net Revenue]]+tblData[[#This Row],[COGS]]</f>
        <v>1232</v>
      </c>
      <c r="AI1268" s="74">
        <f>tblData[[#This Row],[Advertising]]+tblData[[#This Row],[Promotions]]</f>
        <v>-129</v>
      </c>
      <c r="AJ1268" s="74">
        <f>tblData[[#This Row],[Outbound Logistics]]+tblData[[#This Row],[Direct Selling]]</f>
        <v>-227</v>
      </c>
      <c r="AK1268" s="74">
        <f>tblData[[#This Row],[Gross Profit]]+tblData[[#This Row],[AP Spend]]+tblData[[#This Row],[Cost to Serve]]</f>
        <v>876</v>
      </c>
    </row>
    <row r="1269" spans="2:37" x14ac:dyDescent="0.25">
      <c r="B1269" s="71" t="s">
        <v>51</v>
      </c>
      <c r="C1269" s="71">
        <v>2026</v>
      </c>
      <c r="D1269" s="71">
        <v>10</v>
      </c>
      <c r="E1269" s="71" t="s">
        <v>37</v>
      </c>
      <c r="F1269" s="71" t="s">
        <v>41</v>
      </c>
      <c r="G1269" s="72">
        <v>230.6</v>
      </c>
      <c r="H1269" s="73">
        <v>2542</v>
      </c>
      <c r="I1269" s="73">
        <v>-494</v>
      </c>
      <c r="J1269" s="73">
        <v>-38</v>
      </c>
      <c r="K1269" s="73">
        <v>-611</v>
      </c>
      <c r="L1269" s="73">
        <v>-151</v>
      </c>
      <c r="M1269" s="73">
        <v>-91</v>
      </c>
      <c r="N1269" s="73">
        <v>-176</v>
      </c>
      <c r="O1269" s="73">
        <v>-101</v>
      </c>
      <c r="P1269" s="73">
        <v>-104</v>
      </c>
      <c r="Q1269" s="73">
        <v>-76</v>
      </c>
      <c r="R1269" s="73">
        <v>0</v>
      </c>
      <c r="S1269" s="73">
        <v>0</v>
      </c>
      <c r="T1269" s="73">
        <v>0</v>
      </c>
      <c r="U1269" s="73">
        <v>0</v>
      </c>
      <c r="V1269" s="73">
        <v>0</v>
      </c>
      <c r="W1269" s="73">
        <v>0</v>
      </c>
      <c r="X1269" s="73">
        <v>0</v>
      </c>
      <c r="Y1269" s="73">
        <v>0</v>
      </c>
      <c r="Z1269" s="73">
        <v>3466</v>
      </c>
      <c r="AA1269" s="73">
        <v>2425</v>
      </c>
      <c r="AB1269" s="73">
        <v>0</v>
      </c>
      <c r="AC1269" s="73">
        <v>0</v>
      </c>
      <c r="AD1269" s="73">
        <v>0</v>
      </c>
      <c r="AE1269" s="73">
        <v>0</v>
      </c>
      <c r="AF1269" s="74">
        <f>tblData[[#This Row],[Gross Sales]]+tblData[[#This Row],[Trade Discounts]]+tblData[[#This Row],[Returns]]</f>
        <v>2010</v>
      </c>
      <c r="AG1269" s="74">
        <f>tblData[[#This Row],[Material Cost]]+tblData[[#This Row],[Conversion Cost]]+tblData[[#This Row],[Inbound Freight]]</f>
        <v>-853</v>
      </c>
      <c r="AH1269" s="74">
        <f>tblData[[#This Row],[Net Revenue]]+tblData[[#This Row],[COGS]]</f>
        <v>1157</v>
      </c>
      <c r="AI1269" s="74">
        <f>tblData[[#This Row],[Advertising]]+tblData[[#This Row],[Promotions]]</f>
        <v>-277</v>
      </c>
      <c r="AJ1269" s="74">
        <f>tblData[[#This Row],[Outbound Logistics]]+tblData[[#This Row],[Direct Selling]]</f>
        <v>-180</v>
      </c>
      <c r="AK1269" s="74">
        <f>tblData[[#This Row],[Gross Profit]]+tblData[[#This Row],[AP Spend]]+tblData[[#This Row],[Cost to Serve]]</f>
        <v>700</v>
      </c>
    </row>
    <row r="1270" spans="2:37" x14ac:dyDescent="0.25">
      <c r="B1270" s="71" t="s">
        <v>51</v>
      </c>
      <c r="C1270" s="71">
        <v>2026</v>
      </c>
      <c r="D1270" s="71">
        <v>10</v>
      </c>
      <c r="E1270" s="71" t="s">
        <v>37</v>
      </c>
      <c r="F1270" s="71" t="s">
        <v>42</v>
      </c>
      <c r="G1270" s="72">
        <v>284.39999999999998</v>
      </c>
      <c r="H1270" s="73">
        <v>1701</v>
      </c>
      <c r="I1270" s="73">
        <v>-331</v>
      </c>
      <c r="J1270" s="73">
        <v>-26</v>
      </c>
      <c r="K1270" s="73">
        <v>-545</v>
      </c>
      <c r="L1270" s="73">
        <v>-135</v>
      </c>
      <c r="M1270" s="73">
        <v>-81</v>
      </c>
      <c r="N1270" s="73">
        <v>-34</v>
      </c>
      <c r="O1270" s="73">
        <v>-20</v>
      </c>
      <c r="P1270" s="73">
        <v>-70</v>
      </c>
      <c r="Q1270" s="73">
        <v>-51</v>
      </c>
      <c r="R1270" s="73">
        <v>0</v>
      </c>
      <c r="S1270" s="73">
        <v>0</v>
      </c>
      <c r="T1270" s="73">
        <v>0</v>
      </c>
      <c r="U1270" s="73">
        <v>0</v>
      </c>
      <c r="V1270" s="73">
        <v>0</v>
      </c>
      <c r="W1270" s="73">
        <v>0</v>
      </c>
      <c r="X1270" s="73">
        <v>0</v>
      </c>
      <c r="Y1270" s="73">
        <v>0</v>
      </c>
      <c r="Z1270" s="73">
        <v>2307</v>
      </c>
      <c r="AA1270" s="73">
        <v>2816</v>
      </c>
      <c r="AB1270" s="73">
        <v>0</v>
      </c>
      <c r="AC1270" s="73">
        <v>0</v>
      </c>
      <c r="AD1270" s="73">
        <v>0</v>
      </c>
      <c r="AE1270" s="73">
        <v>0</v>
      </c>
      <c r="AF1270" s="74">
        <f>tblData[[#This Row],[Gross Sales]]+tblData[[#This Row],[Trade Discounts]]+tblData[[#This Row],[Returns]]</f>
        <v>1344</v>
      </c>
      <c r="AG1270" s="74">
        <f>tblData[[#This Row],[Material Cost]]+tblData[[#This Row],[Conversion Cost]]+tblData[[#This Row],[Inbound Freight]]</f>
        <v>-761</v>
      </c>
      <c r="AH1270" s="74">
        <f>tblData[[#This Row],[Net Revenue]]+tblData[[#This Row],[COGS]]</f>
        <v>583</v>
      </c>
      <c r="AI1270" s="74">
        <f>tblData[[#This Row],[Advertising]]+tblData[[#This Row],[Promotions]]</f>
        <v>-54</v>
      </c>
      <c r="AJ1270" s="74">
        <f>tblData[[#This Row],[Outbound Logistics]]+tblData[[#This Row],[Direct Selling]]</f>
        <v>-121</v>
      </c>
      <c r="AK1270" s="74">
        <f>tblData[[#This Row],[Gross Profit]]+tblData[[#This Row],[AP Spend]]+tblData[[#This Row],[Cost to Serve]]</f>
        <v>408</v>
      </c>
    </row>
    <row r="1271" spans="2:37" x14ac:dyDescent="0.25">
      <c r="B1271" s="71" t="s">
        <v>51</v>
      </c>
      <c r="C1271" s="71">
        <v>2026</v>
      </c>
      <c r="D1271" s="71">
        <v>10</v>
      </c>
      <c r="E1271" s="71" t="s">
        <v>37</v>
      </c>
      <c r="F1271" s="71" t="s">
        <v>43</v>
      </c>
      <c r="G1271" s="72">
        <v>54.6</v>
      </c>
      <c r="H1271" s="73">
        <v>983</v>
      </c>
      <c r="I1271" s="73">
        <v>-191</v>
      </c>
      <c r="J1271" s="73">
        <v>-15</v>
      </c>
      <c r="K1271" s="73">
        <v>-272</v>
      </c>
      <c r="L1271" s="73">
        <v>-67</v>
      </c>
      <c r="M1271" s="73">
        <v>-41</v>
      </c>
      <c r="N1271" s="73">
        <v>-96</v>
      </c>
      <c r="O1271" s="73">
        <v>-55</v>
      </c>
      <c r="P1271" s="73">
        <v>-40</v>
      </c>
      <c r="Q1271" s="73">
        <v>-30</v>
      </c>
      <c r="R1271" s="73">
        <v>0</v>
      </c>
      <c r="S1271" s="73">
        <v>0</v>
      </c>
      <c r="T1271" s="73">
        <v>0</v>
      </c>
      <c r="U1271" s="73">
        <v>0</v>
      </c>
      <c r="V1271" s="73">
        <v>0</v>
      </c>
      <c r="W1271" s="73">
        <v>0</v>
      </c>
      <c r="X1271" s="73">
        <v>0</v>
      </c>
      <c r="Y1271" s="73">
        <v>0</v>
      </c>
      <c r="Z1271" s="73">
        <v>1337</v>
      </c>
      <c r="AA1271" s="73">
        <v>1421</v>
      </c>
      <c r="AB1271" s="73">
        <v>0</v>
      </c>
      <c r="AC1271" s="73">
        <v>0</v>
      </c>
      <c r="AD1271" s="73">
        <v>0</v>
      </c>
      <c r="AE1271" s="73">
        <v>0</v>
      </c>
      <c r="AF1271" s="74">
        <f>tblData[[#This Row],[Gross Sales]]+tblData[[#This Row],[Trade Discounts]]+tblData[[#This Row],[Returns]]</f>
        <v>777</v>
      </c>
      <c r="AG1271" s="74">
        <f>tblData[[#This Row],[Material Cost]]+tblData[[#This Row],[Conversion Cost]]+tblData[[#This Row],[Inbound Freight]]</f>
        <v>-380</v>
      </c>
      <c r="AH1271" s="74">
        <f>tblData[[#This Row],[Net Revenue]]+tblData[[#This Row],[COGS]]</f>
        <v>397</v>
      </c>
      <c r="AI1271" s="74">
        <f>tblData[[#This Row],[Advertising]]+tblData[[#This Row],[Promotions]]</f>
        <v>-151</v>
      </c>
      <c r="AJ1271" s="74">
        <f>tblData[[#This Row],[Outbound Logistics]]+tblData[[#This Row],[Direct Selling]]</f>
        <v>-70</v>
      </c>
      <c r="AK1271" s="74">
        <f>tblData[[#This Row],[Gross Profit]]+tblData[[#This Row],[AP Spend]]+tblData[[#This Row],[Cost to Serve]]</f>
        <v>176</v>
      </c>
    </row>
    <row r="1272" spans="2:37" x14ac:dyDescent="0.25">
      <c r="B1272" s="71" t="s">
        <v>51</v>
      </c>
      <c r="C1272" s="71">
        <v>2026</v>
      </c>
      <c r="D1272" s="71">
        <v>10</v>
      </c>
      <c r="E1272" s="71" t="s">
        <v>44</v>
      </c>
      <c r="F1272" s="71" t="s">
        <v>38</v>
      </c>
      <c r="G1272" s="72">
        <v>302.5</v>
      </c>
      <c r="H1272" s="73">
        <v>4266</v>
      </c>
      <c r="I1272" s="73">
        <v>-689</v>
      </c>
      <c r="J1272" s="73">
        <v>-51</v>
      </c>
      <c r="K1272" s="73">
        <v>-931</v>
      </c>
      <c r="L1272" s="73">
        <v>-230</v>
      </c>
      <c r="M1272" s="73">
        <v>-139</v>
      </c>
      <c r="N1272" s="73">
        <v>-230</v>
      </c>
      <c r="O1272" s="73">
        <v>-133</v>
      </c>
      <c r="P1272" s="73">
        <v>-174</v>
      </c>
      <c r="Q1272" s="73">
        <v>-128</v>
      </c>
      <c r="R1272" s="73">
        <v>0</v>
      </c>
      <c r="S1272" s="73">
        <v>0</v>
      </c>
      <c r="T1272" s="73">
        <v>0</v>
      </c>
      <c r="U1272" s="73">
        <v>0</v>
      </c>
      <c r="V1272" s="73">
        <v>0</v>
      </c>
      <c r="W1272" s="73">
        <v>0</v>
      </c>
      <c r="X1272" s="73">
        <v>0</v>
      </c>
      <c r="Y1272" s="73">
        <v>0</v>
      </c>
      <c r="Z1272" s="73">
        <v>5537</v>
      </c>
      <c r="AA1272" s="73">
        <v>3889</v>
      </c>
      <c r="AB1272" s="73">
        <v>0</v>
      </c>
      <c r="AC1272" s="73">
        <v>0</v>
      </c>
      <c r="AD1272" s="73">
        <v>0</v>
      </c>
      <c r="AE1272" s="73">
        <v>0</v>
      </c>
      <c r="AF1272" s="74">
        <f>tblData[[#This Row],[Gross Sales]]+tblData[[#This Row],[Trade Discounts]]+tblData[[#This Row],[Returns]]</f>
        <v>3526</v>
      </c>
      <c r="AG1272" s="74">
        <f>tblData[[#This Row],[Material Cost]]+tblData[[#This Row],[Conversion Cost]]+tblData[[#This Row],[Inbound Freight]]</f>
        <v>-1300</v>
      </c>
      <c r="AH1272" s="74">
        <f>tblData[[#This Row],[Net Revenue]]+tblData[[#This Row],[COGS]]</f>
        <v>2226</v>
      </c>
      <c r="AI1272" s="74">
        <f>tblData[[#This Row],[Advertising]]+tblData[[#This Row],[Promotions]]</f>
        <v>-363</v>
      </c>
      <c r="AJ1272" s="74">
        <f>tblData[[#This Row],[Outbound Logistics]]+tblData[[#This Row],[Direct Selling]]</f>
        <v>-302</v>
      </c>
      <c r="AK1272" s="74">
        <f>tblData[[#This Row],[Gross Profit]]+tblData[[#This Row],[AP Spend]]+tblData[[#This Row],[Cost to Serve]]</f>
        <v>1561</v>
      </c>
    </row>
    <row r="1273" spans="2:37" x14ac:dyDescent="0.25">
      <c r="B1273" s="71" t="s">
        <v>51</v>
      </c>
      <c r="C1273" s="71">
        <v>2026</v>
      </c>
      <c r="D1273" s="71">
        <v>10</v>
      </c>
      <c r="E1273" s="71" t="s">
        <v>44</v>
      </c>
      <c r="F1273" s="71" t="s">
        <v>39</v>
      </c>
      <c r="G1273" s="72">
        <v>401.6</v>
      </c>
      <c r="H1273" s="73">
        <v>3630</v>
      </c>
      <c r="I1273" s="73">
        <v>-586</v>
      </c>
      <c r="J1273" s="73">
        <v>-44</v>
      </c>
      <c r="K1273" s="73">
        <v>-951</v>
      </c>
      <c r="L1273" s="73">
        <v>-235</v>
      </c>
      <c r="M1273" s="73">
        <v>-142</v>
      </c>
      <c r="N1273" s="73">
        <v>-132</v>
      </c>
      <c r="O1273" s="73">
        <v>-76</v>
      </c>
      <c r="P1273" s="73">
        <v>-148</v>
      </c>
      <c r="Q1273" s="73">
        <v>-109</v>
      </c>
      <c r="R1273" s="73">
        <v>0</v>
      </c>
      <c r="S1273" s="73">
        <v>0</v>
      </c>
      <c r="T1273" s="73">
        <v>0</v>
      </c>
      <c r="U1273" s="73">
        <v>0</v>
      </c>
      <c r="V1273" s="73">
        <v>0</v>
      </c>
      <c r="W1273" s="73">
        <v>0</v>
      </c>
      <c r="X1273" s="73">
        <v>0</v>
      </c>
      <c r="Y1273" s="73">
        <v>0</v>
      </c>
      <c r="Z1273" s="73">
        <v>4697</v>
      </c>
      <c r="AA1273" s="73">
        <v>3359</v>
      </c>
      <c r="AB1273" s="73">
        <v>0</v>
      </c>
      <c r="AC1273" s="73">
        <v>0</v>
      </c>
      <c r="AD1273" s="73">
        <v>0</v>
      </c>
      <c r="AE1273" s="73">
        <v>0</v>
      </c>
      <c r="AF1273" s="74">
        <f>tblData[[#This Row],[Gross Sales]]+tblData[[#This Row],[Trade Discounts]]+tblData[[#This Row],[Returns]]</f>
        <v>3000</v>
      </c>
      <c r="AG1273" s="74">
        <f>tblData[[#This Row],[Material Cost]]+tblData[[#This Row],[Conversion Cost]]+tblData[[#This Row],[Inbound Freight]]</f>
        <v>-1328</v>
      </c>
      <c r="AH1273" s="74">
        <f>tblData[[#This Row],[Net Revenue]]+tblData[[#This Row],[COGS]]</f>
        <v>1672</v>
      </c>
      <c r="AI1273" s="74">
        <f>tblData[[#This Row],[Advertising]]+tblData[[#This Row],[Promotions]]</f>
        <v>-208</v>
      </c>
      <c r="AJ1273" s="74">
        <f>tblData[[#This Row],[Outbound Logistics]]+tblData[[#This Row],[Direct Selling]]</f>
        <v>-257</v>
      </c>
      <c r="AK1273" s="74">
        <f>tblData[[#This Row],[Gross Profit]]+tblData[[#This Row],[AP Spend]]+tblData[[#This Row],[Cost to Serve]]</f>
        <v>1207</v>
      </c>
    </row>
    <row r="1274" spans="2:37" x14ac:dyDescent="0.25">
      <c r="B1274" s="71" t="s">
        <v>51</v>
      </c>
      <c r="C1274" s="71">
        <v>2026</v>
      </c>
      <c r="D1274" s="71">
        <v>10</v>
      </c>
      <c r="E1274" s="71" t="s">
        <v>44</v>
      </c>
      <c r="F1274" s="71" t="s">
        <v>40</v>
      </c>
      <c r="G1274" s="72">
        <v>379.3</v>
      </c>
      <c r="H1274" s="73">
        <v>2663</v>
      </c>
      <c r="I1274" s="73">
        <v>-430</v>
      </c>
      <c r="J1274" s="73">
        <v>-32</v>
      </c>
      <c r="K1274" s="73">
        <v>-775</v>
      </c>
      <c r="L1274" s="73">
        <v>-192</v>
      </c>
      <c r="M1274" s="73">
        <v>-116</v>
      </c>
      <c r="N1274" s="73">
        <v>-66</v>
      </c>
      <c r="O1274" s="73">
        <v>-38</v>
      </c>
      <c r="P1274" s="73">
        <v>-109</v>
      </c>
      <c r="Q1274" s="73">
        <v>-80</v>
      </c>
      <c r="R1274" s="73">
        <v>0</v>
      </c>
      <c r="S1274" s="73">
        <v>0</v>
      </c>
      <c r="T1274" s="73">
        <v>0</v>
      </c>
      <c r="U1274" s="73">
        <v>0</v>
      </c>
      <c r="V1274" s="73">
        <v>0</v>
      </c>
      <c r="W1274" s="73">
        <v>0</v>
      </c>
      <c r="X1274" s="73">
        <v>0</v>
      </c>
      <c r="Y1274" s="73">
        <v>0</v>
      </c>
      <c r="Z1274" s="73">
        <v>3463</v>
      </c>
      <c r="AA1274" s="73">
        <v>2588</v>
      </c>
      <c r="AB1274" s="73">
        <v>0</v>
      </c>
      <c r="AC1274" s="73">
        <v>0</v>
      </c>
      <c r="AD1274" s="73">
        <v>0</v>
      </c>
      <c r="AE1274" s="73">
        <v>0</v>
      </c>
      <c r="AF1274" s="74">
        <f>tblData[[#This Row],[Gross Sales]]+tblData[[#This Row],[Trade Discounts]]+tblData[[#This Row],[Returns]]</f>
        <v>2201</v>
      </c>
      <c r="AG1274" s="74">
        <f>tblData[[#This Row],[Material Cost]]+tblData[[#This Row],[Conversion Cost]]+tblData[[#This Row],[Inbound Freight]]</f>
        <v>-1083</v>
      </c>
      <c r="AH1274" s="74">
        <f>tblData[[#This Row],[Net Revenue]]+tblData[[#This Row],[COGS]]</f>
        <v>1118</v>
      </c>
      <c r="AI1274" s="74">
        <f>tblData[[#This Row],[Advertising]]+tblData[[#This Row],[Promotions]]</f>
        <v>-104</v>
      </c>
      <c r="AJ1274" s="74">
        <f>tblData[[#This Row],[Outbound Logistics]]+tblData[[#This Row],[Direct Selling]]</f>
        <v>-189</v>
      </c>
      <c r="AK1274" s="74">
        <f>tblData[[#This Row],[Gross Profit]]+tblData[[#This Row],[AP Spend]]+tblData[[#This Row],[Cost to Serve]]</f>
        <v>825</v>
      </c>
    </row>
    <row r="1275" spans="2:37" x14ac:dyDescent="0.25">
      <c r="B1275" s="71" t="s">
        <v>51</v>
      </c>
      <c r="C1275" s="71">
        <v>2026</v>
      </c>
      <c r="D1275" s="71">
        <v>10</v>
      </c>
      <c r="E1275" s="71" t="s">
        <v>44</v>
      </c>
      <c r="F1275" s="71" t="s">
        <v>41</v>
      </c>
      <c r="G1275" s="72">
        <v>191.6</v>
      </c>
      <c r="H1275" s="73">
        <v>2119</v>
      </c>
      <c r="I1275" s="73">
        <v>-342</v>
      </c>
      <c r="J1275" s="73">
        <v>-25</v>
      </c>
      <c r="K1275" s="73">
        <v>-509</v>
      </c>
      <c r="L1275" s="73">
        <v>-126</v>
      </c>
      <c r="M1275" s="73">
        <v>-76</v>
      </c>
      <c r="N1275" s="73">
        <v>-141</v>
      </c>
      <c r="O1275" s="73">
        <v>-81</v>
      </c>
      <c r="P1275" s="73">
        <v>-87</v>
      </c>
      <c r="Q1275" s="73">
        <v>-64</v>
      </c>
      <c r="R1275" s="73">
        <v>0</v>
      </c>
      <c r="S1275" s="73">
        <v>0</v>
      </c>
      <c r="T1275" s="73">
        <v>0</v>
      </c>
      <c r="U1275" s="73">
        <v>0</v>
      </c>
      <c r="V1275" s="73">
        <v>0</v>
      </c>
      <c r="W1275" s="73">
        <v>0</v>
      </c>
      <c r="X1275" s="73">
        <v>0</v>
      </c>
      <c r="Y1275" s="73">
        <v>0</v>
      </c>
      <c r="Z1275" s="73">
        <v>2747</v>
      </c>
      <c r="AA1275" s="73">
        <v>2015</v>
      </c>
      <c r="AB1275" s="73">
        <v>0</v>
      </c>
      <c r="AC1275" s="73">
        <v>0</v>
      </c>
      <c r="AD1275" s="73">
        <v>0</v>
      </c>
      <c r="AE1275" s="73">
        <v>0</v>
      </c>
      <c r="AF1275" s="74">
        <f>tblData[[#This Row],[Gross Sales]]+tblData[[#This Row],[Trade Discounts]]+tblData[[#This Row],[Returns]]</f>
        <v>1752</v>
      </c>
      <c r="AG1275" s="74">
        <f>tblData[[#This Row],[Material Cost]]+tblData[[#This Row],[Conversion Cost]]+tblData[[#This Row],[Inbound Freight]]</f>
        <v>-711</v>
      </c>
      <c r="AH1275" s="74">
        <f>tblData[[#This Row],[Net Revenue]]+tblData[[#This Row],[COGS]]</f>
        <v>1041</v>
      </c>
      <c r="AI1275" s="74">
        <f>tblData[[#This Row],[Advertising]]+tblData[[#This Row],[Promotions]]</f>
        <v>-222</v>
      </c>
      <c r="AJ1275" s="74">
        <f>tblData[[#This Row],[Outbound Logistics]]+tblData[[#This Row],[Direct Selling]]</f>
        <v>-151</v>
      </c>
      <c r="AK1275" s="74">
        <f>tblData[[#This Row],[Gross Profit]]+tblData[[#This Row],[AP Spend]]+tblData[[#This Row],[Cost to Serve]]</f>
        <v>668</v>
      </c>
    </row>
    <row r="1276" spans="2:37" x14ac:dyDescent="0.25">
      <c r="B1276" s="71" t="s">
        <v>51</v>
      </c>
      <c r="C1276" s="71">
        <v>2026</v>
      </c>
      <c r="D1276" s="71">
        <v>10</v>
      </c>
      <c r="E1276" s="71" t="s">
        <v>44</v>
      </c>
      <c r="F1276" s="71" t="s">
        <v>42</v>
      </c>
      <c r="G1276" s="72">
        <v>234.1</v>
      </c>
      <c r="H1276" s="73">
        <v>1405</v>
      </c>
      <c r="I1276" s="73">
        <v>-227</v>
      </c>
      <c r="J1276" s="73">
        <v>-17</v>
      </c>
      <c r="K1276" s="73">
        <v>-450</v>
      </c>
      <c r="L1276" s="73">
        <v>-111</v>
      </c>
      <c r="M1276" s="73">
        <v>-67</v>
      </c>
      <c r="N1276" s="73">
        <v>-27</v>
      </c>
      <c r="O1276" s="73">
        <v>-16</v>
      </c>
      <c r="P1276" s="73">
        <v>-57</v>
      </c>
      <c r="Q1276" s="73">
        <v>-42</v>
      </c>
      <c r="R1276" s="73">
        <v>0</v>
      </c>
      <c r="S1276" s="73">
        <v>0</v>
      </c>
      <c r="T1276" s="73">
        <v>0</v>
      </c>
      <c r="U1276" s="73">
        <v>0</v>
      </c>
      <c r="V1276" s="73">
        <v>0</v>
      </c>
      <c r="W1276" s="73">
        <v>0</v>
      </c>
      <c r="X1276" s="73">
        <v>0</v>
      </c>
      <c r="Y1276" s="73">
        <v>0</v>
      </c>
      <c r="Z1276" s="73">
        <v>1827</v>
      </c>
      <c r="AA1276" s="73">
        <v>2338</v>
      </c>
      <c r="AB1276" s="73">
        <v>0</v>
      </c>
      <c r="AC1276" s="73">
        <v>0</v>
      </c>
      <c r="AD1276" s="73">
        <v>0</v>
      </c>
      <c r="AE1276" s="73">
        <v>0</v>
      </c>
      <c r="AF1276" s="74">
        <f>tblData[[#This Row],[Gross Sales]]+tblData[[#This Row],[Trade Discounts]]+tblData[[#This Row],[Returns]]</f>
        <v>1161</v>
      </c>
      <c r="AG1276" s="74">
        <f>tblData[[#This Row],[Material Cost]]+tblData[[#This Row],[Conversion Cost]]+tblData[[#This Row],[Inbound Freight]]</f>
        <v>-628</v>
      </c>
      <c r="AH1276" s="74">
        <f>tblData[[#This Row],[Net Revenue]]+tblData[[#This Row],[COGS]]</f>
        <v>533</v>
      </c>
      <c r="AI1276" s="74">
        <f>tblData[[#This Row],[Advertising]]+tblData[[#This Row],[Promotions]]</f>
        <v>-43</v>
      </c>
      <c r="AJ1276" s="74">
        <f>tblData[[#This Row],[Outbound Logistics]]+tblData[[#This Row],[Direct Selling]]</f>
        <v>-99</v>
      </c>
      <c r="AK1276" s="74">
        <f>tblData[[#This Row],[Gross Profit]]+tblData[[#This Row],[AP Spend]]+tblData[[#This Row],[Cost to Serve]]</f>
        <v>391</v>
      </c>
    </row>
    <row r="1277" spans="2:37" x14ac:dyDescent="0.25">
      <c r="B1277" s="71" t="s">
        <v>51</v>
      </c>
      <c r="C1277" s="71">
        <v>2026</v>
      </c>
      <c r="D1277" s="71">
        <v>10</v>
      </c>
      <c r="E1277" s="71" t="s">
        <v>44</v>
      </c>
      <c r="F1277" s="71" t="s">
        <v>43</v>
      </c>
      <c r="G1277" s="72">
        <v>45.2</v>
      </c>
      <c r="H1277" s="73">
        <v>815</v>
      </c>
      <c r="I1277" s="73">
        <v>-132</v>
      </c>
      <c r="J1277" s="73">
        <v>-10</v>
      </c>
      <c r="K1277" s="73">
        <v>-225</v>
      </c>
      <c r="L1277" s="73">
        <v>-56</v>
      </c>
      <c r="M1277" s="73">
        <v>-34</v>
      </c>
      <c r="N1277" s="73">
        <v>-77</v>
      </c>
      <c r="O1277" s="73">
        <v>-44</v>
      </c>
      <c r="P1277" s="73">
        <v>-33</v>
      </c>
      <c r="Q1277" s="73">
        <v>-24</v>
      </c>
      <c r="R1277" s="73">
        <v>0</v>
      </c>
      <c r="S1277" s="73">
        <v>0</v>
      </c>
      <c r="T1277" s="73">
        <v>0</v>
      </c>
      <c r="U1277" s="73">
        <v>0</v>
      </c>
      <c r="V1277" s="73">
        <v>0</v>
      </c>
      <c r="W1277" s="73">
        <v>0</v>
      </c>
      <c r="X1277" s="73">
        <v>0</v>
      </c>
      <c r="Y1277" s="73">
        <v>0</v>
      </c>
      <c r="Z1277" s="73">
        <v>1060</v>
      </c>
      <c r="AA1277" s="73">
        <v>1181</v>
      </c>
      <c r="AB1277" s="73">
        <v>0</v>
      </c>
      <c r="AC1277" s="73">
        <v>0</v>
      </c>
      <c r="AD1277" s="73">
        <v>0</v>
      </c>
      <c r="AE1277" s="73">
        <v>0</v>
      </c>
      <c r="AF1277" s="74">
        <f>tblData[[#This Row],[Gross Sales]]+tblData[[#This Row],[Trade Discounts]]+tblData[[#This Row],[Returns]]</f>
        <v>673</v>
      </c>
      <c r="AG1277" s="74">
        <f>tblData[[#This Row],[Material Cost]]+tblData[[#This Row],[Conversion Cost]]+tblData[[#This Row],[Inbound Freight]]</f>
        <v>-315</v>
      </c>
      <c r="AH1277" s="74">
        <f>tblData[[#This Row],[Net Revenue]]+tblData[[#This Row],[COGS]]</f>
        <v>358</v>
      </c>
      <c r="AI1277" s="74">
        <f>tblData[[#This Row],[Advertising]]+tblData[[#This Row],[Promotions]]</f>
        <v>-121</v>
      </c>
      <c r="AJ1277" s="74">
        <f>tblData[[#This Row],[Outbound Logistics]]+tblData[[#This Row],[Direct Selling]]</f>
        <v>-57</v>
      </c>
      <c r="AK1277" s="74">
        <f>tblData[[#This Row],[Gross Profit]]+tblData[[#This Row],[AP Spend]]+tblData[[#This Row],[Cost to Serve]]</f>
        <v>180</v>
      </c>
    </row>
    <row r="1278" spans="2:37" x14ac:dyDescent="0.25">
      <c r="B1278" s="71" t="s">
        <v>51</v>
      </c>
      <c r="C1278" s="71">
        <v>2026</v>
      </c>
      <c r="D1278" s="71">
        <v>10</v>
      </c>
      <c r="E1278" s="71" t="s">
        <v>45</v>
      </c>
      <c r="F1278" s="71" t="s">
        <v>38</v>
      </c>
      <c r="G1278" s="72">
        <v>173.5</v>
      </c>
      <c r="H1278" s="73">
        <v>2425</v>
      </c>
      <c r="I1278" s="73">
        <v>-554</v>
      </c>
      <c r="J1278" s="73">
        <v>-24</v>
      </c>
      <c r="K1278" s="73">
        <v>-529</v>
      </c>
      <c r="L1278" s="73">
        <v>-131</v>
      </c>
      <c r="M1278" s="73">
        <v>-79</v>
      </c>
      <c r="N1278" s="73">
        <v>-134</v>
      </c>
      <c r="O1278" s="73">
        <v>-77</v>
      </c>
      <c r="P1278" s="73">
        <v>-87</v>
      </c>
      <c r="Q1278" s="73">
        <v>-48</v>
      </c>
      <c r="R1278" s="73">
        <v>0</v>
      </c>
      <c r="S1278" s="73">
        <v>0</v>
      </c>
      <c r="T1278" s="73">
        <v>0</v>
      </c>
      <c r="U1278" s="73">
        <v>0</v>
      </c>
      <c r="V1278" s="73">
        <v>0</v>
      </c>
      <c r="W1278" s="73">
        <v>0</v>
      </c>
      <c r="X1278" s="73">
        <v>0</v>
      </c>
      <c r="Y1278" s="73">
        <v>0</v>
      </c>
      <c r="Z1278" s="73">
        <v>2626</v>
      </c>
      <c r="AA1278" s="73">
        <v>2216</v>
      </c>
      <c r="AB1278" s="73">
        <v>0</v>
      </c>
      <c r="AC1278" s="73">
        <v>0</v>
      </c>
      <c r="AD1278" s="73">
        <v>0</v>
      </c>
      <c r="AE1278" s="73">
        <v>0</v>
      </c>
      <c r="AF1278" s="74">
        <f>tblData[[#This Row],[Gross Sales]]+tblData[[#This Row],[Trade Discounts]]+tblData[[#This Row],[Returns]]</f>
        <v>1847</v>
      </c>
      <c r="AG1278" s="74">
        <f>tblData[[#This Row],[Material Cost]]+tblData[[#This Row],[Conversion Cost]]+tblData[[#This Row],[Inbound Freight]]</f>
        <v>-739</v>
      </c>
      <c r="AH1278" s="74">
        <f>tblData[[#This Row],[Net Revenue]]+tblData[[#This Row],[COGS]]</f>
        <v>1108</v>
      </c>
      <c r="AI1278" s="74">
        <f>tblData[[#This Row],[Advertising]]+tblData[[#This Row],[Promotions]]</f>
        <v>-211</v>
      </c>
      <c r="AJ1278" s="74">
        <f>tblData[[#This Row],[Outbound Logistics]]+tblData[[#This Row],[Direct Selling]]</f>
        <v>-135</v>
      </c>
      <c r="AK1278" s="74">
        <f>tblData[[#This Row],[Gross Profit]]+tblData[[#This Row],[AP Spend]]+tblData[[#This Row],[Cost to Serve]]</f>
        <v>762</v>
      </c>
    </row>
    <row r="1279" spans="2:37" x14ac:dyDescent="0.25">
      <c r="B1279" s="71" t="s">
        <v>51</v>
      </c>
      <c r="C1279" s="71">
        <v>2026</v>
      </c>
      <c r="D1279" s="71">
        <v>10</v>
      </c>
      <c r="E1279" s="71" t="s">
        <v>45</v>
      </c>
      <c r="F1279" s="71" t="s">
        <v>39</v>
      </c>
      <c r="G1279" s="72">
        <v>226.1</v>
      </c>
      <c r="H1279" s="73">
        <v>2026</v>
      </c>
      <c r="I1279" s="73">
        <v>-463</v>
      </c>
      <c r="J1279" s="73">
        <v>-20</v>
      </c>
      <c r="K1279" s="73">
        <v>-531</v>
      </c>
      <c r="L1279" s="73">
        <v>-131</v>
      </c>
      <c r="M1279" s="73">
        <v>-79</v>
      </c>
      <c r="N1279" s="73">
        <v>-77</v>
      </c>
      <c r="O1279" s="73">
        <v>-44</v>
      </c>
      <c r="P1279" s="73">
        <v>-72</v>
      </c>
      <c r="Q1279" s="73">
        <v>-41</v>
      </c>
      <c r="R1279" s="73">
        <v>0</v>
      </c>
      <c r="S1279" s="73">
        <v>0</v>
      </c>
      <c r="T1279" s="73">
        <v>0</v>
      </c>
      <c r="U1279" s="73">
        <v>0</v>
      </c>
      <c r="V1279" s="73">
        <v>0</v>
      </c>
      <c r="W1279" s="73">
        <v>0</v>
      </c>
      <c r="X1279" s="73">
        <v>0</v>
      </c>
      <c r="Y1279" s="73">
        <v>0</v>
      </c>
      <c r="Z1279" s="73">
        <v>2195</v>
      </c>
      <c r="AA1279" s="73">
        <v>1886</v>
      </c>
      <c r="AB1279" s="73">
        <v>0</v>
      </c>
      <c r="AC1279" s="73">
        <v>0</v>
      </c>
      <c r="AD1279" s="73">
        <v>0</v>
      </c>
      <c r="AE1279" s="73">
        <v>0</v>
      </c>
      <c r="AF1279" s="74">
        <f>tblData[[#This Row],[Gross Sales]]+tblData[[#This Row],[Trade Discounts]]+tblData[[#This Row],[Returns]]</f>
        <v>1543</v>
      </c>
      <c r="AG1279" s="74">
        <f>tblData[[#This Row],[Material Cost]]+tblData[[#This Row],[Conversion Cost]]+tblData[[#This Row],[Inbound Freight]]</f>
        <v>-741</v>
      </c>
      <c r="AH1279" s="74">
        <f>tblData[[#This Row],[Net Revenue]]+tblData[[#This Row],[COGS]]</f>
        <v>802</v>
      </c>
      <c r="AI1279" s="74">
        <f>tblData[[#This Row],[Advertising]]+tblData[[#This Row],[Promotions]]</f>
        <v>-121</v>
      </c>
      <c r="AJ1279" s="74">
        <f>tblData[[#This Row],[Outbound Logistics]]+tblData[[#This Row],[Direct Selling]]</f>
        <v>-113</v>
      </c>
      <c r="AK1279" s="74">
        <f>tblData[[#This Row],[Gross Profit]]+tblData[[#This Row],[AP Spend]]+tblData[[#This Row],[Cost to Serve]]</f>
        <v>568</v>
      </c>
    </row>
    <row r="1280" spans="2:37" x14ac:dyDescent="0.25">
      <c r="B1280" s="71" t="s">
        <v>51</v>
      </c>
      <c r="C1280" s="71">
        <v>2026</v>
      </c>
      <c r="D1280" s="71">
        <v>10</v>
      </c>
      <c r="E1280" s="71" t="s">
        <v>45</v>
      </c>
      <c r="F1280" s="71" t="s">
        <v>40</v>
      </c>
      <c r="G1280" s="72">
        <v>214.6</v>
      </c>
      <c r="H1280" s="73">
        <v>1493</v>
      </c>
      <c r="I1280" s="73">
        <v>-341</v>
      </c>
      <c r="J1280" s="73">
        <v>-15</v>
      </c>
      <c r="K1280" s="73">
        <v>-435</v>
      </c>
      <c r="L1280" s="73">
        <v>-108</v>
      </c>
      <c r="M1280" s="73">
        <v>-65</v>
      </c>
      <c r="N1280" s="73">
        <v>-38</v>
      </c>
      <c r="O1280" s="73">
        <v>-22</v>
      </c>
      <c r="P1280" s="73">
        <v>-53</v>
      </c>
      <c r="Q1280" s="73">
        <v>-30</v>
      </c>
      <c r="R1280" s="73">
        <v>0</v>
      </c>
      <c r="S1280" s="73">
        <v>0</v>
      </c>
      <c r="T1280" s="73">
        <v>0</v>
      </c>
      <c r="U1280" s="73">
        <v>0</v>
      </c>
      <c r="V1280" s="73">
        <v>0</v>
      </c>
      <c r="W1280" s="73">
        <v>0</v>
      </c>
      <c r="X1280" s="73">
        <v>0</v>
      </c>
      <c r="Y1280" s="73">
        <v>0</v>
      </c>
      <c r="Z1280" s="73">
        <v>1624</v>
      </c>
      <c r="AA1280" s="73">
        <v>1457</v>
      </c>
      <c r="AB1280" s="73">
        <v>0</v>
      </c>
      <c r="AC1280" s="73">
        <v>0</v>
      </c>
      <c r="AD1280" s="73">
        <v>0</v>
      </c>
      <c r="AE1280" s="73">
        <v>0</v>
      </c>
      <c r="AF1280" s="74">
        <f>tblData[[#This Row],[Gross Sales]]+tblData[[#This Row],[Trade Discounts]]+tblData[[#This Row],[Returns]]</f>
        <v>1137</v>
      </c>
      <c r="AG1280" s="74">
        <f>tblData[[#This Row],[Material Cost]]+tblData[[#This Row],[Conversion Cost]]+tblData[[#This Row],[Inbound Freight]]</f>
        <v>-608</v>
      </c>
      <c r="AH1280" s="74">
        <f>tblData[[#This Row],[Net Revenue]]+tblData[[#This Row],[COGS]]</f>
        <v>529</v>
      </c>
      <c r="AI1280" s="74">
        <f>tblData[[#This Row],[Advertising]]+tblData[[#This Row],[Promotions]]</f>
        <v>-60</v>
      </c>
      <c r="AJ1280" s="74">
        <f>tblData[[#This Row],[Outbound Logistics]]+tblData[[#This Row],[Direct Selling]]</f>
        <v>-83</v>
      </c>
      <c r="AK1280" s="74">
        <f>tblData[[#This Row],[Gross Profit]]+tblData[[#This Row],[AP Spend]]+tblData[[#This Row],[Cost to Serve]]</f>
        <v>386</v>
      </c>
    </row>
    <row r="1281" spans="2:37" x14ac:dyDescent="0.25">
      <c r="B1281" s="71" t="s">
        <v>51</v>
      </c>
      <c r="C1281" s="71">
        <v>2026</v>
      </c>
      <c r="D1281" s="71">
        <v>10</v>
      </c>
      <c r="E1281" s="71" t="s">
        <v>45</v>
      </c>
      <c r="F1281" s="71" t="s">
        <v>41</v>
      </c>
      <c r="G1281" s="72">
        <v>108.8</v>
      </c>
      <c r="H1281" s="73">
        <v>1192</v>
      </c>
      <c r="I1281" s="73">
        <v>-273</v>
      </c>
      <c r="J1281" s="73">
        <v>-12</v>
      </c>
      <c r="K1281" s="73">
        <v>-286</v>
      </c>
      <c r="L1281" s="73">
        <v>-71</v>
      </c>
      <c r="M1281" s="73">
        <v>-43</v>
      </c>
      <c r="N1281" s="73">
        <v>-82</v>
      </c>
      <c r="O1281" s="73">
        <v>-47</v>
      </c>
      <c r="P1281" s="73">
        <v>-43</v>
      </c>
      <c r="Q1281" s="73">
        <v>-24</v>
      </c>
      <c r="R1281" s="73">
        <v>0</v>
      </c>
      <c r="S1281" s="73">
        <v>0</v>
      </c>
      <c r="T1281" s="73">
        <v>0</v>
      </c>
      <c r="U1281" s="73">
        <v>0</v>
      </c>
      <c r="V1281" s="73">
        <v>0</v>
      </c>
      <c r="W1281" s="73">
        <v>0</v>
      </c>
      <c r="X1281" s="73">
        <v>0</v>
      </c>
      <c r="Y1281" s="73">
        <v>0</v>
      </c>
      <c r="Z1281" s="73">
        <v>1288</v>
      </c>
      <c r="AA1281" s="73">
        <v>1135</v>
      </c>
      <c r="AB1281" s="73">
        <v>0</v>
      </c>
      <c r="AC1281" s="73">
        <v>0</v>
      </c>
      <c r="AD1281" s="73">
        <v>0</v>
      </c>
      <c r="AE1281" s="73">
        <v>0</v>
      </c>
      <c r="AF1281" s="74">
        <f>tblData[[#This Row],[Gross Sales]]+tblData[[#This Row],[Trade Discounts]]+tblData[[#This Row],[Returns]]</f>
        <v>907</v>
      </c>
      <c r="AG1281" s="74">
        <f>tblData[[#This Row],[Material Cost]]+tblData[[#This Row],[Conversion Cost]]+tblData[[#This Row],[Inbound Freight]]</f>
        <v>-400</v>
      </c>
      <c r="AH1281" s="74">
        <f>tblData[[#This Row],[Net Revenue]]+tblData[[#This Row],[COGS]]</f>
        <v>507</v>
      </c>
      <c r="AI1281" s="74">
        <f>tblData[[#This Row],[Advertising]]+tblData[[#This Row],[Promotions]]</f>
        <v>-129</v>
      </c>
      <c r="AJ1281" s="74">
        <f>tblData[[#This Row],[Outbound Logistics]]+tblData[[#This Row],[Direct Selling]]</f>
        <v>-67</v>
      </c>
      <c r="AK1281" s="74">
        <f>tblData[[#This Row],[Gross Profit]]+tblData[[#This Row],[AP Spend]]+tblData[[#This Row],[Cost to Serve]]</f>
        <v>311</v>
      </c>
    </row>
    <row r="1282" spans="2:37" x14ac:dyDescent="0.25">
      <c r="B1282" s="71" t="s">
        <v>51</v>
      </c>
      <c r="C1282" s="71">
        <v>2026</v>
      </c>
      <c r="D1282" s="71">
        <v>10</v>
      </c>
      <c r="E1282" s="71" t="s">
        <v>45</v>
      </c>
      <c r="F1282" s="71" t="s">
        <v>42</v>
      </c>
      <c r="G1282" s="72">
        <v>134.30000000000001</v>
      </c>
      <c r="H1282" s="73">
        <v>799</v>
      </c>
      <c r="I1282" s="73">
        <v>-183</v>
      </c>
      <c r="J1282" s="73">
        <v>-8</v>
      </c>
      <c r="K1282" s="73">
        <v>-256</v>
      </c>
      <c r="L1282" s="73">
        <v>-63</v>
      </c>
      <c r="M1282" s="73">
        <v>-38</v>
      </c>
      <c r="N1282" s="73">
        <v>-16</v>
      </c>
      <c r="O1282" s="73">
        <v>-9</v>
      </c>
      <c r="P1282" s="73">
        <v>-29</v>
      </c>
      <c r="Q1282" s="73">
        <v>-16</v>
      </c>
      <c r="R1282" s="73">
        <v>0</v>
      </c>
      <c r="S1282" s="73">
        <v>0</v>
      </c>
      <c r="T1282" s="73">
        <v>0</v>
      </c>
      <c r="U1282" s="73">
        <v>0</v>
      </c>
      <c r="V1282" s="73">
        <v>0</v>
      </c>
      <c r="W1282" s="73">
        <v>0</v>
      </c>
      <c r="X1282" s="73">
        <v>0</v>
      </c>
      <c r="Y1282" s="73">
        <v>0</v>
      </c>
      <c r="Z1282" s="73">
        <v>862</v>
      </c>
      <c r="AA1282" s="73">
        <v>1325</v>
      </c>
      <c r="AB1282" s="73">
        <v>0</v>
      </c>
      <c r="AC1282" s="73">
        <v>0</v>
      </c>
      <c r="AD1282" s="73">
        <v>0</v>
      </c>
      <c r="AE1282" s="73">
        <v>0</v>
      </c>
      <c r="AF1282" s="74">
        <f>tblData[[#This Row],[Gross Sales]]+tblData[[#This Row],[Trade Discounts]]+tblData[[#This Row],[Returns]]</f>
        <v>608</v>
      </c>
      <c r="AG1282" s="74">
        <f>tblData[[#This Row],[Material Cost]]+tblData[[#This Row],[Conversion Cost]]+tblData[[#This Row],[Inbound Freight]]</f>
        <v>-357</v>
      </c>
      <c r="AH1282" s="74">
        <f>tblData[[#This Row],[Net Revenue]]+tblData[[#This Row],[COGS]]</f>
        <v>251</v>
      </c>
      <c r="AI1282" s="74">
        <f>tblData[[#This Row],[Advertising]]+tblData[[#This Row],[Promotions]]</f>
        <v>-25</v>
      </c>
      <c r="AJ1282" s="74">
        <f>tblData[[#This Row],[Outbound Logistics]]+tblData[[#This Row],[Direct Selling]]</f>
        <v>-45</v>
      </c>
      <c r="AK1282" s="74">
        <f>tblData[[#This Row],[Gross Profit]]+tblData[[#This Row],[AP Spend]]+tblData[[#This Row],[Cost to Serve]]</f>
        <v>181</v>
      </c>
    </row>
    <row r="1283" spans="2:37" x14ac:dyDescent="0.25">
      <c r="B1283" s="71" t="s">
        <v>51</v>
      </c>
      <c r="C1283" s="71">
        <v>2026</v>
      </c>
      <c r="D1283" s="71">
        <v>10</v>
      </c>
      <c r="E1283" s="71" t="s">
        <v>45</v>
      </c>
      <c r="F1283" s="71" t="s">
        <v>43</v>
      </c>
      <c r="G1283" s="72">
        <v>25.7</v>
      </c>
      <c r="H1283" s="73">
        <v>460</v>
      </c>
      <c r="I1283" s="73">
        <v>-105</v>
      </c>
      <c r="J1283" s="73">
        <v>-5</v>
      </c>
      <c r="K1283" s="73">
        <v>-127</v>
      </c>
      <c r="L1283" s="73">
        <v>-31</v>
      </c>
      <c r="M1283" s="73">
        <v>-19</v>
      </c>
      <c r="N1283" s="73">
        <v>-45</v>
      </c>
      <c r="O1283" s="73">
        <v>-26</v>
      </c>
      <c r="P1283" s="73">
        <v>-16</v>
      </c>
      <c r="Q1283" s="73">
        <v>-9</v>
      </c>
      <c r="R1283" s="73">
        <v>0</v>
      </c>
      <c r="S1283" s="73">
        <v>0</v>
      </c>
      <c r="T1283" s="73">
        <v>0</v>
      </c>
      <c r="U1283" s="73">
        <v>0</v>
      </c>
      <c r="V1283" s="73">
        <v>0</v>
      </c>
      <c r="W1283" s="73">
        <v>0</v>
      </c>
      <c r="X1283" s="73">
        <v>0</v>
      </c>
      <c r="Y1283" s="73">
        <v>0</v>
      </c>
      <c r="Z1283" s="73">
        <v>498</v>
      </c>
      <c r="AA1283" s="73">
        <v>667</v>
      </c>
      <c r="AB1283" s="73">
        <v>0</v>
      </c>
      <c r="AC1283" s="73">
        <v>0</v>
      </c>
      <c r="AD1283" s="73">
        <v>0</v>
      </c>
      <c r="AE1283" s="73">
        <v>0</v>
      </c>
      <c r="AF1283" s="74">
        <f>tblData[[#This Row],[Gross Sales]]+tblData[[#This Row],[Trade Discounts]]+tblData[[#This Row],[Returns]]</f>
        <v>350</v>
      </c>
      <c r="AG1283" s="74">
        <f>tblData[[#This Row],[Material Cost]]+tblData[[#This Row],[Conversion Cost]]+tblData[[#This Row],[Inbound Freight]]</f>
        <v>-177</v>
      </c>
      <c r="AH1283" s="74">
        <f>tblData[[#This Row],[Net Revenue]]+tblData[[#This Row],[COGS]]</f>
        <v>173</v>
      </c>
      <c r="AI1283" s="74">
        <f>tblData[[#This Row],[Advertising]]+tblData[[#This Row],[Promotions]]</f>
        <v>-71</v>
      </c>
      <c r="AJ1283" s="74">
        <f>tblData[[#This Row],[Outbound Logistics]]+tblData[[#This Row],[Direct Selling]]</f>
        <v>-25</v>
      </c>
      <c r="AK1283" s="74">
        <f>tblData[[#This Row],[Gross Profit]]+tblData[[#This Row],[AP Spend]]+tblData[[#This Row],[Cost to Serve]]</f>
        <v>77</v>
      </c>
    </row>
    <row r="1284" spans="2:37" x14ac:dyDescent="0.25">
      <c r="B1284" s="71" t="s">
        <v>51</v>
      </c>
      <c r="C1284" s="71">
        <v>2026</v>
      </c>
      <c r="D1284" s="71">
        <v>10</v>
      </c>
      <c r="E1284" s="71" t="s">
        <v>46</v>
      </c>
      <c r="F1284" s="71" t="s">
        <v>38</v>
      </c>
      <c r="G1284" s="72">
        <v>213.9</v>
      </c>
      <c r="H1284" s="73">
        <v>3011</v>
      </c>
      <c r="I1284" s="73">
        <v>-327</v>
      </c>
      <c r="J1284" s="73">
        <v>-120</v>
      </c>
      <c r="K1284" s="73">
        <v>-657</v>
      </c>
      <c r="L1284" s="73">
        <v>-163</v>
      </c>
      <c r="M1284" s="73">
        <v>-98</v>
      </c>
      <c r="N1284" s="73">
        <v>-154</v>
      </c>
      <c r="O1284" s="73">
        <v>-88</v>
      </c>
      <c r="P1284" s="73">
        <v>-231</v>
      </c>
      <c r="Q1284" s="73">
        <v>-60</v>
      </c>
      <c r="R1284" s="73">
        <v>0</v>
      </c>
      <c r="S1284" s="73">
        <v>0</v>
      </c>
      <c r="T1284" s="73">
        <v>0</v>
      </c>
      <c r="U1284" s="73">
        <v>0</v>
      </c>
      <c r="V1284" s="73">
        <v>0</v>
      </c>
      <c r="W1284" s="73">
        <v>0</v>
      </c>
      <c r="X1284" s="73">
        <v>0</v>
      </c>
      <c r="Y1284" s="73">
        <v>0</v>
      </c>
      <c r="Z1284" s="73">
        <v>2089</v>
      </c>
      <c r="AA1284" s="73">
        <v>2743</v>
      </c>
      <c r="AB1284" s="73">
        <v>0</v>
      </c>
      <c r="AC1284" s="73">
        <v>0</v>
      </c>
      <c r="AD1284" s="73">
        <v>0</v>
      </c>
      <c r="AE1284" s="73">
        <v>0</v>
      </c>
      <c r="AF1284" s="74">
        <f>tblData[[#This Row],[Gross Sales]]+tblData[[#This Row],[Trade Discounts]]+tblData[[#This Row],[Returns]]</f>
        <v>2564</v>
      </c>
      <c r="AG1284" s="74">
        <f>tblData[[#This Row],[Material Cost]]+tblData[[#This Row],[Conversion Cost]]+tblData[[#This Row],[Inbound Freight]]</f>
        <v>-918</v>
      </c>
      <c r="AH1284" s="74">
        <f>tblData[[#This Row],[Net Revenue]]+tblData[[#This Row],[COGS]]</f>
        <v>1646</v>
      </c>
      <c r="AI1284" s="74">
        <f>tblData[[#This Row],[Advertising]]+tblData[[#This Row],[Promotions]]</f>
        <v>-242</v>
      </c>
      <c r="AJ1284" s="74">
        <f>tblData[[#This Row],[Outbound Logistics]]+tblData[[#This Row],[Direct Selling]]</f>
        <v>-291</v>
      </c>
      <c r="AK1284" s="74">
        <f>tblData[[#This Row],[Gross Profit]]+tblData[[#This Row],[AP Spend]]+tblData[[#This Row],[Cost to Serve]]</f>
        <v>1113</v>
      </c>
    </row>
    <row r="1285" spans="2:37" x14ac:dyDescent="0.25">
      <c r="B1285" s="71" t="s">
        <v>51</v>
      </c>
      <c r="C1285" s="71">
        <v>2026</v>
      </c>
      <c r="D1285" s="71">
        <v>10</v>
      </c>
      <c r="E1285" s="71" t="s">
        <v>46</v>
      </c>
      <c r="F1285" s="71" t="s">
        <v>39</v>
      </c>
      <c r="G1285" s="72">
        <v>281.8</v>
      </c>
      <c r="H1285" s="73">
        <v>2543</v>
      </c>
      <c r="I1285" s="73">
        <v>-276</v>
      </c>
      <c r="J1285" s="73">
        <v>-102</v>
      </c>
      <c r="K1285" s="73">
        <v>-666</v>
      </c>
      <c r="L1285" s="73">
        <v>-165</v>
      </c>
      <c r="M1285" s="73">
        <v>-99</v>
      </c>
      <c r="N1285" s="73">
        <v>-88</v>
      </c>
      <c r="O1285" s="73">
        <v>-51</v>
      </c>
      <c r="P1285" s="73">
        <v>-195</v>
      </c>
      <c r="Q1285" s="73">
        <v>-51</v>
      </c>
      <c r="R1285" s="73">
        <v>0</v>
      </c>
      <c r="S1285" s="73">
        <v>0</v>
      </c>
      <c r="T1285" s="73">
        <v>0</v>
      </c>
      <c r="U1285" s="73">
        <v>0</v>
      </c>
      <c r="V1285" s="73">
        <v>0</v>
      </c>
      <c r="W1285" s="73">
        <v>0</v>
      </c>
      <c r="X1285" s="73">
        <v>0</v>
      </c>
      <c r="Y1285" s="73">
        <v>0</v>
      </c>
      <c r="Z1285" s="73">
        <v>1757</v>
      </c>
      <c r="AA1285" s="73">
        <v>2350</v>
      </c>
      <c r="AB1285" s="73">
        <v>0</v>
      </c>
      <c r="AC1285" s="73">
        <v>0</v>
      </c>
      <c r="AD1285" s="73">
        <v>0</v>
      </c>
      <c r="AE1285" s="73">
        <v>0</v>
      </c>
      <c r="AF1285" s="74">
        <f>tblData[[#This Row],[Gross Sales]]+tblData[[#This Row],[Trade Discounts]]+tblData[[#This Row],[Returns]]</f>
        <v>2165</v>
      </c>
      <c r="AG1285" s="74">
        <f>tblData[[#This Row],[Material Cost]]+tblData[[#This Row],[Conversion Cost]]+tblData[[#This Row],[Inbound Freight]]</f>
        <v>-930</v>
      </c>
      <c r="AH1285" s="74">
        <f>tblData[[#This Row],[Net Revenue]]+tblData[[#This Row],[COGS]]</f>
        <v>1235</v>
      </c>
      <c r="AI1285" s="74">
        <f>tblData[[#This Row],[Advertising]]+tblData[[#This Row],[Promotions]]</f>
        <v>-139</v>
      </c>
      <c r="AJ1285" s="74">
        <f>tblData[[#This Row],[Outbound Logistics]]+tblData[[#This Row],[Direct Selling]]</f>
        <v>-246</v>
      </c>
      <c r="AK1285" s="74">
        <f>tblData[[#This Row],[Gross Profit]]+tblData[[#This Row],[AP Spend]]+tblData[[#This Row],[Cost to Serve]]</f>
        <v>850</v>
      </c>
    </row>
    <row r="1286" spans="2:37" x14ac:dyDescent="0.25">
      <c r="B1286" s="71" t="s">
        <v>51</v>
      </c>
      <c r="C1286" s="71">
        <v>2026</v>
      </c>
      <c r="D1286" s="71">
        <v>10</v>
      </c>
      <c r="E1286" s="71" t="s">
        <v>46</v>
      </c>
      <c r="F1286" s="71" t="s">
        <v>40</v>
      </c>
      <c r="G1286" s="72">
        <v>266.60000000000002</v>
      </c>
      <c r="H1286" s="73">
        <v>1869</v>
      </c>
      <c r="I1286" s="73">
        <v>-203</v>
      </c>
      <c r="J1286" s="73">
        <v>-75</v>
      </c>
      <c r="K1286" s="73">
        <v>-544</v>
      </c>
      <c r="L1286" s="73">
        <v>-135</v>
      </c>
      <c r="M1286" s="73">
        <v>-81</v>
      </c>
      <c r="N1286" s="73">
        <v>-44</v>
      </c>
      <c r="O1286" s="73">
        <v>-25</v>
      </c>
      <c r="P1286" s="73">
        <v>-143</v>
      </c>
      <c r="Q1286" s="73">
        <v>-37</v>
      </c>
      <c r="R1286" s="73">
        <v>0</v>
      </c>
      <c r="S1286" s="73">
        <v>0</v>
      </c>
      <c r="T1286" s="73">
        <v>0</v>
      </c>
      <c r="U1286" s="73">
        <v>0</v>
      </c>
      <c r="V1286" s="73">
        <v>0</v>
      </c>
      <c r="W1286" s="73">
        <v>0</v>
      </c>
      <c r="X1286" s="73">
        <v>0</v>
      </c>
      <c r="Y1286" s="73">
        <v>0</v>
      </c>
      <c r="Z1286" s="73">
        <v>1299</v>
      </c>
      <c r="AA1286" s="73">
        <v>1815</v>
      </c>
      <c r="AB1286" s="73">
        <v>0</v>
      </c>
      <c r="AC1286" s="73">
        <v>0</v>
      </c>
      <c r="AD1286" s="73">
        <v>0</v>
      </c>
      <c r="AE1286" s="73">
        <v>0</v>
      </c>
      <c r="AF1286" s="74">
        <f>tblData[[#This Row],[Gross Sales]]+tblData[[#This Row],[Trade Discounts]]+tblData[[#This Row],[Returns]]</f>
        <v>1591</v>
      </c>
      <c r="AG1286" s="74">
        <f>tblData[[#This Row],[Material Cost]]+tblData[[#This Row],[Conversion Cost]]+tblData[[#This Row],[Inbound Freight]]</f>
        <v>-760</v>
      </c>
      <c r="AH1286" s="74">
        <f>tblData[[#This Row],[Net Revenue]]+tblData[[#This Row],[COGS]]</f>
        <v>831</v>
      </c>
      <c r="AI1286" s="74">
        <f>tblData[[#This Row],[Advertising]]+tblData[[#This Row],[Promotions]]</f>
        <v>-69</v>
      </c>
      <c r="AJ1286" s="74">
        <f>tblData[[#This Row],[Outbound Logistics]]+tblData[[#This Row],[Direct Selling]]</f>
        <v>-180</v>
      </c>
      <c r="AK1286" s="74">
        <f>tblData[[#This Row],[Gross Profit]]+tblData[[#This Row],[AP Spend]]+tblData[[#This Row],[Cost to Serve]]</f>
        <v>582</v>
      </c>
    </row>
    <row r="1287" spans="2:37" x14ac:dyDescent="0.25">
      <c r="B1287" s="71" t="s">
        <v>51</v>
      </c>
      <c r="C1287" s="71">
        <v>2026</v>
      </c>
      <c r="D1287" s="71">
        <v>10</v>
      </c>
      <c r="E1287" s="71" t="s">
        <v>46</v>
      </c>
      <c r="F1287" s="71" t="s">
        <v>41</v>
      </c>
      <c r="G1287" s="72">
        <v>135.1</v>
      </c>
      <c r="H1287" s="73">
        <v>1491</v>
      </c>
      <c r="I1287" s="73">
        <v>-162</v>
      </c>
      <c r="J1287" s="73">
        <v>-60</v>
      </c>
      <c r="K1287" s="73">
        <v>-358</v>
      </c>
      <c r="L1287" s="73">
        <v>-89</v>
      </c>
      <c r="M1287" s="73">
        <v>-53</v>
      </c>
      <c r="N1287" s="73">
        <v>-94</v>
      </c>
      <c r="O1287" s="73">
        <v>-54</v>
      </c>
      <c r="P1287" s="73">
        <v>-114</v>
      </c>
      <c r="Q1287" s="73">
        <v>-30</v>
      </c>
      <c r="R1287" s="73">
        <v>0</v>
      </c>
      <c r="S1287" s="73">
        <v>0</v>
      </c>
      <c r="T1287" s="73">
        <v>0</v>
      </c>
      <c r="U1287" s="73">
        <v>0</v>
      </c>
      <c r="V1287" s="73">
        <v>0</v>
      </c>
      <c r="W1287" s="73">
        <v>0</v>
      </c>
      <c r="X1287" s="73">
        <v>0</v>
      </c>
      <c r="Y1287" s="73">
        <v>0</v>
      </c>
      <c r="Z1287" s="73">
        <v>1036</v>
      </c>
      <c r="AA1287" s="73">
        <v>1420</v>
      </c>
      <c r="AB1287" s="73">
        <v>0</v>
      </c>
      <c r="AC1287" s="73">
        <v>0</v>
      </c>
      <c r="AD1287" s="73">
        <v>0</v>
      </c>
      <c r="AE1287" s="73">
        <v>0</v>
      </c>
      <c r="AF1287" s="74">
        <f>tblData[[#This Row],[Gross Sales]]+tblData[[#This Row],[Trade Discounts]]+tblData[[#This Row],[Returns]]</f>
        <v>1269</v>
      </c>
      <c r="AG1287" s="74">
        <f>tblData[[#This Row],[Material Cost]]+tblData[[#This Row],[Conversion Cost]]+tblData[[#This Row],[Inbound Freight]]</f>
        <v>-500</v>
      </c>
      <c r="AH1287" s="74">
        <f>tblData[[#This Row],[Net Revenue]]+tblData[[#This Row],[COGS]]</f>
        <v>769</v>
      </c>
      <c r="AI1287" s="74">
        <f>tblData[[#This Row],[Advertising]]+tblData[[#This Row],[Promotions]]</f>
        <v>-148</v>
      </c>
      <c r="AJ1287" s="74">
        <f>tblData[[#This Row],[Outbound Logistics]]+tblData[[#This Row],[Direct Selling]]</f>
        <v>-144</v>
      </c>
      <c r="AK1287" s="74">
        <f>tblData[[#This Row],[Gross Profit]]+tblData[[#This Row],[AP Spend]]+tblData[[#This Row],[Cost to Serve]]</f>
        <v>477</v>
      </c>
    </row>
    <row r="1288" spans="2:37" x14ac:dyDescent="0.25">
      <c r="B1288" s="71" t="s">
        <v>51</v>
      </c>
      <c r="C1288" s="71">
        <v>2026</v>
      </c>
      <c r="D1288" s="71">
        <v>10</v>
      </c>
      <c r="E1288" s="71" t="s">
        <v>46</v>
      </c>
      <c r="F1288" s="71" t="s">
        <v>42</v>
      </c>
      <c r="G1288" s="72">
        <v>165.3</v>
      </c>
      <c r="H1288" s="73">
        <v>991</v>
      </c>
      <c r="I1288" s="73">
        <v>-108</v>
      </c>
      <c r="J1288" s="73">
        <v>-40</v>
      </c>
      <c r="K1288" s="73">
        <v>-317</v>
      </c>
      <c r="L1288" s="73">
        <v>-78</v>
      </c>
      <c r="M1288" s="73">
        <v>-47</v>
      </c>
      <c r="N1288" s="73">
        <v>-18</v>
      </c>
      <c r="O1288" s="73">
        <v>-11</v>
      </c>
      <c r="P1288" s="73">
        <v>-76</v>
      </c>
      <c r="Q1288" s="73">
        <v>-20</v>
      </c>
      <c r="R1288" s="73">
        <v>0</v>
      </c>
      <c r="S1288" s="73">
        <v>0</v>
      </c>
      <c r="T1288" s="73">
        <v>0</v>
      </c>
      <c r="U1288" s="73">
        <v>0</v>
      </c>
      <c r="V1288" s="73">
        <v>0</v>
      </c>
      <c r="W1288" s="73">
        <v>0</v>
      </c>
      <c r="X1288" s="73">
        <v>0</v>
      </c>
      <c r="Y1288" s="73">
        <v>0</v>
      </c>
      <c r="Z1288" s="73">
        <v>690</v>
      </c>
      <c r="AA1288" s="73">
        <v>1651</v>
      </c>
      <c r="AB1288" s="73">
        <v>0</v>
      </c>
      <c r="AC1288" s="73">
        <v>0</v>
      </c>
      <c r="AD1288" s="73">
        <v>0</v>
      </c>
      <c r="AE1288" s="73">
        <v>0</v>
      </c>
      <c r="AF1288" s="74">
        <f>tblData[[#This Row],[Gross Sales]]+tblData[[#This Row],[Trade Discounts]]+tblData[[#This Row],[Returns]]</f>
        <v>843</v>
      </c>
      <c r="AG1288" s="74">
        <f>tblData[[#This Row],[Material Cost]]+tblData[[#This Row],[Conversion Cost]]+tblData[[#This Row],[Inbound Freight]]</f>
        <v>-442</v>
      </c>
      <c r="AH1288" s="74">
        <f>tblData[[#This Row],[Net Revenue]]+tblData[[#This Row],[COGS]]</f>
        <v>401</v>
      </c>
      <c r="AI1288" s="74">
        <f>tblData[[#This Row],[Advertising]]+tblData[[#This Row],[Promotions]]</f>
        <v>-29</v>
      </c>
      <c r="AJ1288" s="74">
        <f>tblData[[#This Row],[Outbound Logistics]]+tblData[[#This Row],[Direct Selling]]</f>
        <v>-96</v>
      </c>
      <c r="AK1288" s="74">
        <f>tblData[[#This Row],[Gross Profit]]+tblData[[#This Row],[AP Spend]]+tblData[[#This Row],[Cost to Serve]]</f>
        <v>276</v>
      </c>
    </row>
    <row r="1289" spans="2:37" x14ac:dyDescent="0.25">
      <c r="B1289" s="71" t="s">
        <v>51</v>
      </c>
      <c r="C1289" s="71">
        <v>2026</v>
      </c>
      <c r="D1289" s="71">
        <v>10</v>
      </c>
      <c r="E1289" s="71" t="s">
        <v>46</v>
      </c>
      <c r="F1289" s="71" t="s">
        <v>43</v>
      </c>
      <c r="G1289" s="72">
        <v>31.8</v>
      </c>
      <c r="H1289" s="73">
        <v>574</v>
      </c>
      <c r="I1289" s="73">
        <v>-62</v>
      </c>
      <c r="J1289" s="73">
        <v>-23</v>
      </c>
      <c r="K1289" s="73">
        <v>-159</v>
      </c>
      <c r="L1289" s="73">
        <v>-39</v>
      </c>
      <c r="M1289" s="73">
        <v>-24</v>
      </c>
      <c r="N1289" s="73">
        <v>-51</v>
      </c>
      <c r="O1289" s="73">
        <v>-29</v>
      </c>
      <c r="P1289" s="73">
        <v>-44</v>
      </c>
      <c r="Q1289" s="73">
        <v>-11</v>
      </c>
      <c r="R1289" s="73">
        <v>0</v>
      </c>
      <c r="S1289" s="73">
        <v>0</v>
      </c>
      <c r="T1289" s="73">
        <v>0</v>
      </c>
      <c r="U1289" s="73">
        <v>0</v>
      </c>
      <c r="V1289" s="73">
        <v>0</v>
      </c>
      <c r="W1289" s="73">
        <v>0</v>
      </c>
      <c r="X1289" s="73">
        <v>0</v>
      </c>
      <c r="Y1289" s="73">
        <v>0</v>
      </c>
      <c r="Z1289" s="73">
        <v>400</v>
      </c>
      <c r="AA1289" s="73">
        <v>833</v>
      </c>
      <c r="AB1289" s="73">
        <v>0</v>
      </c>
      <c r="AC1289" s="73">
        <v>0</v>
      </c>
      <c r="AD1289" s="73">
        <v>0</v>
      </c>
      <c r="AE1289" s="73">
        <v>0</v>
      </c>
      <c r="AF1289" s="74">
        <f>tblData[[#This Row],[Gross Sales]]+tblData[[#This Row],[Trade Discounts]]+tblData[[#This Row],[Returns]]</f>
        <v>489</v>
      </c>
      <c r="AG1289" s="74">
        <f>tblData[[#This Row],[Material Cost]]+tblData[[#This Row],[Conversion Cost]]+tblData[[#This Row],[Inbound Freight]]</f>
        <v>-222</v>
      </c>
      <c r="AH1289" s="74">
        <f>tblData[[#This Row],[Net Revenue]]+tblData[[#This Row],[COGS]]</f>
        <v>267</v>
      </c>
      <c r="AI1289" s="74">
        <f>tblData[[#This Row],[Advertising]]+tblData[[#This Row],[Promotions]]</f>
        <v>-80</v>
      </c>
      <c r="AJ1289" s="74">
        <f>tblData[[#This Row],[Outbound Logistics]]+tblData[[#This Row],[Direct Selling]]</f>
        <v>-55</v>
      </c>
      <c r="AK1289" s="74">
        <f>tblData[[#This Row],[Gross Profit]]+tblData[[#This Row],[AP Spend]]+tblData[[#This Row],[Cost to Serve]]</f>
        <v>132</v>
      </c>
    </row>
    <row r="1290" spans="2:37" x14ac:dyDescent="0.25">
      <c r="B1290" s="71" t="s">
        <v>51</v>
      </c>
      <c r="C1290" s="71">
        <v>2026</v>
      </c>
      <c r="D1290" s="71">
        <v>10</v>
      </c>
      <c r="E1290" s="71" t="s">
        <v>47</v>
      </c>
      <c r="F1290" s="71" t="s">
        <v>38</v>
      </c>
      <c r="G1290" s="72">
        <v>78.8</v>
      </c>
      <c r="H1290" s="73">
        <v>1113</v>
      </c>
      <c r="I1290" s="73">
        <v>-33</v>
      </c>
      <c r="J1290" s="73">
        <v>-56</v>
      </c>
      <c r="K1290" s="73">
        <v>-243</v>
      </c>
      <c r="L1290" s="73">
        <v>-60</v>
      </c>
      <c r="M1290" s="73">
        <v>-36</v>
      </c>
      <c r="N1290" s="73">
        <v>-58</v>
      </c>
      <c r="O1290" s="73">
        <v>-33</v>
      </c>
      <c r="P1290" s="73">
        <v>-136</v>
      </c>
      <c r="Q1290" s="73">
        <v>-45</v>
      </c>
      <c r="R1290" s="73">
        <v>0</v>
      </c>
      <c r="S1290" s="73">
        <v>0</v>
      </c>
      <c r="T1290" s="73">
        <v>0</v>
      </c>
      <c r="U1290" s="73">
        <v>0</v>
      </c>
      <c r="V1290" s="73">
        <v>0</v>
      </c>
      <c r="W1290" s="73">
        <v>0</v>
      </c>
      <c r="X1290" s="73">
        <v>0</v>
      </c>
      <c r="Y1290" s="73">
        <v>0</v>
      </c>
      <c r="Z1290" s="73">
        <v>154</v>
      </c>
      <c r="AA1290" s="73">
        <v>1014</v>
      </c>
      <c r="AB1290" s="73">
        <v>0</v>
      </c>
      <c r="AC1290" s="73">
        <v>0</v>
      </c>
      <c r="AD1290" s="73">
        <v>0</v>
      </c>
      <c r="AE1290" s="73">
        <v>0</v>
      </c>
      <c r="AF1290" s="74">
        <f>tblData[[#This Row],[Gross Sales]]+tblData[[#This Row],[Trade Discounts]]+tblData[[#This Row],[Returns]]</f>
        <v>1024</v>
      </c>
      <c r="AG1290" s="74">
        <f>tblData[[#This Row],[Material Cost]]+tblData[[#This Row],[Conversion Cost]]+tblData[[#This Row],[Inbound Freight]]</f>
        <v>-339</v>
      </c>
      <c r="AH1290" s="74">
        <f>tblData[[#This Row],[Net Revenue]]+tblData[[#This Row],[COGS]]</f>
        <v>685</v>
      </c>
      <c r="AI1290" s="74">
        <f>tblData[[#This Row],[Advertising]]+tblData[[#This Row],[Promotions]]</f>
        <v>-91</v>
      </c>
      <c r="AJ1290" s="74">
        <f>tblData[[#This Row],[Outbound Logistics]]+tblData[[#This Row],[Direct Selling]]</f>
        <v>-181</v>
      </c>
      <c r="AK1290" s="74">
        <f>tblData[[#This Row],[Gross Profit]]+tblData[[#This Row],[AP Spend]]+tblData[[#This Row],[Cost to Serve]]</f>
        <v>413</v>
      </c>
    </row>
    <row r="1291" spans="2:37" x14ac:dyDescent="0.25">
      <c r="B1291" s="71" t="s">
        <v>51</v>
      </c>
      <c r="C1291" s="71">
        <v>2026</v>
      </c>
      <c r="D1291" s="71">
        <v>10</v>
      </c>
      <c r="E1291" s="71" t="s">
        <v>47</v>
      </c>
      <c r="F1291" s="71" t="s">
        <v>39</v>
      </c>
      <c r="G1291" s="72">
        <v>103.4</v>
      </c>
      <c r="H1291" s="73">
        <v>936</v>
      </c>
      <c r="I1291" s="73">
        <v>-28</v>
      </c>
      <c r="J1291" s="73">
        <v>-47</v>
      </c>
      <c r="K1291" s="73">
        <v>-245</v>
      </c>
      <c r="L1291" s="73">
        <v>-61</v>
      </c>
      <c r="M1291" s="73">
        <v>-37</v>
      </c>
      <c r="N1291" s="73">
        <v>-33</v>
      </c>
      <c r="O1291" s="73">
        <v>-19</v>
      </c>
      <c r="P1291" s="73">
        <v>-115</v>
      </c>
      <c r="Q1291" s="73">
        <v>-37</v>
      </c>
      <c r="R1291" s="73">
        <v>0</v>
      </c>
      <c r="S1291" s="73">
        <v>0</v>
      </c>
      <c r="T1291" s="73">
        <v>0</v>
      </c>
      <c r="U1291" s="73">
        <v>0</v>
      </c>
      <c r="V1291" s="73">
        <v>0</v>
      </c>
      <c r="W1291" s="73">
        <v>0</v>
      </c>
      <c r="X1291" s="73">
        <v>0</v>
      </c>
      <c r="Y1291" s="73">
        <v>0</v>
      </c>
      <c r="Z1291" s="73">
        <v>130</v>
      </c>
      <c r="AA1291" s="73">
        <v>868</v>
      </c>
      <c r="AB1291" s="73">
        <v>0</v>
      </c>
      <c r="AC1291" s="73">
        <v>0</v>
      </c>
      <c r="AD1291" s="73">
        <v>0</v>
      </c>
      <c r="AE1291" s="73">
        <v>0</v>
      </c>
      <c r="AF1291" s="74">
        <f>tblData[[#This Row],[Gross Sales]]+tblData[[#This Row],[Trade Discounts]]+tblData[[#This Row],[Returns]]</f>
        <v>861</v>
      </c>
      <c r="AG1291" s="74">
        <f>tblData[[#This Row],[Material Cost]]+tblData[[#This Row],[Conversion Cost]]+tblData[[#This Row],[Inbound Freight]]</f>
        <v>-343</v>
      </c>
      <c r="AH1291" s="74">
        <f>tblData[[#This Row],[Net Revenue]]+tblData[[#This Row],[COGS]]</f>
        <v>518</v>
      </c>
      <c r="AI1291" s="74">
        <f>tblData[[#This Row],[Advertising]]+tblData[[#This Row],[Promotions]]</f>
        <v>-52</v>
      </c>
      <c r="AJ1291" s="74">
        <f>tblData[[#This Row],[Outbound Logistics]]+tblData[[#This Row],[Direct Selling]]</f>
        <v>-152</v>
      </c>
      <c r="AK1291" s="74">
        <f>tblData[[#This Row],[Gross Profit]]+tblData[[#This Row],[AP Spend]]+tblData[[#This Row],[Cost to Serve]]</f>
        <v>314</v>
      </c>
    </row>
    <row r="1292" spans="2:37" x14ac:dyDescent="0.25">
      <c r="B1292" s="71" t="s">
        <v>51</v>
      </c>
      <c r="C1292" s="71">
        <v>2026</v>
      </c>
      <c r="D1292" s="71">
        <v>10</v>
      </c>
      <c r="E1292" s="71" t="s">
        <v>47</v>
      </c>
      <c r="F1292" s="71" t="s">
        <v>40</v>
      </c>
      <c r="G1292" s="72">
        <v>98.5</v>
      </c>
      <c r="H1292" s="73">
        <v>692</v>
      </c>
      <c r="I1292" s="73">
        <v>-21</v>
      </c>
      <c r="J1292" s="73">
        <v>-35</v>
      </c>
      <c r="K1292" s="73">
        <v>-201</v>
      </c>
      <c r="L1292" s="73">
        <v>-50</v>
      </c>
      <c r="M1292" s="73">
        <v>-30</v>
      </c>
      <c r="N1292" s="73">
        <v>-16</v>
      </c>
      <c r="O1292" s="73">
        <v>-9</v>
      </c>
      <c r="P1292" s="73">
        <v>-85</v>
      </c>
      <c r="Q1292" s="73">
        <v>-28</v>
      </c>
      <c r="R1292" s="73">
        <v>0</v>
      </c>
      <c r="S1292" s="73">
        <v>0</v>
      </c>
      <c r="T1292" s="73">
        <v>0</v>
      </c>
      <c r="U1292" s="73">
        <v>0</v>
      </c>
      <c r="V1292" s="73">
        <v>0</v>
      </c>
      <c r="W1292" s="73">
        <v>0</v>
      </c>
      <c r="X1292" s="73">
        <v>0</v>
      </c>
      <c r="Y1292" s="73">
        <v>0</v>
      </c>
      <c r="Z1292" s="73">
        <v>96</v>
      </c>
      <c r="AA1292" s="73">
        <v>672</v>
      </c>
      <c r="AB1292" s="73">
        <v>0</v>
      </c>
      <c r="AC1292" s="73">
        <v>0</v>
      </c>
      <c r="AD1292" s="73">
        <v>0</v>
      </c>
      <c r="AE1292" s="73">
        <v>0</v>
      </c>
      <c r="AF1292" s="74">
        <f>tblData[[#This Row],[Gross Sales]]+tblData[[#This Row],[Trade Discounts]]+tblData[[#This Row],[Returns]]</f>
        <v>636</v>
      </c>
      <c r="AG1292" s="74">
        <f>tblData[[#This Row],[Material Cost]]+tblData[[#This Row],[Conversion Cost]]+tblData[[#This Row],[Inbound Freight]]</f>
        <v>-281</v>
      </c>
      <c r="AH1292" s="74">
        <f>tblData[[#This Row],[Net Revenue]]+tblData[[#This Row],[COGS]]</f>
        <v>355</v>
      </c>
      <c r="AI1292" s="74">
        <f>tblData[[#This Row],[Advertising]]+tblData[[#This Row],[Promotions]]</f>
        <v>-25</v>
      </c>
      <c r="AJ1292" s="74">
        <f>tblData[[#This Row],[Outbound Logistics]]+tblData[[#This Row],[Direct Selling]]</f>
        <v>-113</v>
      </c>
      <c r="AK1292" s="74">
        <f>tblData[[#This Row],[Gross Profit]]+tblData[[#This Row],[AP Spend]]+tblData[[#This Row],[Cost to Serve]]</f>
        <v>217</v>
      </c>
    </row>
    <row r="1293" spans="2:37" x14ac:dyDescent="0.25">
      <c r="B1293" s="71" t="s">
        <v>51</v>
      </c>
      <c r="C1293" s="71">
        <v>2026</v>
      </c>
      <c r="D1293" s="71">
        <v>10</v>
      </c>
      <c r="E1293" s="71" t="s">
        <v>47</v>
      </c>
      <c r="F1293" s="71" t="s">
        <v>41</v>
      </c>
      <c r="G1293" s="72">
        <v>50</v>
      </c>
      <c r="H1293" s="73">
        <v>553</v>
      </c>
      <c r="I1293" s="73">
        <v>-17</v>
      </c>
      <c r="J1293" s="73">
        <v>-28</v>
      </c>
      <c r="K1293" s="73">
        <v>-133</v>
      </c>
      <c r="L1293" s="73">
        <v>-33</v>
      </c>
      <c r="M1293" s="73">
        <v>-20</v>
      </c>
      <c r="N1293" s="73">
        <v>-35</v>
      </c>
      <c r="O1293" s="73">
        <v>-20</v>
      </c>
      <c r="P1293" s="73">
        <v>-68</v>
      </c>
      <c r="Q1293" s="73">
        <v>-22</v>
      </c>
      <c r="R1293" s="73">
        <v>0</v>
      </c>
      <c r="S1293" s="73">
        <v>0</v>
      </c>
      <c r="T1293" s="73">
        <v>0</v>
      </c>
      <c r="U1293" s="73">
        <v>0</v>
      </c>
      <c r="V1293" s="73">
        <v>0</v>
      </c>
      <c r="W1293" s="73">
        <v>0</v>
      </c>
      <c r="X1293" s="73">
        <v>0</v>
      </c>
      <c r="Y1293" s="73">
        <v>0</v>
      </c>
      <c r="Z1293" s="73">
        <v>77</v>
      </c>
      <c r="AA1293" s="73">
        <v>524</v>
      </c>
      <c r="AB1293" s="73">
        <v>0</v>
      </c>
      <c r="AC1293" s="73">
        <v>0</v>
      </c>
      <c r="AD1293" s="73">
        <v>0</v>
      </c>
      <c r="AE1293" s="73">
        <v>0</v>
      </c>
      <c r="AF1293" s="74">
        <f>tblData[[#This Row],[Gross Sales]]+tblData[[#This Row],[Trade Discounts]]+tblData[[#This Row],[Returns]]</f>
        <v>508</v>
      </c>
      <c r="AG1293" s="74">
        <f>tblData[[#This Row],[Material Cost]]+tblData[[#This Row],[Conversion Cost]]+tblData[[#This Row],[Inbound Freight]]</f>
        <v>-186</v>
      </c>
      <c r="AH1293" s="74">
        <f>tblData[[#This Row],[Net Revenue]]+tblData[[#This Row],[COGS]]</f>
        <v>322</v>
      </c>
      <c r="AI1293" s="74">
        <f>tblData[[#This Row],[Advertising]]+tblData[[#This Row],[Promotions]]</f>
        <v>-55</v>
      </c>
      <c r="AJ1293" s="74">
        <f>tblData[[#This Row],[Outbound Logistics]]+tblData[[#This Row],[Direct Selling]]</f>
        <v>-90</v>
      </c>
      <c r="AK1293" s="74">
        <f>tblData[[#This Row],[Gross Profit]]+tblData[[#This Row],[AP Spend]]+tblData[[#This Row],[Cost to Serve]]</f>
        <v>177</v>
      </c>
    </row>
    <row r="1294" spans="2:37" x14ac:dyDescent="0.25">
      <c r="B1294" s="71" t="s">
        <v>51</v>
      </c>
      <c r="C1294" s="71">
        <v>2026</v>
      </c>
      <c r="D1294" s="71">
        <v>10</v>
      </c>
      <c r="E1294" s="71" t="s">
        <v>47</v>
      </c>
      <c r="F1294" s="71" t="s">
        <v>42</v>
      </c>
      <c r="G1294" s="72">
        <v>61</v>
      </c>
      <c r="H1294" s="73">
        <v>367</v>
      </c>
      <c r="I1294" s="73">
        <v>-11</v>
      </c>
      <c r="J1294" s="73">
        <v>-18</v>
      </c>
      <c r="K1294" s="73">
        <v>-117</v>
      </c>
      <c r="L1294" s="73">
        <v>-29</v>
      </c>
      <c r="M1294" s="73">
        <v>-18</v>
      </c>
      <c r="N1294" s="73">
        <v>-7</v>
      </c>
      <c r="O1294" s="73">
        <v>-4</v>
      </c>
      <c r="P1294" s="73">
        <v>-45</v>
      </c>
      <c r="Q1294" s="73">
        <v>-15</v>
      </c>
      <c r="R1294" s="73">
        <v>0</v>
      </c>
      <c r="S1294" s="73">
        <v>0</v>
      </c>
      <c r="T1294" s="73">
        <v>0</v>
      </c>
      <c r="U1294" s="73">
        <v>0</v>
      </c>
      <c r="V1294" s="73">
        <v>0</v>
      </c>
      <c r="W1294" s="73">
        <v>0</v>
      </c>
      <c r="X1294" s="73">
        <v>0</v>
      </c>
      <c r="Y1294" s="73">
        <v>0</v>
      </c>
      <c r="Z1294" s="73">
        <v>51</v>
      </c>
      <c r="AA1294" s="73">
        <v>609</v>
      </c>
      <c r="AB1294" s="73">
        <v>0</v>
      </c>
      <c r="AC1294" s="73">
        <v>0</v>
      </c>
      <c r="AD1294" s="73">
        <v>0</v>
      </c>
      <c r="AE1294" s="73">
        <v>0</v>
      </c>
      <c r="AF1294" s="74">
        <f>tblData[[#This Row],[Gross Sales]]+tblData[[#This Row],[Trade Discounts]]+tblData[[#This Row],[Returns]]</f>
        <v>338</v>
      </c>
      <c r="AG1294" s="74">
        <f>tblData[[#This Row],[Material Cost]]+tblData[[#This Row],[Conversion Cost]]+tblData[[#This Row],[Inbound Freight]]</f>
        <v>-164</v>
      </c>
      <c r="AH1294" s="74">
        <f>tblData[[#This Row],[Net Revenue]]+tblData[[#This Row],[COGS]]</f>
        <v>174</v>
      </c>
      <c r="AI1294" s="74">
        <f>tblData[[#This Row],[Advertising]]+tblData[[#This Row],[Promotions]]</f>
        <v>-11</v>
      </c>
      <c r="AJ1294" s="74">
        <f>tblData[[#This Row],[Outbound Logistics]]+tblData[[#This Row],[Direct Selling]]</f>
        <v>-60</v>
      </c>
      <c r="AK1294" s="74">
        <f>tblData[[#This Row],[Gross Profit]]+tblData[[#This Row],[AP Spend]]+tblData[[#This Row],[Cost to Serve]]</f>
        <v>103</v>
      </c>
    </row>
    <row r="1295" spans="2:37" x14ac:dyDescent="0.25">
      <c r="B1295" s="71" t="s">
        <v>51</v>
      </c>
      <c r="C1295" s="71">
        <v>2026</v>
      </c>
      <c r="D1295" s="71">
        <v>10</v>
      </c>
      <c r="E1295" s="71" t="s">
        <v>47</v>
      </c>
      <c r="F1295" s="71" t="s">
        <v>43</v>
      </c>
      <c r="G1295" s="72">
        <v>11.7</v>
      </c>
      <c r="H1295" s="73">
        <v>212</v>
      </c>
      <c r="I1295" s="73">
        <v>-6</v>
      </c>
      <c r="J1295" s="73">
        <v>-11</v>
      </c>
      <c r="K1295" s="73">
        <v>-59</v>
      </c>
      <c r="L1295" s="73">
        <v>-15</v>
      </c>
      <c r="M1295" s="73">
        <v>-9</v>
      </c>
      <c r="N1295" s="73">
        <v>-19</v>
      </c>
      <c r="O1295" s="73">
        <v>-11</v>
      </c>
      <c r="P1295" s="73">
        <v>-26</v>
      </c>
      <c r="Q1295" s="73">
        <v>-8</v>
      </c>
      <c r="R1295" s="73">
        <v>0</v>
      </c>
      <c r="S1295" s="73">
        <v>0</v>
      </c>
      <c r="T1295" s="73">
        <v>0</v>
      </c>
      <c r="U1295" s="73">
        <v>0</v>
      </c>
      <c r="V1295" s="73">
        <v>0</v>
      </c>
      <c r="W1295" s="73">
        <v>0</v>
      </c>
      <c r="X1295" s="73">
        <v>0</v>
      </c>
      <c r="Y1295" s="73">
        <v>0</v>
      </c>
      <c r="Z1295" s="73">
        <v>29</v>
      </c>
      <c r="AA1295" s="73">
        <v>307</v>
      </c>
      <c r="AB1295" s="73">
        <v>0</v>
      </c>
      <c r="AC1295" s="73">
        <v>0</v>
      </c>
      <c r="AD1295" s="73">
        <v>0</v>
      </c>
      <c r="AE1295" s="73">
        <v>0</v>
      </c>
      <c r="AF1295" s="74">
        <f>tblData[[#This Row],[Gross Sales]]+tblData[[#This Row],[Trade Discounts]]+tblData[[#This Row],[Returns]]</f>
        <v>195</v>
      </c>
      <c r="AG1295" s="74">
        <f>tblData[[#This Row],[Material Cost]]+tblData[[#This Row],[Conversion Cost]]+tblData[[#This Row],[Inbound Freight]]</f>
        <v>-83</v>
      </c>
      <c r="AH1295" s="74">
        <f>tblData[[#This Row],[Net Revenue]]+tblData[[#This Row],[COGS]]</f>
        <v>112</v>
      </c>
      <c r="AI1295" s="74">
        <f>tblData[[#This Row],[Advertising]]+tblData[[#This Row],[Promotions]]</f>
        <v>-30</v>
      </c>
      <c r="AJ1295" s="74">
        <f>tblData[[#This Row],[Outbound Logistics]]+tblData[[#This Row],[Direct Selling]]</f>
        <v>-34</v>
      </c>
      <c r="AK1295" s="74">
        <f>tblData[[#This Row],[Gross Profit]]+tblData[[#This Row],[AP Spend]]+tblData[[#This Row],[Cost to Serve]]</f>
        <v>48</v>
      </c>
    </row>
    <row r="1296" spans="2:37" x14ac:dyDescent="0.25">
      <c r="B1296" s="71" t="s">
        <v>51</v>
      </c>
      <c r="C1296" s="71">
        <v>2026</v>
      </c>
      <c r="D1296" s="71">
        <v>10</v>
      </c>
      <c r="E1296" s="71" t="s">
        <v>48</v>
      </c>
      <c r="F1296" s="71" t="s">
        <v>38</v>
      </c>
      <c r="G1296" s="72">
        <v>127.6</v>
      </c>
      <c r="H1296" s="73">
        <v>1794</v>
      </c>
      <c r="I1296" s="73">
        <v>-161</v>
      </c>
      <c r="J1296" s="73">
        <v>-18</v>
      </c>
      <c r="K1296" s="73">
        <v>-392</v>
      </c>
      <c r="L1296" s="73">
        <v>-97</v>
      </c>
      <c r="M1296" s="73">
        <v>-58</v>
      </c>
      <c r="N1296" s="73">
        <v>-96</v>
      </c>
      <c r="O1296" s="73">
        <v>-55</v>
      </c>
      <c r="P1296" s="73">
        <v>-55</v>
      </c>
      <c r="Q1296" s="73">
        <v>-27</v>
      </c>
      <c r="R1296" s="73">
        <v>0</v>
      </c>
      <c r="S1296" s="73">
        <v>0</v>
      </c>
      <c r="T1296" s="73">
        <v>0</v>
      </c>
      <c r="U1296" s="73">
        <v>0</v>
      </c>
      <c r="V1296" s="73">
        <v>0</v>
      </c>
      <c r="W1296" s="73">
        <v>0</v>
      </c>
      <c r="X1296" s="73">
        <v>0</v>
      </c>
      <c r="Y1296" s="73">
        <v>0</v>
      </c>
      <c r="Z1296" s="73">
        <v>3514</v>
      </c>
      <c r="AA1296" s="73">
        <v>1637</v>
      </c>
      <c r="AB1296" s="73">
        <v>0</v>
      </c>
      <c r="AC1296" s="73">
        <v>0</v>
      </c>
      <c r="AD1296" s="73">
        <v>0</v>
      </c>
      <c r="AE1296" s="73">
        <v>0</v>
      </c>
      <c r="AF1296" s="74">
        <f>tblData[[#This Row],[Gross Sales]]+tblData[[#This Row],[Trade Discounts]]+tblData[[#This Row],[Returns]]</f>
        <v>1615</v>
      </c>
      <c r="AG1296" s="74">
        <f>tblData[[#This Row],[Material Cost]]+tblData[[#This Row],[Conversion Cost]]+tblData[[#This Row],[Inbound Freight]]</f>
        <v>-547</v>
      </c>
      <c r="AH1296" s="74">
        <f>tblData[[#This Row],[Net Revenue]]+tblData[[#This Row],[COGS]]</f>
        <v>1068</v>
      </c>
      <c r="AI1296" s="74">
        <f>tblData[[#This Row],[Advertising]]+tblData[[#This Row],[Promotions]]</f>
        <v>-151</v>
      </c>
      <c r="AJ1296" s="74">
        <f>tblData[[#This Row],[Outbound Logistics]]+tblData[[#This Row],[Direct Selling]]</f>
        <v>-82</v>
      </c>
      <c r="AK1296" s="74">
        <f>tblData[[#This Row],[Gross Profit]]+tblData[[#This Row],[AP Spend]]+tblData[[#This Row],[Cost to Serve]]</f>
        <v>835</v>
      </c>
    </row>
    <row r="1297" spans="2:37" x14ac:dyDescent="0.25">
      <c r="B1297" s="71" t="s">
        <v>51</v>
      </c>
      <c r="C1297" s="71">
        <v>2026</v>
      </c>
      <c r="D1297" s="71">
        <v>10</v>
      </c>
      <c r="E1297" s="71" t="s">
        <v>48</v>
      </c>
      <c r="F1297" s="71" t="s">
        <v>39</v>
      </c>
      <c r="G1297" s="72">
        <v>165.4</v>
      </c>
      <c r="H1297" s="73">
        <v>1491</v>
      </c>
      <c r="I1297" s="73">
        <v>-134</v>
      </c>
      <c r="J1297" s="73">
        <v>-15</v>
      </c>
      <c r="K1297" s="73">
        <v>-391</v>
      </c>
      <c r="L1297" s="73">
        <v>-97</v>
      </c>
      <c r="M1297" s="73">
        <v>-58</v>
      </c>
      <c r="N1297" s="73">
        <v>-55</v>
      </c>
      <c r="O1297" s="73">
        <v>-32</v>
      </c>
      <c r="P1297" s="73">
        <v>-46</v>
      </c>
      <c r="Q1297" s="73">
        <v>-22</v>
      </c>
      <c r="R1297" s="73">
        <v>0</v>
      </c>
      <c r="S1297" s="73">
        <v>0</v>
      </c>
      <c r="T1297" s="73">
        <v>0</v>
      </c>
      <c r="U1297" s="73">
        <v>0</v>
      </c>
      <c r="V1297" s="73">
        <v>0</v>
      </c>
      <c r="W1297" s="73">
        <v>0</v>
      </c>
      <c r="X1297" s="73">
        <v>0</v>
      </c>
      <c r="Y1297" s="73">
        <v>0</v>
      </c>
      <c r="Z1297" s="73">
        <v>2923</v>
      </c>
      <c r="AA1297" s="73">
        <v>1387</v>
      </c>
      <c r="AB1297" s="73">
        <v>0</v>
      </c>
      <c r="AC1297" s="73">
        <v>0</v>
      </c>
      <c r="AD1297" s="73">
        <v>0</v>
      </c>
      <c r="AE1297" s="73">
        <v>0</v>
      </c>
      <c r="AF1297" s="74">
        <f>tblData[[#This Row],[Gross Sales]]+tblData[[#This Row],[Trade Discounts]]+tblData[[#This Row],[Returns]]</f>
        <v>1342</v>
      </c>
      <c r="AG1297" s="74">
        <f>tblData[[#This Row],[Material Cost]]+tblData[[#This Row],[Conversion Cost]]+tblData[[#This Row],[Inbound Freight]]</f>
        <v>-546</v>
      </c>
      <c r="AH1297" s="74">
        <f>tblData[[#This Row],[Net Revenue]]+tblData[[#This Row],[COGS]]</f>
        <v>796</v>
      </c>
      <c r="AI1297" s="74">
        <f>tblData[[#This Row],[Advertising]]+tblData[[#This Row],[Promotions]]</f>
        <v>-87</v>
      </c>
      <c r="AJ1297" s="74">
        <f>tblData[[#This Row],[Outbound Logistics]]+tblData[[#This Row],[Direct Selling]]</f>
        <v>-68</v>
      </c>
      <c r="AK1297" s="74">
        <f>tblData[[#This Row],[Gross Profit]]+tblData[[#This Row],[AP Spend]]+tblData[[#This Row],[Cost to Serve]]</f>
        <v>641</v>
      </c>
    </row>
    <row r="1298" spans="2:37" x14ac:dyDescent="0.25">
      <c r="B1298" s="71" t="s">
        <v>51</v>
      </c>
      <c r="C1298" s="71">
        <v>2026</v>
      </c>
      <c r="D1298" s="71">
        <v>10</v>
      </c>
      <c r="E1298" s="71" t="s">
        <v>48</v>
      </c>
      <c r="F1298" s="71" t="s">
        <v>40</v>
      </c>
      <c r="G1298" s="72">
        <v>159.5</v>
      </c>
      <c r="H1298" s="73">
        <v>1117</v>
      </c>
      <c r="I1298" s="73">
        <v>-100</v>
      </c>
      <c r="J1298" s="73">
        <v>-11</v>
      </c>
      <c r="K1298" s="73">
        <v>-325</v>
      </c>
      <c r="L1298" s="73">
        <v>-80</v>
      </c>
      <c r="M1298" s="73">
        <v>-49</v>
      </c>
      <c r="N1298" s="73">
        <v>-27</v>
      </c>
      <c r="O1298" s="73">
        <v>-16</v>
      </c>
      <c r="P1298" s="73">
        <v>-34</v>
      </c>
      <c r="Q1298" s="73">
        <v>-17</v>
      </c>
      <c r="R1298" s="73">
        <v>0</v>
      </c>
      <c r="S1298" s="73">
        <v>0</v>
      </c>
      <c r="T1298" s="73">
        <v>0</v>
      </c>
      <c r="U1298" s="73">
        <v>0</v>
      </c>
      <c r="V1298" s="73">
        <v>0</v>
      </c>
      <c r="W1298" s="73">
        <v>0</v>
      </c>
      <c r="X1298" s="73">
        <v>0</v>
      </c>
      <c r="Y1298" s="73">
        <v>0</v>
      </c>
      <c r="Z1298" s="73">
        <v>2180</v>
      </c>
      <c r="AA1298" s="73">
        <v>1081</v>
      </c>
      <c r="AB1298" s="73">
        <v>0</v>
      </c>
      <c r="AC1298" s="73">
        <v>0</v>
      </c>
      <c r="AD1298" s="73">
        <v>0</v>
      </c>
      <c r="AE1298" s="73">
        <v>0</v>
      </c>
      <c r="AF1298" s="74">
        <f>tblData[[#This Row],[Gross Sales]]+tblData[[#This Row],[Trade Discounts]]+tblData[[#This Row],[Returns]]</f>
        <v>1006</v>
      </c>
      <c r="AG1298" s="74">
        <f>tblData[[#This Row],[Material Cost]]+tblData[[#This Row],[Conversion Cost]]+tblData[[#This Row],[Inbound Freight]]</f>
        <v>-454</v>
      </c>
      <c r="AH1298" s="74">
        <f>tblData[[#This Row],[Net Revenue]]+tblData[[#This Row],[COGS]]</f>
        <v>552</v>
      </c>
      <c r="AI1298" s="74">
        <f>tblData[[#This Row],[Advertising]]+tblData[[#This Row],[Promotions]]</f>
        <v>-43</v>
      </c>
      <c r="AJ1298" s="74">
        <f>tblData[[#This Row],[Outbound Logistics]]+tblData[[#This Row],[Direct Selling]]</f>
        <v>-51</v>
      </c>
      <c r="AK1298" s="74">
        <f>tblData[[#This Row],[Gross Profit]]+tblData[[#This Row],[AP Spend]]+tblData[[#This Row],[Cost to Serve]]</f>
        <v>458</v>
      </c>
    </row>
    <row r="1299" spans="2:37" x14ac:dyDescent="0.25">
      <c r="B1299" s="71" t="s">
        <v>51</v>
      </c>
      <c r="C1299" s="71">
        <v>2026</v>
      </c>
      <c r="D1299" s="71">
        <v>10</v>
      </c>
      <c r="E1299" s="71" t="s">
        <v>48</v>
      </c>
      <c r="F1299" s="71" t="s">
        <v>41</v>
      </c>
      <c r="G1299" s="72">
        <v>80.2</v>
      </c>
      <c r="H1299" s="73">
        <v>884</v>
      </c>
      <c r="I1299" s="73">
        <v>-80</v>
      </c>
      <c r="J1299" s="73">
        <v>-9</v>
      </c>
      <c r="K1299" s="73">
        <v>-212</v>
      </c>
      <c r="L1299" s="73">
        <v>-53</v>
      </c>
      <c r="M1299" s="73">
        <v>-32</v>
      </c>
      <c r="N1299" s="73">
        <v>-59</v>
      </c>
      <c r="O1299" s="73">
        <v>-34</v>
      </c>
      <c r="P1299" s="73">
        <v>-27</v>
      </c>
      <c r="Q1299" s="73">
        <v>-13</v>
      </c>
      <c r="R1299" s="73">
        <v>0</v>
      </c>
      <c r="S1299" s="73">
        <v>0</v>
      </c>
      <c r="T1299" s="73">
        <v>0</v>
      </c>
      <c r="U1299" s="73">
        <v>0</v>
      </c>
      <c r="V1299" s="73">
        <v>0</v>
      </c>
      <c r="W1299" s="73">
        <v>0</v>
      </c>
      <c r="X1299" s="73">
        <v>0</v>
      </c>
      <c r="Y1299" s="73">
        <v>0</v>
      </c>
      <c r="Z1299" s="73">
        <v>1732</v>
      </c>
      <c r="AA1299" s="73">
        <v>843</v>
      </c>
      <c r="AB1299" s="73">
        <v>0</v>
      </c>
      <c r="AC1299" s="73">
        <v>0</v>
      </c>
      <c r="AD1299" s="73">
        <v>0</v>
      </c>
      <c r="AE1299" s="73">
        <v>0</v>
      </c>
      <c r="AF1299" s="74">
        <f>tblData[[#This Row],[Gross Sales]]+tblData[[#This Row],[Trade Discounts]]+tblData[[#This Row],[Returns]]</f>
        <v>795</v>
      </c>
      <c r="AG1299" s="74">
        <f>tblData[[#This Row],[Material Cost]]+tblData[[#This Row],[Conversion Cost]]+tblData[[#This Row],[Inbound Freight]]</f>
        <v>-297</v>
      </c>
      <c r="AH1299" s="74">
        <f>tblData[[#This Row],[Net Revenue]]+tblData[[#This Row],[COGS]]</f>
        <v>498</v>
      </c>
      <c r="AI1299" s="74">
        <f>tblData[[#This Row],[Advertising]]+tblData[[#This Row],[Promotions]]</f>
        <v>-93</v>
      </c>
      <c r="AJ1299" s="74">
        <f>tblData[[#This Row],[Outbound Logistics]]+tblData[[#This Row],[Direct Selling]]</f>
        <v>-40</v>
      </c>
      <c r="AK1299" s="74">
        <f>tblData[[#This Row],[Gross Profit]]+tblData[[#This Row],[AP Spend]]+tblData[[#This Row],[Cost to Serve]]</f>
        <v>365</v>
      </c>
    </row>
    <row r="1300" spans="2:37" x14ac:dyDescent="0.25">
      <c r="B1300" s="71" t="s">
        <v>51</v>
      </c>
      <c r="C1300" s="71">
        <v>2026</v>
      </c>
      <c r="D1300" s="71">
        <v>10</v>
      </c>
      <c r="E1300" s="71" t="s">
        <v>48</v>
      </c>
      <c r="F1300" s="71" t="s">
        <v>42</v>
      </c>
      <c r="G1300" s="72">
        <v>98.2</v>
      </c>
      <c r="H1300" s="73">
        <v>587</v>
      </c>
      <c r="I1300" s="73">
        <v>-53</v>
      </c>
      <c r="J1300" s="73">
        <v>-6</v>
      </c>
      <c r="K1300" s="73">
        <v>-188</v>
      </c>
      <c r="L1300" s="73">
        <v>-47</v>
      </c>
      <c r="M1300" s="73">
        <v>-28</v>
      </c>
      <c r="N1300" s="73">
        <v>-11</v>
      </c>
      <c r="O1300" s="73">
        <v>-7</v>
      </c>
      <c r="P1300" s="73">
        <v>-18</v>
      </c>
      <c r="Q1300" s="73">
        <v>-9</v>
      </c>
      <c r="R1300" s="73">
        <v>0</v>
      </c>
      <c r="S1300" s="73">
        <v>0</v>
      </c>
      <c r="T1300" s="73">
        <v>0</v>
      </c>
      <c r="U1300" s="73">
        <v>0</v>
      </c>
      <c r="V1300" s="73">
        <v>0</v>
      </c>
      <c r="W1300" s="73">
        <v>0</v>
      </c>
      <c r="X1300" s="73">
        <v>0</v>
      </c>
      <c r="Y1300" s="73">
        <v>0</v>
      </c>
      <c r="Z1300" s="73">
        <v>1150</v>
      </c>
      <c r="AA1300" s="73">
        <v>976</v>
      </c>
      <c r="AB1300" s="73">
        <v>0</v>
      </c>
      <c r="AC1300" s="73">
        <v>0</v>
      </c>
      <c r="AD1300" s="73">
        <v>0</v>
      </c>
      <c r="AE1300" s="73">
        <v>0</v>
      </c>
      <c r="AF1300" s="74">
        <f>tblData[[#This Row],[Gross Sales]]+tblData[[#This Row],[Trade Discounts]]+tblData[[#This Row],[Returns]]</f>
        <v>528</v>
      </c>
      <c r="AG1300" s="74">
        <f>tblData[[#This Row],[Material Cost]]+tblData[[#This Row],[Conversion Cost]]+tblData[[#This Row],[Inbound Freight]]</f>
        <v>-263</v>
      </c>
      <c r="AH1300" s="74">
        <f>tblData[[#This Row],[Net Revenue]]+tblData[[#This Row],[COGS]]</f>
        <v>265</v>
      </c>
      <c r="AI1300" s="74">
        <f>tblData[[#This Row],[Advertising]]+tblData[[#This Row],[Promotions]]</f>
        <v>-18</v>
      </c>
      <c r="AJ1300" s="74">
        <f>tblData[[#This Row],[Outbound Logistics]]+tblData[[#This Row],[Direct Selling]]</f>
        <v>-27</v>
      </c>
      <c r="AK1300" s="74">
        <f>tblData[[#This Row],[Gross Profit]]+tblData[[#This Row],[AP Spend]]+tblData[[#This Row],[Cost to Serve]]</f>
        <v>220</v>
      </c>
    </row>
    <row r="1301" spans="2:37" x14ac:dyDescent="0.25">
      <c r="B1301" s="71" t="s">
        <v>51</v>
      </c>
      <c r="C1301" s="71">
        <v>2026</v>
      </c>
      <c r="D1301" s="71">
        <v>10</v>
      </c>
      <c r="E1301" s="71" t="s">
        <v>48</v>
      </c>
      <c r="F1301" s="71" t="s">
        <v>43</v>
      </c>
      <c r="G1301" s="72">
        <v>18.899999999999999</v>
      </c>
      <c r="H1301" s="73">
        <v>340</v>
      </c>
      <c r="I1301" s="73">
        <v>-31</v>
      </c>
      <c r="J1301" s="73">
        <v>-3</v>
      </c>
      <c r="K1301" s="73">
        <v>-94</v>
      </c>
      <c r="L1301" s="73">
        <v>-23</v>
      </c>
      <c r="M1301" s="73">
        <v>-14</v>
      </c>
      <c r="N1301" s="73">
        <v>-32</v>
      </c>
      <c r="O1301" s="73">
        <v>-18</v>
      </c>
      <c r="P1301" s="73">
        <v>-10</v>
      </c>
      <c r="Q1301" s="73">
        <v>-5</v>
      </c>
      <c r="R1301" s="73">
        <v>0</v>
      </c>
      <c r="S1301" s="73">
        <v>0</v>
      </c>
      <c r="T1301" s="73">
        <v>0</v>
      </c>
      <c r="U1301" s="73">
        <v>0</v>
      </c>
      <c r="V1301" s="73">
        <v>0</v>
      </c>
      <c r="W1301" s="73">
        <v>0</v>
      </c>
      <c r="X1301" s="73">
        <v>0</v>
      </c>
      <c r="Y1301" s="73">
        <v>0</v>
      </c>
      <c r="Z1301" s="73">
        <v>666</v>
      </c>
      <c r="AA1301" s="73">
        <v>492</v>
      </c>
      <c r="AB1301" s="73">
        <v>0</v>
      </c>
      <c r="AC1301" s="73">
        <v>0</v>
      </c>
      <c r="AD1301" s="73">
        <v>0</v>
      </c>
      <c r="AE1301" s="73">
        <v>0</v>
      </c>
      <c r="AF1301" s="74">
        <f>tblData[[#This Row],[Gross Sales]]+tblData[[#This Row],[Trade Discounts]]+tblData[[#This Row],[Returns]]</f>
        <v>306</v>
      </c>
      <c r="AG1301" s="74">
        <f>tblData[[#This Row],[Material Cost]]+tblData[[#This Row],[Conversion Cost]]+tblData[[#This Row],[Inbound Freight]]</f>
        <v>-131</v>
      </c>
      <c r="AH1301" s="74">
        <f>tblData[[#This Row],[Net Revenue]]+tblData[[#This Row],[COGS]]</f>
        <v>175</v>
      </c>
      <c r="AI1301" s="74">
        <f>tblData[[#This Row],[Advertising]]+tblData[[#This Row],[Promotions]]</f>
        <v>-50</v>
      </c>
      <c r="AJ1301" s="74">
        <f>tblData[[#This Row],[Outbound Logistics]]+tblData[[#This Row],[Direct Selling]]</f>
        <v>-15</v>
      </c>
      <c r="AK1301" s="74">
        <f>tblData[[#This Row],[Gross Profit]]+tblData[[#This Row],[AP Spend]]+tblData[[#This Row],[Cost to Serve]]</f>
        <v>110</v>
      </c>
    </row>
    <row r="1302" spans="2:37" x14ac:dyDescent="0.25">
      <c r="B1302" s="71" t="s">
        <v>51</v>
      </c>
      <c r="C1302" s="71">
        <v>2026</v>
      </c>
      <c r="D1302" s="71">
        <v>10</v>
      </c>
      <c r="E1302" s="71" t="s">
        <v>49</v>
      </c>
      <c r="F1302" s="71" t="s">
        <v>49</v>
      </c>
      <c r="G1302" s="72">
        <v>0</v>
      </c>
      <c r="H1302" s="73">
        <v>0</v>
      </c>
      <c r="I1302" s="73">
        <v>0</v>
      </c>
      <c r="J1302" s="73">
        <v>0</v>
      </c>
      <c r="K1302" s="73">
        <v>0</v>
      </c>
      <c r="L1302" s="73">
        <v>0</v>
      </c>
      <c r="M1302" s="73">
        <v>0</v>
      </c>
      <c r="N1302" s="73">
        <v>0</v>
      </c>
      <c r="O1302" s="73">
        <v>0</v>
      </c>
      <c r="P1302" s="73">
        <v>0</v>
      </c>
      <c r="Q1302" s="73">
        <v>0</v>
      </c>
      <c r="R1302" s="73">
        <v>-4372</v>
      </c>
      <c r="S1302" s="73">
        <v>-1004</v>
      </c>
      <c r="T1302" s="73">
        <v>-1288</v>
      </c>
      <c r="U1302" s="73">
        <v>-1094</v>
      </c>
      <c r="V1302" s="73">
        <v>-1480</v>
      </c>
      <c r="W1302" s="73">
        <v>-684</v>
      </c>
      <c r="X1302" s="73">
        <v>-2411</v>
      </c>
      <c r="Y1302" s="73">
        <v>-1579</v>
      </c>
      <c r="Z1302" s="73">
        <v>0</v>
      </c>
      <c r="AA1302" s="73">
        <v>0</v>
      </c>
      <c r="AB1302" s="73">
        <v>41271</v>
      </c>
      <c r="AC1302" s="73">
        <v>60556</v>
      </c>
      <c r="AD1302" s="73">
        <v>182500</v>
      </c>
      <c r="AE1302" s="73">
        <v>1197</v>
      </c>
      <c r="AF1302" s="74">
        <f>tblData[[#This Row],[Gross Sales]]+tblData[[#This Row],[Trade Discounts]]+tblData[[#This Row],[Returns]]</f>
        <v>0</v>
      </c>
      <c r="AG1302" s="74">
        <f>tblData[[#This Row],[Material Cost]]+tblData[[#This Row],[Conversion Cost]]+tblData[[#This Row],[Inbound Freight]]</f>
        <v>0</v>
      </c>
      <c r="AH1302" s="74">
        <f>tblData[[#This Row],[Net Revenue]]+tblData[[#This Row],[COGS]]</f>
        <v>0</v>
      </c>
      <c r="AI1302" s="74">
        <f>tblData[[#This Row],[Advertising]]+tblData[[#This Row],[Promotions]]</f>
        <v>0</v>
      </c>
      <c r="AJ1302" s="74">
        <f>tblData[[#This Row],[Outbound Logistics]]+tblData[[#This Row],[Direct Selling]]</f>
        <v>0</v>
      </c>
      <c r="AK1302" s="74">
        <f>tblData[[#This Row],[Gross Profit]]+tblData[[#This Row],[AP Spend]]+tblData[[#This Row],[Cost to Serve]]</f>
        <v>0</v>
      </c>
    </row>
    <row r="1303" spans="2:37" x14ac:dyDescent="0.25">
      <c r="B1303" s="71" t="s">
        <v>51</v>
      </c>
      <c r="C1303" s="71">
        <v>2026</v>
      </c>
      <c r="D1303" s="71">
        <v>11</v>
      </c>
      <c r="E1303" s="71" t="s">
        <v>37</v>
      </c>
      <c r="F1303" s="71" t="s">
        <v>38</v>
      </c>
      <c r="G1303" s="72">
        <v>389.6</v>
      </c>
      <c r="H1303" s="73">
        <v>5486</v>
      </c>
      <c r="I1303" s="73">
        <v>-1074</v>
      </c>
      <c r="J1303" s="73">
        <v>-82</v>
      </c>
      <c r="K1303" s="73">
        <v>-1202</v>
      </c>
      <c r="L1303" s="73">
        <v>-296</v>
      </c>
      <c r="M1303" s="73">
        <v>-184</v>
      </c>
      <c r="N1303" s="73">
        <v>-300</v>
      </c>
      <c r="O1303" s="73">
        <v>-177</v>
      </c>
      <c r="P1303" s="73">
        <v>-226</v>
      </c>
      <c r="Q1303" s="73">
        <v>-165</v>
      </c>
      <c r="R1303" s="73">
        <v>0</v>
      </c>
      <c r="S1303" s="73">
        <v>0</v>
      </c>
      <c r="T1303" s="73">
        <v>0</v>
      </c>
      <c r="U1303" s="73">
        <v>0</v>
      </c>
      <c r="V1303" s="73">
        <v>0</v>
      </c>
      <c r="W1303" s="73">
        <v>0</v>
      </c>
      <c r="X1303" s="73">
        <v>0</v>
      </c>
      <c r="Y1303" s="73">
        <v>0</v>
      </c>
      <c r="Z1303" s="73">
        <v>7714</v>
      </c>
      <c r="AA1303" s="73">
        <v>5195</v>
      </c>
      <c r="AB1303" s="73">
        <v>0</v>
      </c>
      <c r="AC1303" s="73">
        <v>0</v>
      </c>
      <c r="AD1303" s="73">
        <v>0</v>
      </c>
      <c r="AE1303" s="73">
        <v>0</v>
      </c>
      <c r="AF1303" s="74">
        <f>tblData[[#This Row],[Gross Sales]]+tblData[[#This Row],[Trade Discounts]]+tblData[[#This Row],[Returns]]</f>
        <v>4330</v>
      </c>
      <c r="AG1303" s="74">
        <f>tblData[[#This Row],[Material Cost]]+tblData[[#This Row],[Conversion Cost]]+tblData[[#This Row],[Inbound Freight]]</f>
        <v>-1682</v>
      </c>
      <c r="AH1303" s="74">
        <f>tblData[[#This Row],[Net Revenue]]+tblData[[#This Row],[COGS]]</f>
        <v>2648</v>
      </c>
      <c r="AI1303" s="74">
        <f>tblData[[#This Row],[Advertising]]+tblData[[#This Row],[Promotions]]</f>
        <v>-477</v>
      </c>
      <c r="AJ1303" s="74">
        <f>tblData[[#This Row],[Outbound Logistics]]+tblData[[#This Row],[Direct Selling]]</f>
        <v>-391</v>
      </c>
      <c r="AK1303" s="74">
        <f>tblData[[#This Row],[Gross Profit]]+tblData[[#This Row],[AP Spend]]+tblData[[#This Row],[Cost to Serve]]</f>
        <v>1780</v>
      </c>
    </row>
    <row r="1304" spans="2:37" x14ac:dyDescent="0.25">
      <c r="B1304" s="71" t="s">
        <v>51</v>
      </c>
      <c r="C1304" s="71">
        <v>2026</v>
      </c>
      <c r="D1304" s="71">
        <v>11</v>
      </c>
      <c r="E1304" s="71" t="s">
        <v>37</v>
      </c>
      <c r="F1304" s="71" t="s">
        <v>39</v>
      </c>
      <c r="G1304" s="72">
        <v>505.6</v>
      </c>
      <c r="H1304" s="73">
        <v>4559</v>
      </c>
      <c r="I1304" s="73">
        <v>-893</v>
      </c>
      <c r="J1304" s="73">
        <v>-68</v>
      </c>
      <c r="K1304" s="73">
        <v>-1199</v>
      </c>
      <c r="L1304" s="73">
        <v>-295</v>
      </c>
      <c r="M1304" s="73">
        <v>-183</v>
      </c>
      <c r="N1304" s="73">
        <v>-171</v>
      </c>
      <c r="O1304" s="73">
        <v>-101</v>
      </c>
      <c r="P1304" s="73">
        <v>-188</v>
      </c>
      <c r="Q1304" s="73">
        <v>-137</v>
      </c>
      <c r="R1304" s="73">
        <v>0</v>
      </c>
      <c r="S1304" s="73">
        <v>0</v>
      </c>
      <c r="T1304" s="73">
        <v>0</v>
      </c>
      <c r="U1304" s="73">
        <v>0</v>
      </c>
      <c r="V1304" s="73">
        <v>0</v>
      </c>
      <c r="W1304" s="73">
        <v>0</v>
      </c>
      <c r="X1304" s="73">
        <v>0</v>
      </c>
      <c r="Y1304" s="73">
        <v>0</v>
      </c>
      <c r="Z1304" s="73">
        <v>6466</v>
      </c>
      <c r="AA1304" s="73">
        <v>4449</v>
      </c>
      <c r="AB1304" s="73">
        <v>0</v>
      </c>
      <c r="AC1304" s="73">
        <v>0</v>
      </c>
      <c r="AD1304" s="73">
        <v>0</v>
      </c>
      <c r="AE1304" s="73">
        <v>0</v>
      </c>
      <c r="AF1304" s="74">
        <f>tblData[[#This Row],[Gross Sales]]+tblData[[#This Row],[Trade Discounts]]+tblData[[#This Row],[Returns]]</f>
        <v>3598</v>
      </c>
      <c r="AG1304" s="74">
        <f>tblData[[#This Row],[Material Cost]]+tblData[[#This Row],[Conversion Cost]]+tblData[[#This Row],[Inbound Freight]]</f>
        <v>-1677</v>
      </c>
      <c r="AH1304" s="74">
        <f>tblData[[#This Row],[Net Revenue]]+tblData[[#This Row],[COGS]]</f>
        <v>1921</v>
      </c>
      <c r="AI1304" s="74">
        <f>tblData[[#This Row],[Advertising]]+tblData[[#This Row],[Promotions]]</f>
        <v>-272</v>
      </c>
      <c r="AJ1304" s="74">
        <f>tblData[[#This Row],[Outbound Logistics]]+tblData[[#This Row],[Direct Selling]]</f>
        <v>-325</v>
      </c>
      <c r="AK1304" s="74">
        <f>tblData[[#This Row],[Gross Profit]]+tblData[[#This Row],[AP Spend]]+tblData[[#This Row],[Cost to Serve]]</f>
        <v>1324</v>
      </c>
    </row>
    <row r="1305" spans="2:37" x14ac:dyDescent="0.25">
      <c r="B1305" s="71" t="s">
        <v>51</v>
      </c>
      <c r="C1305" s="71">
        <v>2026</v>
      </c>
      <c r="D1305" s="71">
        <v>11</v>
      </c>
      <c r="E1305" s="71" t="s">
        <v>37</v>
      </c>
      <c r="F1305" s="71" t="s">
        <v>40</v>
      </c>
      <c r="G1305" s="72">
        <v>478.6</v>
      </c>
      <c r="H1305" s="73">
        <v>3350</v>
      </c>
      <c r="I1305" s="73">
        <v>-656</v>
      </c>
      <c r="J1305" s="73">
        <v>-50</v>
      </c>
      <c r="K1305" s="73">
        <v>-979</v>
      </c>
      <c r="L1305" s="73">
        <v>-241</v>
      </c>
      <c r="M1305" s="73">
        <v>-150</v>
      </c>
      <c r="N1305" s="73">
        <v>-86</v>
      </c>
      <c r="O1305" s="73">
        <v>-50</v>
      </c>
      <c r="P1305" s="73">
        <v>-138</v>
      </c>
      <c r="Q1305" s="73">
        <v>-101</v>
      </c>
      <c r="R1305" s="73">
        <v>0</v>
      </c>
      <c r="S1305" s="73">
        <v>0</v>
      </c>
      <c r="T1305" s="73">
        <v>0</v>
      </c>
      <c r="U1305" s="73">
        <v>0</v>
      </c>
      <c r="V1305" s="73">
        <v>0</v>
      </c>
      <c r="W1305" s="73">
        <v>0</v>
      </c>
      <c r="X1305" s="73">
        <v>0</v>
      </c>
      <c r="Y1305" s="73">
        <v>0</v>
      </c>
      <c r="Z1305" s="73">
        <v>4756</v>
      </c>
      <c r="AA1305" s="73">
        <v>3424</v>
      </c>
      <c r="AB1305" s="73">
        <v>0</v>
      </c>
      <c r="AC1305" s="73">
        <v>0</v>
      </c>
      <c r="AD1305" s="73">
        <v>0</v>
      </c>
      <c r="AE1305" s="73">
        <v>0</v>
      </c>
      <c r="AF1305" s="74">
        <f>tblData[[#This Row],[Gross Sales]]+tblData[[#This Row],[Trade Discounts]]+tblData[[#This Row],[Returns]]</f>
        <v>2644</v>
      </c>
      <c r="AG1305" s="74">
        <f>tblData[[#This Row],[Material Cost]]+tblData[[#This Row],[Conversion Cost]]+tblData[[#This Row],[Inbound Freight]]</f>
        <v>-1370</v>
      </c>
      <c r="AH1305" s="74">
        <f>tblData[[#This Row],[Net Revenue]]+tblData[[#This Row],[COGS]]</f>
        <v>1274</v>
      </c>
      <c r="AI1305" s="74">
        <f>tblData[[#This Row],[Advertising]]+tblData[[#This Row],[Promotions]]</f>
        <v>-136</v>
      </c>
      <c r="AJ1305" s="74">
        <f>tblData[[#This Row],[Outbound Logistics]]+tblData[[#This Row],[Direct Selling]]</f>
        <v>-239</v>
      </c>
      <c r="AK1305" s="74">
        <f>tblData[[#This Row],[Gross Profit]]+tblData[[#This Row],[AP Spend]]+tblData[[#This Row],[Cost to Serve]]</f>
        <v>899</v>
      </c>
    </row>
    <row r="1306" spans="2:37" x14ac:dyDescent="0.25">
      <c r="B1306" s="71" t="s">
        <v>51</v>
      </c>
      <c r="C1306" s="71">
        <v>2026</v>
      </c>
      <c r="D1306" s="71">
        <v>11</v>
      </c>
      <c r="E1306" s="71" t="s">
        <v>37</v>
      </c>
      <c r="F1306" s="71" t="s">
        <v>41</v>
      </c>
      <c r="G1306" s="72">
        <v>243.1</v>
      </c>
      <c r="H1306" s="73">
        <v>2682</v>
      </c>
      <c r="I1306" s="73">
        <v>-525</v>
      </c>
      <c r="J1306" s="73">
        <v>-40</v>
      </c>
      <c r="K1306" s="73">
        <v>-646</v>
      </c>
      <c r="L1306" s="73">
        <v>-159</v>
      </c>
      <c r="M1306" s="73">
        <v>-99</v>
      </c>
      <c r="N1306" s="73">
        <v>-183</v>
      </c>
      <c r="O1306" s="73">
        <v>-108</v>
      </c>
      <c r="P1306" s="73">
        <v>-110</v>
      </c>
      <c r="Q1306" s="73">
        <v>-80</v>
      </c>
      <c r="R1306" s="73">
        <v>0</v>
      </c>
      <c r="S1306" s="73">
        <v>0</v>
      </c>
      <c r="T1306" s="73">
        <v>0</v>
      </c>
      <c r="U1306" s="73">
        <v>0</v>
      </c>
      <c r="V1306" s="73">
        <v>0</v>
      </c>
      <c r="W1306" s="73">
        <v>0</v>
      </c>
      <c r="X1306" s="73">
        <v>0</v>
      </c>
      <c r="Y1306" s="73">
        <v>0</v>
      </c>
      <c r="Z1306" s="73">
        <v>3801</v>
      </c>
      <c r="AA1306" s="73">
        <v>2676</v>
      </c>
      <c r="AB1306" s="73">
        <v>0</v>
      </c>
      <c r="AC1306" s="73">
        <v>0</v>
      </c>
      <c r="AD1306" s="73">
        <v>0</v>
      </c>
      <c r="AE1306" s="73">
        <v>0</v>
      </c>
      <c r="AF1306" s="74">
        <f>tblData[[#This Row],[Gross Sales]]+tblData[[#This Row],[Trade Discounts]]+tblData[[#This Row],[Returns]]</f>
        <v>2117</v>
      </c>
      <c r="AG1306" s="74">
        <f>tblData[[#This Row],[Material Cost]]+tblData[[#This Row],[Conversion Cost]]+tblData[[#This Row],[Inbound Freight]]</f>
        <v>-904</v>
      </c>
      <c r="AH1306" s="74">
        <f>tblData[[#This Row],[Net Revenue]]+tblData[[#This Row],[COGS]]</f>
        <v>1213</v>
      </c>
      <c r="AI1306" s="74">
        <f>tblData[[#This Row],[Advertising]]+tblData[[#This Row],[Promotions]]</f>
        <v>-291</v>
      </c>
      <c r="AJ1306" s="74">
        <f>tblData[[#This Row],[Outbound Logistics]]+tblData[[#This Row],[Direct Selling]]</f>
        <v>-190</v>
      </c>
      <c r="AK1306" s="74">
        <f>tblData[[#This Row],[Gross Profit]]+tblData[[#This Row],[AP Spend]]+tblData[[#This Row],[Cost to Serve]]</f>
        <v>732</v>
      </c>
    </row>
    <row r="1307" spans="2:37" x14ac:dyDescent="0.25">
      <c r="B1307" s="71" t="s">
        <v>51</v>
      </c>
      <c r="C1307" s="71">
        <v>2026</v>
      </c>
      <c r="D1307" s="71">
        <v>11</v>
      </c>
      <c r="E1307" s="71" t="s">
        <v>37</v>
      </c>
      <c r="F1307" s="71" t="s">
        <v>42</v>
      </c>
      <c r="G1307" s="72">
        <v>293.39999999999998</v>
      </c>
      <c r="H1307" s="73">
        <v>1754</v>
      </c>
      <c r="I1307" s="73">
        <v>-343</v>
      </c>
      <c r="J1307" s="73">
        <v>-26</v>
      </c>
      <c r="K1307" s="73">
        <v>-564</v>
      </c>
      <c r="L1307" s="73">
        <v>-139</v>
      </c>
      <c r="M1307" s="73">
        <v>-86</v>
      </c>
      <c r="N1307" s="73">
        <v>-36</v>
      </c>
      <c r="O1307" s="73">
        <v>-21</v>
      </c>
      <c r="P1307" s="73">
        <v>-72</v>
      </c>
      <c r="Q1307" s="73">
        <v>-53</v>
      </c>
      <c r="R1307" s="73">
        <v>0</v>
      </c>
      <c r="S1307" s="73">
        <v>0</v>
      </c>
      <c r="T1307" s="73">
        <v>0</v>
      </c>
      <c r="U1307" s="73">
        <v>0</v>
      </c>
      <c r="V1307" s="73">
        <v>0</v>
      </c>
      <c r="W1307" s="73">
        <v>0</v>
      </c>
      <c r="X1307" s="73">
        <v>0</v>
      </c>
      <c r="Y1307" s="73">
        <v>0</v>
      </c>
      <c r="Z1307" s="73">
        <v>2518</v>
      </c>
      <c r="AA1307" s="73">
        <v>3078</v>
      </c>
      <c r="AB1307" s="73">
        <v>0</v>
      </c>
      <c r="AC1307" s="73">
        <v>0</v>
      </c>
      <c r="AD1307" s="73">
        <v>0</v>
      </c>
      <c r="AE1307" s="73">
        <v>0</v>
      </c>
      <c r="AF1307" s="74">
        <f>tblData[[#This Row],[Gross Sales]]+tblData[[#This Row],[Trade Discounts]]+tblData[[#This Row],[Returns]]</f>
        <v>1385</v>
      </c>
      <c r="AG1307" s="74">
        <f>tblData[[#This Row],[Material Cost]]+tblData[[#This Row],[Conversion Cost]]+tblData[[#This Row],[Inbound Freight]]</f>
        <v>-789</v>
      </c>
      <c r="AH1307" s="74">
        <f>tblData[[#This Row],[Net Revenue]]+tblData[[#This Row],[COGS]]</f>
        <v>596</v>
      </c>
      <c r="AI1307" s="74">
        <f>tblData[[#This Row],[Advertising]]+tblData[[#This Row],[Promotions]]</f>
        <v>-57</v>
      </c>
      <c r="AJ1307" s="74">
        <f>tblData[[#This Row],[Outbound Logistics]]+tblData[[#This Row],[Direct Selling]]</f>
        <v>-125</v>
      </c>
      <c r="AK1307" s="74">
        <f>tblData[[#This Row],[Gross Profit]]+tblData[[#This Row],[AP Spend]]+tblData[[#This Row],[Cost to Serve]]</f>
        <v>414</v>
      </c>
    </row>
    <row r="1308" spans="2:37" x14ac:dyDescent="0.25">
      <c r="B1308" s="71" t="s">
        <v>51</v>
      </c>
      <c r="C1308" s="71">
        <v>2026</v>
      </c>
      <c r="D1308" s="71">
        <v>11</v>
      </c>
      <c r="E1308" s="71" t="s">
        <v>37</v>
      </c>
      <c r="F1308" s="71" t="s">
        <v>43</v>
      </c>
      <c r="G1308" s="72">
        <v>55</v>
      </c>
      <c r="H1308" s="73">
        <v>990</v>
      </c>
      <c r="I1308" s="73">
        <v>-194</v>
      </c>
      <c r="J1308" s="73">
        <v>-15</v>
      </c>
      <c r="K1308" s="73">
        <v>-275</v>
      </c>
      <c r="L1308" s="73">
        <v>-68</v>
      </c>
      <c r="M1308" s="73">
        <v>-42</v>
      </c>
      <c r="N1308" s="73">
        <v>-100</v>
      </c>
      <c r="O1308" s="73">
        <v>-59</v>
      </c>
      <c r="P1308" s="73">
        <v>-41</v>
      </c>
      <c r="Q1308" s="73">
        <v>-30</v>
      </c>
      <c r="R1308" s="73">
        <v>0</v>
      </c>
      <c r="S1308" s="73">
        <v>0</v>
      </c>
      <c r="T1308" s="73">
        <v>0</v>
      </c>
      <c r="U1308" s="73">
        <v>0</v>
      </c>
      <c r="V1308" s="73">
        <v>0</v>
      </c>
      <c r="W1308" s="73">
        <v>0</v>
      </c>
      <c r="X1308" s="73">
        <v>0</v>
      </c>
      <c r="Y1308" s="73">
        <v>0</v>
      </c>
      <c r="Z1308" s="73">
        <v>1445</v>
      </c>
      <c r="AA1308" s="73">
        <v>1537</v>
      </c>
      <c r="AB1308" s="73">
        <v>0</v>
      </c>
      <c r="AC1308" s="73">
        <v>0</v>
      </c>
      <c r="AD1308" s="73">
        <v>0</v>
      </c>
      <c r="AE1308" s="73">
        <v>0</v>
      </c>
      <c r="AF1308" s="74">
        <f>tblData[[#This Row],[Gross Sales]]+tblData[[#This Row],[Trade Discounts]]+tblData[[#This Row],[Returns]]</f>
        <v>781</v>
      </c>
      <c r="AG1308" s="74">
        <f>tblData[[#This Row],[Material Cost]]+tblData[[#This Row],[Conversion Cost]]+tblData[[#This Row],[Inbound Freight]]</f>
        <v>-385</v>
      </c>
      <c r="AH1308" s="74">
        <f>tblData[[#This Row],[Net Revenue]]+tblData[[#This Row],[COGS]]</f>
        <v>396</v>
      </c>
      <c r="AI1308" s="74">
        <f>tblData[[#This Row],[Advertising]]+tblData[[#This Row],[Promotions]]</f>
        <v>-159</v>
      </c>
      <c r="AJ1308" s="74">
        <f>tblData[[#This Row],[Outbound Logistics]]+tblData[[#This Row],[Direct Selling]]</f>
        <v>-71</v>
      </c>
      <c r="AK1308" s="74">
        <f>tblData[[#This Row],[Gross Profit]]+tblData[[#This Row],[AP Spend]]+tblData[[#This Row],[Cost to Serve]]</f>
        <v>166</v>
      </c>
    </row>
    <row r="1309" spans="2:37" x14ac:dyDescent="0.25">
      <c r="B1309" s="71" t="s">
        <v>51</v>
      </c>
      <c r="C1309" s="71">
        <v>2026</v>
      </c>
      <c r="D1309" s="71">
        <v>11</v>
      </c>
      <c r="E1309" s="71" t="s">
        <v>44</v>
      </c>
      <c r="F1309" s="71" t="s">
        <v>38</v>
      </c>
      <c r="G1309" s="72">
        <v>326.3</v>
      </c>
      <c r="H1309" s="73">
        <v>4613</v>
      </c>
      <c r="I1309" s="73">
        <v>-747</v>
      </c>
      <c r="J1309" s="73">
        <v>-55</v>
      </c>
      <c r="K1309" s="73">
        <v>-1011</v>
      </c>
      <c r="L1309" s="73">
        <v>-249</v>
      </c>
      <c r="M1309" s="73">
        <v>-154</v>
      </c>
      <c r="N1309" s="73">
        <v>-240</v>
      </c>
      <c r="O1309" s="73">
        <v>-141</v>
      </c>
      <c r="P1309" s="73">
        <v>-190</v>
      </c>
      <c r="Q1309" s="73">
        <v>-138</v>
      </c>
      <c r="R1309" s="73">
        <v>0</v>
      </c>
      <c r="S1309" s="73">
        <v>0</v>
      </c>
      <c r="T1309" s="73">
        <v>0</v>
      </c>
      <c r="U1309" s="73">
        <v>0</v>
      </c>
      <c r="V1309" s="73">
        <v>0</v>
      </c>
      <c r="W1309" s="73">
        <v>0</v>
      </c>
      <c r="X1309" s="73">
        <v>0</v>
      </c>
      <c r="Y1309" s="73">
        <v>0</v>
      </c>
      <c r="Z1309" s="73">
        <v>6146</v>
      </c>
      <c r="AA1309" s="73">
        <v>4330</v>
      </c>
      <c r="AB1309" s="73">
        <v>0</v>
      </c>
      <c r="AC1309" s="73">
        <v>0</v>
      </c>
      <c r="AD1309" s="73">
        <v>0</v>
      </c>
      <c r="AE1309" s="73">
        <v>0</v>
      </c>
      <c r="AF1309" s="74">
        <f>tblData[[#This Row],[Gross Sales]]+tblData[[#This Row],[Trade Discounts]]+tblData[[#This Row],[Returns]]</f>
        <v>3811</v>
      </c>
      <c r="AG1309" s="74">
        <f>tblData[[#This Row],[Material Cost]]+tblData[[#This Row],[Conversion Cost]]+tblData[[#This Row],[Inbound Freight]]</f>
        <v>-1414</v>
      </c>
      <c r="AH1309" s="74">
        <f>tblData[[#This Row],[Net Revenue]]+tblData[[#This Row],[COGS]]</f>
        <v>2397</v>
      </c>
      <c r="AI1309" s="74">
        <f>tblData[[#This Row],[Advertising]]+tblData[[#This Row],[Promotions]]</f>
        <v>-381</v>
      </c>
      <c r="AJ1309" s="74">
        <f>tblData[[#This Row],[Outbound Logistics]]+tblData[[#This Row],[Direct Selling]]</f>
        <v>-328</v>
      </c>
      <c r="AK1309" s="74">
        <f>tblData[[#This Row],[Gross Profit]]+tblData[[#This Row],[AP Spend]]+tblData[[#This Row],[Cost to Serve]]</f>
        <v>1688</v>
      </c>
    </row>
    <row r="1310" spans="2:37" x14ac:dyDescent="0.25">
      <c r="B1310" s="71" t="s">
        <v>51</v>
      </c>
      <c r="C1310" s="71">
        <v>2026</v>
      </c>
      <c r="D1310" s="71">
        <v>11</v>
      </c>
      <c r="E1310" s="71" t="s">
        <v>44</v>
      </c>
      <c r="F1310" s="71" t="s">
        <v>39</v>
      </c>
      <c r="G1310" s="72">
        <v>419.8</v>
      </c>
      <c r="H1310" s="73">
        <v>3800</v>
      </c>
      <c r="I1310" s="73">
        <v>-615</v>
      </c>
      <c r="J1310" s="73">
        <v>-46</v>
      </c>
      <c r="K1310" s="73">
        <v>-999</v>
      </c>
      <c r="L1310" s="73">
        <v>-246</v>
      </c>
      <c r="M1310" s="73">
        <v>-153</v>
      </c>
      <c r="N1310" s="73">
        <v>-137</v>
      </c>
      <c r="O1310" s="73">
        <v>-81</v>
      </c>
      <c r="P1310" s="73">
        <v>-156</v>
      </c>
      <c r="Q1310" s="73">
        <v>-114</v>
      </c>
      <c r="R1310" s="73">
        <v>0</v>
      </c>
      <c r="S1310" s="73">
        <v>0</v>
      </c>
      <c r="T1310" s="73">
        <v>0</v>
      </c>
      <c r="U1310" s="73">
        <v>0</v>
      </c>
      <c r="V1310" s="73">
        <v>0</v>
      </c>
      <c r="W1310" s="73">
        <v>0</v>
      </c>
      <c r="X1310" s="73">
        <v>0</v>
      </c>
      <c r="Y1310" s="73">
        <v>0</v>
      </c>
      <c r="Z1310" s="73">
        <v>5159</v>
      </c>
      <c r="AA1310" s="73">
        <v>3714</v>
      </c>
      <c r="AB1310" s="73">
        <v>0</v>
      </c>
      <c r="AC1310" s="73">
        <v>0</v>
      </c>
      <c r="AD1310" s="73">
        <v>0</v>
      </c>
      <c r="AE1310" s="73">
        <v>0</v>
      </c>
      <c r="AF1310" s="74">
        <f>tblData[[#This Row],[Gross Sales]]+tblData[[#This Row],[Trade Discounts]]+tblData[[#This Row],[Returns]]</f>
        <v>3139</v>
      </c>
      <c r="AG1310" s="74">
        <f>tblData[[#This Row],[Material Cost]]+tblData[[#This Row],[Conversion Cost]]+tblData[[#This Row],[Inbound Freight]]</f>
        <v>-1398</v>
      </c>
      <c r="AH1310" s="74">
        <f>tblData[[#This Row],[Net Revenue]]+tblData[[#This Row],[COGS]]</f>
        <v>1741</v>
      </c>
      <c r="AI1310" s="74">
        <f>tblData[[#This Row],[Advertising]]+tblData[[#This Row],[Promotions]]</f>
        <v>-218</v>
      </c>
      <c r="AJ1310" s="74">
        <f>tblData[[#This Row],[Outbound Logistics]]+tblData[[#This Row],[Direct Selling]]</f>
        <v>-270</v>
      </c>
      <c r="AK1310" s="74">
        <f>tblData[[#This Row],[Gross Profit]]+tblData[[#This Row],[AP Spend]]+tblData[[#This Row],[Cost to Serve]]</f>
        <v>1253</v>
      </c>
    </row>
    <row r="1311" spans="2:37" x14ac:dyDescent="0.25">
      <c r="B1311" s="71" t="s">
        <v>51</v>
      </c>
      <c r="C1311" s="71">
        <v>2026</v>
      </c>
      <c r="D1311" s="71">
        <v>11</v>
      </c>
      <c r="E1311" s="71" t="s">
        <v>44</v>
      </c>
      <c r="F1311" s="71" t="s">
        <v>40</v>
      </c>
      <c r="G1311" s="72">
        <v>404.2</v>
      </c>
      <c r="H1311" s="73">
        <v>2840</v>
      </c>
      <c r="I1311" s="73">
        <v>-460</v>
      </c>
      <c r="J1311" s="73">
        <v>-34</v>
      </c>
      <c r="K1311" s="73">
        <v>-830</v>
      </c>
      <c r="L1311" s="73">
        <v>-205</v>
      </c>
      <c r="M1311" s="73">
        <v>-127</v>
      </c>
      <c r="N1311" s="73">
        <v>-69</v>
      </c>
      <c r="O1311" s="73">
        <v>-40</v>
      </c>
      <c r="P1311" s="73">
        <v>-117</v>
      </c>
      <c r="Q1311" s="73">
        <v>-85</v>
      </c>
      <c r="R1311" s="73">
        <v>0</v>
      </c>
      <c r="S1311" s="73">
        <v>0</v>
      </c>
      <c r="T1311" s="73">
        <v>0</v>
      </c>
      <c r="U1311" s="73">
        <v>0</v>
      </c>
      <c r="V1311" s="73">
        <v>0</v>
      </c>
      <c r="W1311" s="73">
        <v>0</v>
      </c>
      <c r="X1311" s="73">
        <v>0</v>
      </c>
      <c r="Y1311" s="73">
        <v>0</v>
      </c>
      <c r="Z1311" s="73">
        <v>3823</v>
      </c>
      <c r="AA1311" s="73">
        <v>2880</v>
      </c>
      <c r="AB1311" s="73">
        <v>0</v>
      </c>
      <c r="AC1311" s="73">
        <v>0</v>
      </c>
      <c r="AD1311" s="73">
        <v>0</v>
      </c>
      <c r="AE1311" s="73">
        <v>0</v>
      </c>
      <c r="AF1311" s="74">
        <f>tblData[[#This Row],[Gross Sales]]+tblData[[#This Row],[Trade Discounts]]+tblData[[#This Row],[Returns]]</f>
        <v>2346</v>
      </c>
      <c r="AG1311" s="74">
        <f>tblData[[#This Row],[Material Cost]]+tblData[[#This Row],[Conversion Cost]]+tblData[[#This Row],[Inbound Freight]]</f>
        <v>-1162</v>
      </c>
      <c r="AH1311" s="74">
        <f>tblData[[#This Row],[Net Revenue]]+tblData[[#This Row],[COGS]]</f>
        <v>1184</v>
      </c>
      <c r="AI1311" s="74">
        <f>tblData[[#This Row],[Advertising]]+tblData[[#This Row],[Promotions]]</f>
        <v>-109</v>
      </c>
      <c r="AJ1311" s="74">
        <f>tblData[[#This Row],[Outbound Logistics]]+tblData[[#This Row],[Direct Selling]]</f>
        <v>-202</v>
      </c>
      <c r="AK1311" s="74">
        <f>tblData[[#This Row],[Gross Profit]]+tblData[[#This Row],[AP Spend]]+tblData[[#This Row],[Cost to Serve]]</f>
        <v>873</v>
      </c>
    </row>
    <row r="1312" spans="2:37" x14ac:dyDescent="0.25">
      <c r="B1312" s="71" t="s">
        <v>51</v>
      </c>
      <c r="C1312" s="71">
        <v>2026</v>
      </c>
      <c r="D1312" s="71">
        <v>11</v>
      </c>
      <c r="E1312" s="71" t="s">
        <v>44</v>
      </c>
      <c r="F1312" s="71" t="s">
        <v>41</v>
      </c>
      <c r="G1312" s="72">
        <v>205.1</v>
      </c>
      <c r="H1312" s="73">
        <v>2272</v>
      </c>
      <c r="I1312" s="73">
        <v>-368</v>
      </c>
      <c r="J1312" s="73">
        <v>-27</v>
      </c>
      <c r="K1312" s="73">
        <v>-548</v>
      </c>
      <c r="L1312" s="73">
        <v>-135</v>
      </c>
      <c r="M1312" s="73">
        <v>-84</v>
      </c>
      <c r="N1312" s="73">
        <v>-147</v>
      </c>
      <c r="O1312" s="73">
        <v>-86</v>
      </c>
      <c r="P1312" s="73">
        <v>-94</v>
      </c>
      <c r="Q1312" s="73">
        <v>-68</v>
      </c>
      <c r="R1312" s="73">
        <v>0</v>
      </c>
      <c r="S1312" s="73">
        <v>0</v>
      </c>
      <c r="T1312" s="73">
        <v>0</v>
      </c>
      <c r="U1312" s="73">
        <v>0</v>
      </c>
      <c r="V1312" s="73">
        <v>0</v>
      </c>
      <c r="W1312" s="73">
        <v>0</v>
      </c>
      <c r="X1312" s="73">
        <v>0</v>
      </c>
      <c r="Y1312" s="73">
        <v>0</v>
      </c>
      <c r="Z1312" s="73">
        <v>3044</v>
      </c>
      <c r="AA1312" s="73">
        <v>2242</v>
      </c>
      <c r="AB1312" s="73">
        <v>0</v>
      </c>
      <c r="AC1312" s="73">
        <v>0</v>
      </c>
      <c r="AD1312" s="73">
        <v>0</v>
      </c>
      <c r="AE1312" s="73">
        <v>0</v>
      </c>
      <c r="AF1312" s="74">
        <f>tblData[[#This Row],[Gross Sales]]+tblData[[#This Row],[Trade Discounts]]+tblData[[#This Row],[Returns]]</f>
        <v>1877</v>
      </c>
      <c r="AG1312" s="74">
        <f>tblData[[#This Row],[Material Cost]]+tblData[[#This Row],[Conversion Cost]]+tblData[[#This Row],[Inbound Freight]]</f>
        <v>-767</v>
      </c>
      <c r="AH1312" s="74">
        <f>tblData[[#This Row],[Net Revenue]]+tblData[[#This Row],[COGS]]</f>
        <v>1110</v>
      </c>
      <c r="AI1312" s="74">
        <f>tblData[[#This Row],[Advertising]]+tblData[[#This Row],[Promotions]]</f>
        <v>-233</v>
      </c>
      <c r="AJ1312" s="74">
        <f>tblData[[#This Row],[Outbound Logistics]]+tblData[[#This Row],[Direct Selling]]</f>
        <v>-162</v>
      </c>
      <c r="AK1312" s="74">
        <f>tblData[[#This Row],[Gross Profit]]+tblData[[#This Row],[AP Spend]]+tblData[[#This Row],[Cost to Serve]]</f>
        <v>715</v>
      </c>
    </row>
    <row r="1313" spans="2:37" x14ac:dyDescent="0.25">
      <c r="B1313" s="71" t="s">
        <v>51</v>
      </c>
      <c r="C1313" s="71">
        <v>2026</v>
      </c>
      <c r="D1313" s="71">
        <v>11</v>
      </c>
      <c r="E1313" s="71" t="s">
        <v>44</v>
      </c>
      <c r="F1313" s="71" t="s">
        <v>42</v>
      </c>
      <c r="G1313" s="72">
        <v>245.6</v>
      </c>
      <c r="H1313" s="73">
        <v>1473</v>
      </c>
      <c r="I1313" s="73">
        <v>-239</v>
      </c>
      <c r="J1313" s="73">
        <v>-18</v>
      </c>
      <c r="K1313" s="73">
        <v>-474</v>
      </c>
      <c r="L1313" s="73">
        <v>-117</v>
      </c>
      <c r="M1313" s="73">
        <v>-72</v>
      </c>
      <c r="N1313" s="73">
        <v>-29</v>
      </c>
      <c r="O1313" s="73">
        <v>-17</v>
      </c>
      <c r="P1313" s="73">
        <v>-61</v>
      </c>
      <c r="Q1313" s="73">
        <v>-44</v>
      </c>
      <c r="R1313" s="73">
        <v>0</v>
      </c>
      <c r="S1313" s="73">
        <v>0</v>
      </c>
      <c r="T1313" s="73">
        <v>0</v>
      </c>
      <c r="U1313" s="73">
        <v>0</v>
      </c>
      <c r="V1313" s="73">
        <v>0</v>
      </c>
      <c r="W1313" s="73">
        <v>0</v>
      </c>
      <c r="X1313" s="73">
        <v>0</v>
      </c>
      <c r="Y1313" s="73">
        <v>0</v>
      </c>
      <c r="Z1313" s="73">
        <v>2003</v>
      </c>
      <c r="AA1313" s="73">
        <v>2561</v>
      </c>
      <c r="AB1313" s="73">
        <v>0</v>
      </c>
      <c r="AC1313" s="73">
        <v>0</v>
      </c>
      <c r="AD1313" s="73">
        <v>0</v>
      </c>
      <c r="AE1313" s="73">
        <v>0</v>
      </c>
      <c r="AF1313" s="74">
        <f>tblData[[#This Row],[Gross Sales]]+tblData[[#This Row],[Trade Discounts]]+tblData[[#This Row],[Returns]]</f>
        <v>1216</v>
      </c>
      <c r="AG1313" s="74">
        <f>tblData[[#This Row],[Material Cost]]+tblData[[#This Row],[Conversion Cost]]+tblData[[#This Row],[Inbound Freight]]</f>
        <v>-663</v>
      </c>
      <c r="AH1313" s="74">
        <f>tblData[[#This Row],[Net Revenue]]+tblData[[#This Row],[COGS]]</f>
        <v>553</v>
      </c>
      <c r="AI1313" s="74">
        <f>tblData[[#This Row],[Advertising]]+tblData[[#This Row],[Promotions]]</f>
        <v>-46</v>
      </c>
      <c r="AJ1313" s="74">
        <f>tblData[[#This Row],[Outbound Logistics]]+tblData[[#This Row],[Direct Selling]]</f>
        <v>-105</v>
      </c>
      <c r="AK1313" s="74">
        <f>tblData[[#This Row],[Gross Profit]]+tblData[[#This Row],[AP Spend]]+tblData[[#This Row],[Cost to Serve]]</f>
        <v>402</v>
      </c>
    </row>
    <row r="1314" spans="2:37" x14ac:dyDescent="0.25">
      <c r="B1314" s="71" t="s">
        <v>51</v>
      </c>
      <c r="C1314" s="71">
        <v>2026</v>
      </c>
      <c r="D1314" s="71">
        <v>11</v>
      </c>
      <c r="E1314" s="71" t="s">
        <v>44</v>
      </c>
      <c r="F1314" s="71" t="s">
        <v>43</v>
      </c>
      <c r="G1314" s="72">
        <v>46.6</v>
      </c>
      <c r="H1314" s="73">
        <v>842</v>
      </c>
      <c r="I1314" s="73">
        <v>-136</v>
      </c>
      <c r="J1314" s="73">
        <v>-10</v>
      </c>
      <c r="K1314" s="73">
        <v>-234</v>
      </c>
      <c r="L1314" s="73">
        <v>-58</v>
      </c>
      <c r="M1314" s="73">
        <v>-36</v>
      </c>
      <c r="N1314" s="73">
        <v>-80</v>
      </c>
      <c r="O1314" s="73">
        <v>-47</v>
      </c>
      <c r="P1314" s="73">
        <v>-35</v>
      </c>
      <c r="Q1314" s="73">
        <v>-25</v>
      </c>
      <c r="R1314" s="73">
        <v>0</v>
      </c>
      <c r="S1314" s="73">
        <v>0</v>
      </c>
      <c r="T1314" s="73">
        <v>0</v>
      </c>
      <c r="U1314" s="73">
        <v>0</v>
      </c>
      <c r="V1314" s="73">
        <v>0</v>
      </c>
      <c r="W1314" s="73">
        <v>0</v>
      </c>
      <c r="X1314" s="73">
        <v>0</v>
      </c>
      <c r="Y1314" s="73">
        <v>0</v>
      </c>
      <c r="Z1314" s="73">
        <v>1155</v>
      </c>
      <c r="AA1314" s="73">
        <v>1286</v>
      </c>
      <c r="AB1314" s="73">
        <v>0</v>
      </c>
      <c r="AC1314" s="73">
        <v>0</v>
      </c>
      <c r="AD1314" s="73">
        <v>0</v>
      </c>
      <c r="AE1314" s="73">
        <v>0</v>
      </c>
      <c r="AF1314" s="74">
        <f>tblData[[#This Row],[Gross Sales]]+tblData[[#This Row],[Trade Discounts]]+tblData[[#This Row],[Returns]]</f>
        <v>696</v>
      </c>
      <c r="AG1314" s="74">
        <f>tblData[[#This Row],[Material Cost]]+tblData[[#This Row],[Conversion Cost]]+tblData[[#This Row],[Inbound Freight]]</f>
        <v>-328</v>
      </c>
      <c r="AH1314" s="74">
        <f>tblData[[#This Row],[Net Revenue]]+tblData[[#This Row],[COGS]]</f>
        <v>368</v>
      </c>
      <c r="AI1314" s="74">
        <f>tblData[[#This Row],[Advertising]]+tblData[[#This Row],[Promotions]]</f>
        <v>-127</v>
      </c>
      <c r="AJ1314" s="74">
        <f>tblData[[#This Row],[Outbound Logistics]]+tblData[[#This Row],[Direct Selling]]</f>
        <v>-60</v>
      </c>
      <c r="AK1314" s="74">
        <f>tblData[[#This Row],[Gross Profit]]+tblData[[#This Row],[AP Spend]]+tblData[[#This Row],[Cost to Serve]]</f>
        <v>181</v>
      </c>
    </row>
    <row r="1315" spans="2:37" x14ac:dyDescent="0.25">
      <c r="B1315" s="71" t="s">
        <v>51</v>
      </c>
      <c r="C1315" s="71">
        <v>2026</v>
      </c>
      <c r="D1315" s="71">
        <v>11</v>
      </c>
      <c r="E1315" s="71" t="s">
        <v>45</v>
      </c>
      <c r="F1315" s="71" t="s">
        <v>38</v>
      </c>
      <c r="G1315" s="72">
        <v>183.9</v>
      </c>
      <c r="H1315" s="73">
        <v>2569</v>
      </c>
      <c r="I1315" s="73">
        <v>-595</v>
      </c>
      <c r="J1315" s="73">
        <v>-26</v>
      </c>
      <c r="K1315" s="73">
        <v>-563</v>
      </c>
      <c r="L1315" s="73">
        <v>-139</v>
      </c>
      <c r="M1315" s="73">
        <v>-86</v>
      </c>
      <c r="N1315" s="73">
        <v>-140</v>
      </c>
      <c r="O1315" s="73">
        <v>-82</v>
      </c>
      <c r="P1315" s="73">
        <v>-93</v>
      </c>
      <c r="Q1315" s="73">
        <v>-51</v>
      </c>
      <c r="R1315" s="73">
        <v>0</v>
      </c>
      <c r="S1315" s="73">
        <v>0</v>
      </c>
      <c r="T1315" s="73">
        <v>0</v>
      </c>
      <c r="U1315" s="73">
        <v>0</v>
      </c>
      <c r="V1315" s="73">
        <v>0</v>
      </c>
      <c r="W1315" s="73">
        <v>0</v>
      </c>
      <c r="X1315" s="73">
        <v>0</v>
      </c>
      <c r="Y1315" s="73">
        <v>0</v>
      </c>
      <c r="Z1315" s="73">
        <v>2891</v>
      </c>
      <c r="AA1315" s="73">
        <v>2444</v>
      </c>
      <c r="AB1315" s="73">
        <v>0</v>
      </c>
      <c r="AC1315" s="73">
        <v>0</v>
      </c>
      <c r="AD1315" s="73">
        <v>0</v>
      </c>
      <c r="AE1315" s="73">
        <v>0</v>
      </c>
      <c r="AF1315" s="74">
        <f>tblData[[#This Row],[Gross Sales]]+tblData[[#This Row],[Trade Discounts]]+tblData[[#This Row],[Returns]]</f>
        <v>1948</v>
      </c>
      <c r="AG1315" s="74">
        <f>tblData[[#This Row],[Material Cost]]+tblData[[#This Row],[Conversion Cost]]+tblData[[#This Row],[Inbound Freight]]</f>
        <v>-788</v>
      </c>
      <c r="AH1315" s="74">
        <f>tblData[[#This Row],[Net Revenue]]+tblData[[#This Row],[COGS]]</f>
        <v>1160</v>
      </c>
      <c r="AI1315" s="74">
        <f>tblData[[#This Row],[Advertising]]+tblData[[#This Row],[Promotions]]</f>
        <v>-222</v>
      </c>
      <c r="AJ1315" s="74">
        <f>tblData[[#This Row],[Outbound Logistics]]+tblData[[#This Row],[Direct Selling]]</f>
        <v>-144</v>
      </c>
      <c r="AK1315" s="74">
        <f>tblData[[#This Row],[Gross Profit]]+tblData[[#This Row],[AP Spend]]+tblData[[#This Row],[Cost to Serve]]</f>
        <v>794</v>
      </c>
    </row>
    <row r="1316" spans="2:37" x14ac:dyDescent="0.25">
      <c r="B1316" s="71" t="s">
        <v>51</v>
      </c>
      <c r="C1316" s="71">
        <v>2026</v>
      </c>
      <c r="D1316" s="71">
        <v>11</v>
      </c>
      <c r="E1316" s="71" t="s">
        <v>45</v>
      </c>
      <c r="F1316" s="71" t="s">
        <v>39</v>
      </c>
      <c r="G1316" s="72">
        <v>236.6</v>
      </c>
      <c r="H1316" s="73">
        <v>2117</v>
      </c>
      <c r="I1316" s="73">
        <v>-490</v>
      </c>
      <c r="J1316" s="73">
        <v>-21</v>
      </c>
      <c r="K1316" s="73">
        <v>-557</v>
      </c>
      <c r="L1316" s="73">
        <v>-137</v>
      </c>
      <c r="M1316" s="73">
        <v>-85</v>
      </c>
      <c r="N1316" s="73">
        <v>-80</v>
      </c>
      <c r="O1316" s="73">
        <v>-47</v>
      </c>
      <c r="P1316" s="73">
        <v>-76</v>
      </c>
      <c r="Q1316" s="73">
        <v>-42</v>
      </c>
      <c r="R1316" s="73">
        <v>0</v>
      </c>
      <c r="S1316" s="73">
        <v>0</v>
      </c>
      <c r="T1316" s="73">
        <v>0</v>
      </c>
      <c r="U1316" s="73">
        <v>0</v>
      </c>
      <c r="V1316" s="73">
        <v>0</v>
      </c>
      <c r="W1316" s="73">
        <v>0</v>
      </c>
      <c r="X1316" s="73">
        <v>0</v>
      </c>
      <c r="Y1316" s="73">
        <v>0</v>
      </c>
      <c r="Z1316" s="73">
        <v>2409</v>
      </c>
      <c r="AA1316" s="73">
        <v>2081</v>
      </c>
      <c r="AB1316" s="73">
        <v>0</v>
      </c>
      <c r="AC1316" s="73">
        <v>0</v>
      </c>
      <c r="AD1316" s="73">
        <v>0</v>
      </c>
      <c r="AE1316" s="73">
        <v>0</v>
      </c>
      <c r="AF1316" s="74">
        <f>tblData[[#This Row],[Gross Sales]]+tblData[[#This Row],[Trade Discounts]]+tblData[[#This Row],[Returns]]</f>
        <v>1606</v>
      </c>
      <c r="AG1316" s="74">
        <f>tblData[[#This Row],[Material Cost]]+tblData[[#This Row],[Conversion Cost]]+tblData[[#This Row],[Inbound Freight]]</f>
        <v>-779</v>
      </c>
      <c r="AH1316" s="74">
        <f>tblData[[#This Row],[Net Revenue]]+tblData[[#This Row],[COGS]]</f>
        <v>827</v>
      </c>
      <c r="AI1316" s="74">
        <f>tblData[[#This Row],[Advertising]]+tblData[[#This Row],[Promotions]]</f>
        <v>-127</v>
      </c>
      <c r="AJ1316" s="74">
        <f>tblData[[#This Row],[Outbound Logistics]]+tblData[[#This Row],[Direct Selling]]</f>
        <v>-118</v>
      </c>
      <c r="AK1316" s="74">
        <f>tblData[[#This Row],[Gross Profit]]+tblData[[#This Row],[AP Spend]]+tblData[[#This Row],[Cost to Serve]]</f>
        <v>582</v>
      </c>
    </row>
    <row r="1317" spans="2:37" x14ac:dyDescent="0.25">
      <c r="B1317" s="71" t="s">
        <v>51</v>
      </c>
      <c r="C1317" s="71">
        <v>2026</v>
      </c>
      <c r="D1317" s="71">
        <v>11</v>
      </c>
      <c r="E1317" s="71" t="s">
        <v>45</v>
      </c>
      <c r="F1317" s="71" t="s">
        <v>40</v>
      </c>
      <c r="G1317" s="72">
        <v>226.5</v>
      </c>
      <c r="H1317" s="73">
        <v>1573</v>
      </c>
      <c r="I1317" s="73">
        <v>-364</v>
      </c>
      <c r="J1317" s="73">
        <v>-16</v>
      </c>
      <c r="K1317" s="73">
        <v>-460</v>
      </c>
      <c r="L1317" s="73">
        <v>-113</v>
      </c>
      <c r="M1317" s="73">
        <v>-70</v>
      </c>
      <c r="N1317" s="73">
        <v>-40</v>
      </c>
      <c r="O1317" s="73">
        <v>-24</v>
      </c>
      <c r="P1317" s="73">
        <v>-57</v>
      </c>
      <c r="Q1317" s="73">
        <v>-31</v>
      </c>
      <c r="R1317" s="73">
        <v>0</v>
      </c>
      <c r="S1317" s="73">
        <v>0</v>
      </c>
      <c r="T1317" s="73">
        <v>0</v>
      </c>
      <c r="U1317" s="73">
        <v>0</v>
      </c>
      <c r="V1317" s="73">
        <v>0</v>
      </c>
      <c r="W1317" s="73">
        <v>0</v>
      </c>
      <c r="X1317" s="73">
        <v>0</v>
      </c>
      <c r="Y1317" s="73">
        <v>0</v>
      </c>
      <c r="Z1317" s="73">
        <v>1781</v>
      </c>
      <c r="AA1317" s="73">
        <v>1610</v>
      </c>
      <c r="AB1317" s="73">
        <v>0</v>
      </c>
      <c r="AC1317" s="73">
        <v>0</v>
      </c>
      <c r="AD1317" s="73">
        <v>0</v>
      </c>
      <c r="AE1317" s="73">
        <v>0</v>
      </c>
      <c r="AF1317" s="74">
        <f>tblData[[#This Row],[Gross Sales]]+tblData[[#This Row],[Trade Discounts]]+tblData[[#This Row],[Returns]]</f>
        <v>1193</v>
      </c>
      <c r="AG1317" s="74">
        <f>tblData[[#This Row],[Material Cost]]+tblData[[#This Row],[Conversion Cost]]+tblData[[#This Row],[Inbound Freight]]</f>
        <v>-643</v>
      </c>
      <c r="AH1317" s="74">
        <f>tblData[[#This Row],[Net Revenue]]+tblData[[#This Row],[COGS]]</f>
        <v>550</v>
      </c>
      <c r="AI1317" s="74">
        <f>tblData[[#This Row],[Advertising]]+tblData[[#This Row],[Promotions]]</f>
        <v>-64</v>
      </c>
      <c r="AJ1317" s="74">
        <f>tblData[[#This Row],[Outbound Logistics]]+tblData[[#This Row],[Direct Selling]]</f>
        <v>-88</v>
      </c>
      <c r="AK1317" s="74">
        <f>tblData[[#This Row],[Gross Profit]]+tblData[[#This Row],[AP Spend]]+tblData[[#This Row],[Cost to Serve]]</f>
        <v>398</v>
      </c>
    </row>
    <row r="1318" spans="2:37" x14ac:dyDescent="0.25">
      <c r="B1318" s="71" t="s">
        <v>51</v>
      </c>
      <c r="C1318" s="71">
        <v>2026</v>
      </c>
      <c r="D1318" s="71">
        <v>11</v>
      </c>
      <c r="E1318" s="71" t="s">
        <v>45</v>
      </c>
      <c r="F1318" s="71" t="s">
        <v>41</v>
      </c>
      <c r="G1318" s="72">
        <v>114.9</v>
      </c>
      <c r="H1318" s="73">
        <v>1257</v>
      </c>
      <c r="I1318" s="73">
        <v>-291</v>
      </c>
      <c r="J1318" s="73">
        <v>-13</v>
      </c>
      <c r="K1318" s="73">
        <v>-303</v>
      </c>
      <c r="L1318" s="73">
        <v>-75</v>
      </c>
      <c r="M1318" s="73">
        <v>-46</v>
      </c>
      <c r="N1318" s="73">
        <v>-86</v>
      </c>
      <c r="O1318" s="73">
        <v>-50</v>
      </c>
      <c r="P1318" s="73">
        <v>-45</v>
      </c>
      <c r="Q1318" s="73">
        <v>-25</v>
      </c>
      <c r="R1318" s="73">
        <v>0</v>
      </c>
      <c r="S1318" s="73">
        <v>0</v>
      </c>
      <c r="T1318" s="73">
        <v>0</v>
      </c>
      <c r="U1318" s="73">
        <v>0</v>
      </c>
      <c r="V1318" s="73">
        <v>0</v>
      </c>
      <c r="W1318" s="73">
        <v>0</v>
      </c>
      <c r="X1318" s="73">
        <v>0</v>
      </c>
      <c r="Y1318" s="73">
        <v>0</v>
      </c>
      <c r="Z1318" s="73">
        <v>1419</v>
      </c>
      <c r="AA1318" s="73">
        <v>1255</v>
      </c>
      <c r="AB1318" s="73">
        <v>0</v>
      </c>
      <c r="AC1318" s="73">
        <v>0</v>
      </c>
      <c r="AD1318" s="73">
        <v>0</v>
      </c>
      <c r="AE1318" s="73">
        <v>0</v>
      </c>
      <c r="AF1318" s="74">
        <f>tblData[[#This Row],[Gross Sales]]+tblData[[#This Row],[Trade Discounts]]+tblData[[#This Row],[Returns]]</f>
        <v>953</v>
      </c>
      <c r="AG1318" s="74">
        <f>tblData[[#This Row],[Material Cost]]+tblData[[#This Row],[Conversion Cost]]+tblData[[#This Row],[Inbound Freight]]</f>
        <v>-424</v>
      </c>
      <c r="AH1318" s="74">
        <f>tblData[[#This Row],[Net Revenue]]+tblData[[#This Row],[COGS]]</f>
        <v>529</v>
      </c>
      <c r="AI1318" s="74">
        <f>tblData[[#This Row],[Advertising]]+tblData[[#This Row],[Promotions]]</f>
        <v>-136</v>
      </c>
      <c r="AJ1318" s="74">
        <f>tblData[[#This Row],[Outbound Logistics]]+tblData[[#This Row],[Direct Selling]]</f>
        <v>-70</v>
      </c>
      <c r="AK1318" s="74">
        <f>tblData[[#This Row],[Gross Profit]]+tblData[[#This Row],[AP Spend]]+tblData[[#This Row],[Cost to Serve]]</f>
        <v>323</v>
      </c>
    </row>
    <row r="1319" spans="2:37" x14ac:dyDescent="0.25">
      <c r="B1319" s="71" t="s">
        <v>51</v>
      </c>
      <c r="C1319" s="71">
        <v>2026</v>
      </c>
      <c r="D1319" s="71">
        <v>11</v>
      </c>
      <c r="E1319" s="71" t="s">
        <v>45</v>
      </c>
      <c r="F1319" s="71" t="s">
        <v>42</v>
      </c>
      <c r="G1319" s="72">
        <v>138.19999999999999</v>
      </c>
      <c r="H1319" s="73">
        <v>820</v>
      </c>
      <c r="I1319" s="73">
        <v>-190</v>
      </c>
      <c r="J1319" s="73">
        <v>-8</v>
      </c>
      <c r="K1319" s="73">
        <v>-263</v>
      </c>
      <c r="L1319" s="73">
        <v>-65</v>
      </c>
      <c r="M1319" s="73">
        <v>-40</v>
      </c>
      <c r="N1319" s="73">
        <v>-17</v>
      </c>
      <c r="O1319" s="73">
        <v>-10</v>
      </c>
      <c r="P1319" s="73">
        <v>-30</v>
      </c>
      <c r="Q1319" s="73">
        <v>-16</v>
      </c>
      <c r="R1319" s="73">
        <v>0</v>
      </c>
      <c r="S1319" s="73">
        <v>0</v>
      </c>
      <c r="T1319" s="73">
        <v>0</v>
      </c>
      <c r="U1319" s="73">
        <v>0</v>
      </c>
      <c r="V1319" s="73">
        <v>0</v>
      </c>
      <c r="W1319" s="73">
        <v>0</v>
      </c>
      <c r="X1319" s="73">
        <v>0</v>
      </c>
      <c r="Y1319" s="73">
        <v>0</v>
      </c>
      <c r="Z1319" s="73">
        <v>942</v>
      </c>
      <c r="AA1319" s="73">
        <v>1445</v>
      </c>
      <c r="AB1319" s="73">
        <v>0</v>
      </c>
      <c r="AC1319" s="73">
        <v>0</v>
      </c>
      <c r="AD1319" s="73">
        <v>0</v>
      </c>
      <c r="AE1319" s="73">
        <v>0</v>
      </c>
      <c r="AF1319" s="74">
        <f>tblData[[#This Row],[Gross Sales]]+tblData[[#This Row],[Trade Discounts]]+tblData[[#This Row],[Returns]]</f>
        <v>622</v>
      </c>
      <c r="AG1319" s="74">
        <f>tblData[[#This Row],[Material Cost]]+tblData[[#This Row],[Conversion Cost]]+tblData[[#This Row],[Inbound Freight]]</f>
        <v>-368</v>
      </c>
      <c r="AH1319" s="74">
        <f>tblData[[#This Row],[Net Revenue]]+tblData[[#This Row],[COGS]]</f>
        <v>254</v>
      </c>
      <c r="AI1319" s="74">
        <f>tblData[[#This Row],[Advertising]]+tblData[[#This Row],[Promotions]]</f>
        <v>-27</v>
      </c>
      <c r="AJ1319" s="74">
        <f>tblData[[#This Row],[Outbound Logistics]]+tblData[[#This Row],[Direct Selling]]</f>
        <v>-46</v>
      </c>
      <c r="AK1319" s="74">
        <f>tblData[[#This Row],[Gross Profit]]+tblData[[#This Row],[AP Spend]]+tblData[[#This Row],[Cost to Serve]]</f>
        <v>181</v>
      </c>
    </row>
    <row r="1320" spans="2:37" x14ac:dyDescent="0.25">
      <c r="B1320" s="71" t="s">
        <v>51</v>
      </c>
      <c r="C1320" s="71">
        <v>2026</v>
      </c>
      <c r="D1320" s="71">
        <v>11</v>
      </c>
      <c r="E1320" s="71" t="s">
        <v>45</v>
      </c>
      <c r="F1320" s="71" t="s">
        <v>43</v>
      </c>
      <c r="G1320" s="72">
        <v>26</v>
      </c>
      <c r="H1320" s="73">
        <v>465</v>
      </c>
      <c r="I1320" s="73">
        <v>-108</v>
      </c>
      <c r="J1320" s="73">
        <v>-5</v>
      </c>
      <c r="K1320" s="73">
        <v>-129</v>
      </c>
      <c r="L1320" s="73">
        <v>-32</v>
      </c>
      <c r="M1320" s="73">
        <v>-20</v>
      </c>
      <c r="N1320" s="73">
        <v>-47</v>
      </c>
      <c r="O1320" s="73">
        <v>-27</v>
      </c>
      <c r="P1320" s="73">
        <v>-17</v>
      </c>
      <c r="Q1320" s="73">
        <v>-9</v>
      </c>
      <c r="R1320" s="73">
        <v>0</v>
      </c>
      <c r="S1320" s="73">
        <v>0</v>
      </c>
      <c r="T1320" s="73">
        <v>0</v>
      </c>
      <c r="U1320" s="73">
        <v>0</v>
      </c>
      <c r="V1320" s="73">
        <v>0</v>
      </c>
      <c r="W1320" s="73">
        <v>0</v>
      </c>
      <c r="X1320" s="73">
        <v>0</v>
      </c>
      <c r="Y1320" s="73">
        <v>0</v>
      </c>
      <c r="Z1320" s="73">
        <v>540</v>
      </c>
      <c r="AA1320" s="73">
        <v>721</v>
      </c>
      <c r="AB1320" s="73">
        <v>0</v>
      </c>
      <c r="AC1320" s="73">
        <v>0</v>
      </c>
      <c r="AD1320" s="73">
        <v>0</v>
      </c>
      <c r="AE1320" s="73">
        <v>0</v>
      </c>
      <c r="AF1320" s="74">
        <f>tblData[[#This Row],[Gross Sales]]+tblData[[#This Row],[Trade Discounts]]+tblData[[#This Row],[Returns]]</f>
        <v>352</v>
      </c>
      <c r="AG1320" s="74">
        <f>tblData[[#This Row],[Material Cost]]+tblData[[#This Row],[Conversion Cost]]+tblData[[#This Row],[Inbound Freight]]</f>
        <v>-181</v>
      </c>
      <c r="AH1320" s="74">
        <f>tblData[[#This Row],[Net Revenue]]+tblData[[#This Row],[COGS]]</f>
        <v>171</v>
      </c>
      <c r="AI1320" s="74">
        <f>tblData[[#This Row],[Advertising]]+tblData[[#This Row],[Promotions]]</f>
        <v>-74</v>
      </c>
      <c r="AJ1320" s="74">
        <f>tblData[[#This Row],[Outbound Logistics]]+tblData[[#This Row],[Direct Selling]]</f>
        <v>-26</v>
      </c>
      <c r="AK1320" s="74">
        <f>tblData[[#This Row],[Gross Profit]]+tblData[[#This Row],[AP Spend]]+tblData[[#This Row],[Cost to Serve]]</f>
        <v>71</v>
      </c>
    </row>
    <row r="1321" spans="2:37" x14ac:dyDescent="0.25">
      <c r="B1321" s="71" t="s">
        <v>51</v>
      </c>
      <c r="C1321" s="71">
        <v>2026</v>
      </c>
      <c r="D1321" s="71">
        <v>11</v>
      </c>
      <c r="E1321" s="71" t="s">
        <v>46</v>
      </c>
      <c r="F1321" s="71" t="s">
        <v>38</v>
      </c>
      <c r="G1321" s="72">
        <v>234.5</v>
      </c>
      <c r="H1321" s="73">
        <v>3308</v>
      </c>
      <c r="I1321" s="73">
        <v>-357</v>
      </c>
      <c r="J1321" s="73">
        <v>-132</v>
      </c>
      <c r="K1321" s="73">
        <v>-725</v>
      </c>
      <c r="L1321" s="73">
        <v>-179</v>
      </c>
      <c r="M1321" s="73">
        <v>-111</v>
      </c>
      <c r="N1321" s="73">
        <v>-160</v>
      </c>
      <c r="O1321" s="73">
        <v>-94</v>
      </c>
      <c r="P1321" s="73">
        <v>-255</v>
      </c>
      <c r="Q1321" s="73">
        <v>-66</v>
      </c>
      <c r="R1321" s="73">
        <v>0</v>
      </c>
      <c r="S1321" s="73">
        <v>0</v>
      </c>
      <c r="T1321" s="73">
        <v>0</v>
      </c>
      <c r="U1321" s="73">
        <v>0</v>
      </c>
      <c r="V1321" s="73">
        <v>0</v>
      </c>
      <c r="W1321" s="73">
        <v>0</v>
      </c>
      <c r="X1321" s="73">
        <v>0</v>
      </c>
      <c r="Y1321" s="73">
        <v>0</v>
      </c>
      <c r="Z1321" s="73">
        <v>2374</v>
      </c>
      <c r="AA1321" s="73">
        <v>3073</v>
      </c>
      <c r="AB1321" s="73">
        <v>0</v>
      </c>
      <c r="AC1321" s="73">
        <v>0</v>
      </c>
      <c r="AD1321" s="73">
        <v>0</v>
      </c>
      <c r="AE1321" s="73">
        <v>0</v>
      </c>
      <c r="AF1321" s="74">
        <f>tblData[[#This Row],[Gross Sales]]+tblData[[#This Row],[Trade Discounts]]+tblData[[#This Row],[Returns]]</f>
        <v>2819</v>
      </c>
      <c r="AG1321" s="74">
        <f>tblData[[#This Row],[Material Cost]]+tblData[[#This Row],[Conversion Cost]]+tblData[[#This Row],[Inbound Freight]]</f>
        <v>-1015</v>
      </c>
      <c r="AH1321" s="74">
        <f>tblData[[#This Row],[Net Revenue]]+tblData[[#This Row],[COGS]]</f>
        <v>1804</v>
      </c>
      <c r="AI1321" s="74">
        <f>tblData[[#This Row],[Advertising]]+tblData[[#This Row],[Promotions]]</f>
        <v>-254</v>
      </c>
      <c r="AJ1321" s="74">
        <f>tblData[[#This Row],[Outbound Logistics]]+tblData[[#This Row],[Direct Selling]]</f>
        <v>-321</v>
      </c>
      <c r="AK1321" s="74">
        <f>tblData[[#This Row],[Gross Profit]]+tblData[[#This Row],[AP Spend]]+tblData[[#This Row],[Cost to Serve]]</f>
        <v>1229</v>
      </c>
    </row>
    <row r="1322" spans="2:37" x14ac:dyDescent="0.25">
      <c r="B1322" s="71" t="s">
        <v>51</v>
      </c>
      <c r="C1322" s="71">
        <v>2026</v>
      </c>
      <c r="D1322" s="71">
        <v>11</v>
      </c>
      <c r="E1322" s="71" t="s">
        <v>46</v>
      </c>
      <c r="F1322" s="71" t="s">
        <v>39</v>
      </c>
      <c r="G1322" s="72">
        <v>304.7</v>
      </c>
      <c r="H1322" s="73">
        <v>2753</v>
      </c>
      <c r="I1322" s="73">
        <v>-297</v>
      </c>
      <c r="J1322" s="73">
        <v>-110</v>
      </c>
      <c r="K1322" s="73">
        <v>-724</v>
      </c>
      <c r="L1322" s="73">
        <v>-178</v>
      </c>
      <c r="M1322" s="73">
        <v>-111</v>
      </c>
      <c r="N1322" s="73">
        <v>-91</v>
      </c>
      <c r="O1322" s="73">
        <v>-54</v>
      </c>
      <c r="P1322" s="73">
        <v>-212</v>
      </c>
      <c r="Q1322" s="73">
        <v>-55</v>
      </c>
      <c r="R1322" s="73">
        <v>0</v>
      </c>
      <c r="S1322" s="73">
        <v>0</v>
      </c>
      <c r="T1322" s="73">
        <v>0</v>
      </c>
      <c r="U1322" s="73">
        <v>0</v>
      </c>
      <c r="V1322" s="73">
        <v>0</v>
      </c>
      <c r="W1322" s="73">
        <v>0</v>
      </c>
      <c r="X1322" s="73">
        <v>0</v>
      </c>
      <c r="Y1322" s="73">
        <v>0</v>
      </c>
      <c r="Z1322" s="73">
        <v>1990</v>
      </c>
      <c r="AA1322" s="73">
        <v>2631</v>
      </c>
      <c r="AB1322" s="73">
        <v>0</v>
      </c>
      <c r="AC1322" s="73">
        <v>0</v>
      </c>
      <c r="AD1322" s="73">
        <v>0</v>
      </c>
      <c r="AE1322" s="73">
        <v>0</v>
      </c>
      <c r="AF1322" s="74">
        <f>tblData[[#This Row],[Gross Sales]]+tblData[[#This Row],[Trade Discounts]]+tblData[[#This Row],[Returns]]</f>
        <v>2346</v>
      </c>
      <c r="AG1322" s="74">
        <f>tblData[[#This Row],[Material Cost]]+tblData[[#This Row],[Conversion Cost]]+tblData[[#This Row],[Inbound Freight]]</f>
        <v>-1013</v>
      </c>
      <c r="AH1322" s="74">
        <f>tblData[[#This Row],[Net Revenue]]+tblData[[#This Row],[COGS]]</f>
        <v>1333</v>
      </c>
      <c r="AI1322" s="74">
        <f>tblData[[#This Row],[Advertising]]+tblData[[#This Row],[Promotions]]</f>
        <v>-145</v>
      </c>
      <c r="AJ1322" s="74">
        <f>tblData[[#This Row],[Outbound Logistics]]+tblData[[#This Row],[Direct Selling]]</f>
        <v>-267</v>
      </c>
      <c r="AK1322" s="74">
        <f>tblData[[#This Row],[Gross Profit]]+tblData[[#This Row],[AP Spend]]+tblData[[#This Row],[Cost to Serve]]</f>
        <v>921</v>
      </c>
    </row>
    <row r="1323" spans="2:37" x14ac:dyDescent="0.25">
      <c r="B1323" s="71" t="s">
        <v>51</v>
      </c>
      <c r="C1323" s="71">
        <v>2026</v>
      </c>
      <c r="D1323" s="71">
        <v>11</v>
      </c>
      <c r="E1323" s="71" t="s">
        <v>46</v>
      </c>
      <c r="F1323" s="71" t="s">
        <v>40</v>
      </c>
      <c r="G1323" s="72">
        <v>287.5</v>
      </c>
      <c r="H1323" s="73">
        <v>2017</v>
      </c>
      <c r="I1323" s="73">
        <v>-218</v>
      </c>
      <c r="J1323" s="73">
        <v>-81</v>
      </c>
      <c r="K1323" s="73">
        <v>-589</v>
      </c>
      <c r="L1323" s="73">
        <v>-145</v>
      </c>
      <c r="M1323" s="73">
        <v>-90</v>
      </c>
      <c r="N1323" s="73">
        <v>-46</v>
      </c>
      <c r="O1323" s="73">
        <v>-27</v>
      </c>
      <c r="P1323" s="73">
        <v>-156</v>
      </c>
      <c r="Q1323" s="73">
        <v>-40</v>
      </c>
      <c r="R1323" s="73">
        <v>0</v>
      </c>
      <c r="S1323" s="73">
        <v>0</v>
      </c>
      <c r="T1323" s="73">
        <v>0</v>
      </c>
      <c r="U1323" s="73">
        <v>0</v>
      </c>
      <c r="V1323" s="73">
        <v>0</v>
      </c>
      <c r="W1323" s="73">
        <v>0</v>
      </c>
      <c r="X1323" s="73">
        <v>0</v>
      </c>
      <c r="Y1323" s="73">
        <v>0</v>
      </c>
      <c r="Z1323" s="73">
        <v>1465</v>
      </c>
      <c r="AA1323" s="73">
        <v>2027</v>
      </c>
      <c r="AB1323" s="73">
        <v>0</v>
      </c>
      <c r="AC1323" s="73">
        <v>0</v>
      </c>
      <c r="AD1323" s="73">
        <v>0</v>
      </c>
      <c r="AE1323" s="73">
        <v>0</v>
      </c>
      <c r="AF1323" s="74">
        <f>tblData[[#This Row],[Gross Sales]]+tblData[[#This Row],[Trade Discounts]]+tblData[[#This Row],[Returns]]</f>
        <v>1718</v>
      </c>
      <c r="AG1323" s="74">
        <f>tblData[[#This Row],[Material Cost]]+tblData[[#This Row],[Conversion Cost]]+tblData[[#This Row],[Inbound Freight]]</f>
        <v>-824</v>
      </c>
      <c r="AH1323" s="74">
        <f>tblData[[#This Row],[Net Revenue]]+tblData[[#This Row],[COGS]]</f>
        <v>894</v>
      </c>
      <c r="AI1323" s="74">
        <f>tblData[[#This Row],[Advertising]]+tblData[[#This Row],[Promotions]]</f>
        <v>-73</v>
      </c>
      <c r="AJ1323" s="74">
        <f>tblData[[#This Row],[Outbound Logistics]]+tblData[[#This Row],[Direct Selling]]</f>
        <v>-196</v>
      </c>
      <c r="AK1323" s="74">
        <f>tblData[[#This Row],[Gross Profit]]+tblData[[#This Row],[AP Spend]]+tblData[[#This Row],[Cost to Serve]]</f>
        <v>625</v>
      </c>
    </row>
    <row r="1324" spans="2:37" x14ac:dyDescent="0.25">
      <c r="B1324" s="71" t="s">
        <v>51</v>
      </c>
      <c r="C1324" s="71">
        <v>2026</v>
      </c>
      <c r="D1324" s="71">
        <v>11</v>
      </c>
      <c r="E1324" s="71" t="s">
        <v>46</v>
      </c>
      <c r="F1324" s="71" t="s">
        <v>41</v>
      </c>
      <c r="G1324" s="72">
        <v>147.69999999999999</v>
      </c>
      <c r="H1324" s="73">
        <v>1633</v>
      </c>
      <c r="I1324" s="73">
        <v>-176</v>
      </c>
      <c r="J1324" s="73">
        <v>-65</v>
      </c>
      <c r="K1324" s="73">
        <v>-394</v>
      </c>
      <c r="L1324" s="73">
        <v>-97</v>
      </c>
      <c r="M1324" s="73">
        <v>-60</v>
      </c>
      <c r="N1324" s="73">
        <v>-98</v>
      </c>
      <c r="O1324" s="73">
        <v>-58</v>
      </c>
      <c r="P1324" s="73">
        <v>-126</v>
      </c>
      <c r="Q1324" s="73">
        <v>-33</v>
      </c>
      <c r="R1324" s="73">
        <v>0</v>
      </c>
      <c r="S1324" s="73">
        <v>0</v>
      </c>
      <c r="T1324" s="73">
        <v>0</v>
      </c>
      <c r="U1324" s="73">
        <v>0</v>
      </c>
      <c r="V1324" s="73">
        <v>0</v>
      </c>
      <c r="W1324" s="73">
        <v>0</v>
      </c>
      <c r="X1324" s="73">
        <v>0</v>
      </c>
      <c r="Y1324" s="73">
        <v>0</v>
      </c>
      <c r="Z1324" s="73">
        <v>1174</v>
      </c>
      <c r="AA1324" s="73">
        <v>1589</v>
      </c>
      <c r="AB1324" s="73">
        <v>0</v>
      </c>
      <c r="AC1324" s="73">
        <v>0</v>
      </c>
      <c r="AD1324" s="73">
        <v>0</v>
      </c>
      <c r="AE1324" s="73">
        <v>0</v>
      </c>
      <c r="AF1324" s="74">
        <f>tblData[[#This Row],[Gross Sales]]+tblData[[#This Row],[Trade Discounts]]+tblData[[#This Row],[Returns]]</f>
        <v>1392</v>
      </c>
      <c r="AG1324" s="74">
        <f>tblData[[#This Row],[Material Cost]]+tblData[[#This Row],[Conversion Cost]]+tblData[[#This Row],[Inbound Freight]]</f>
        <v>-551</v>
      </c>
      <c r="AH1324" s="74">
        <f>tblData[[#This Row],[Net Revenue]]+tblData[[#This Row],[COGS]]</f>
        <v>841</v>
      </c>
      <c r="AI1324" s="74">
        <f>tblData[[#This Row],[Advertising]]+tblData[[#This Row],[Promotions]]</f>
        <v>-156</v>
      </c>
      <c r="AJ1324" s="74">
        <f>tblData[[#This Row],[Outbound Logistics]]+tblData[[#This Row],[Direct Selling]]</f>
        <v>-159</v>
      </c>
      <c r="AK1324" s="74">
        <f>tblData[[#This Row],[Gross Profit]]+tblData[[#This Row],[AP Spend]]+tblData[[#This Row],[Cost to Serve]]</f>
        <v>526</v>
      </c>
    </row>
    <row r="1325" spans="2:37" x14ac:dyDescent="0.25">
      <c r="B1325" s="71" t="s">
        <v>51</v>
      </c>
      <c r="C1325" s="71">
        <v>2026</v>
      </c>
      <c r="D1325" s="71">
        <v>11</v>
      </c>
      <c r="E1325" s="71" t="s">
        <v>46</v>
      </c>
      <c r="F1325" s="71" t="s">
        <v>42</v>
      </c>
      <c r="G1325" s="72">
        <v>175.1</v>
      </c>
      <c r="H1325" s="73">
        <v>1049</v>
      </c>
      <c r="I1325" s="73">
        <v>-113</v>
      </c>
      <c r="J1325" s="73">
        <v>-42</v>
      </c>
      <c r="K1325" s="73">
        <v>-337</v>
      </c>
      <c r="L1325" s="73">
        <v>-83</v>
      </c>
      <c r="M1325" s="73">
        <v>-52</v>
      </c>
      <c r="N1325" s="73">
        <v>-19</v>
      </c>
      <c r="O1325" s="73">
        <v>-11</v>
      </c>
      <c r="P1325" s="73">
        <v>-81</v>
      </c>
      <c r="Q1325" s="73">
        <v>-21</v>
      </c>
      <c r="R1325" s="73">
        <v>0</v>
      </c>
      <c r="S1325" s="73">
        <v>0</v>
      </c>
      <c r="T1325" s="73">
        <v>0</v>
      </c>
      <c r="U1325" s="73">
        <v>0</v>
      </c>
      <c r="V1325" s="73">
        <v>0</v>
      </c>
      <c r="W1325" s="73">
        <v>0</v>
      </c>
      <c r="X1325" s="73">
        <v>0</v>
      </c>
      <c r="Y1325" s="73">
        <v>0</v>
      </c>
      <c r="Z1325" s="73">
        <v>771</v>
      </c>
      <c r="AA1325" s="73">
        <v>1812</v>
      </c>
      <c r="AB1325" s="73">
        <v>0</v>
      </c>
      <c r="AC1325" s="73">
        <v>0</v>
      </c>
      <c r="AD1325" s="73">
        <v>0</v>
      </c>
      <c r="AE1325" s="73">
        <v>0</v>
      </c>
      <c r="AF1325" s="74">
        <f>tblData[[#This Row],[Gross Sales]]+tblData[[#This Row],[Trade Discounts]]+tblData[[#This Row],[Returns]]</f>
        <v>894</v>
      </c>
      <c r="AG1325" s="74">
        <f>tblData[[#This Row],[Material Cost]]+tblData[[#This Row],[Conversion Cost]]+tblData[[#This Row],[Inbound Freight]]</f>
        <v>-472</v>
      </c>
      <c r="AH1325" s="74">
        <f>tblData[[#This Row],[Net Revenue]]+tblData[[#This Row],[COGS]]</f>
        <v>422</v>
      </c>
      <c r="AI1325" s="74">
        <f>tblData[[#This Row],[Advertising]]+tblData[[#This Row],[Promotions]]</f>
        <v>-30</v>
      </c>
      <c r="AJ1325" s="74">
        <f>tblData[[#This Row],[Outbound Logistics]]+tblData[[#This Row],[Direct Selling]]</f>
        <v>-102</v>
      </c>
      <c r="AK1325" s="74">
        <f>tblData[[#This Row],[Gross Profit]]+tblData[[#This Row],[AP Spend]]+tblData[[#This Row],[Cost to Serve]]</f>
        <v>290</v>
      </c>
    </row>
    <row r="1326" spans="2:37" x14ac:dyDescent="0.25">
      <c r="B1326" s="71" t="s">
        <v>51</v>
      </c>
      <c r="C1326" s="71">
        <v>2026</v>
      </c>
      <c r="D1326" s="71">
        <v>11</v>
      </c>
      <c r="E1326" s="71" t="s">
        <v>46</v>
      </c>
      <c r="F1326" s="71" t="s">
        <v>43</v>
      </c>
      <c r="G1326" s="72">
        <v>33.200000000000003</v>
      </c>
      <c r="H1326" s="73">
        <v>599</v>
      </c>
      <c r="I1326" s="73">
        <v>-65</v>
      </c>
      <c r="J1326" s="73">
        <v>-24</v>
      </c>
      <c r="K1326" s="73">
        <v>-166</v>
      </c>
      <c r="L1326" s="73">
        <v>-41</v>
      </c>
      <c r="M1326" s="73">
        <v>-25</v>
      </c>
      <c r="N1326" s="73">
        <v>-53</v>
      </c>
      <c r="O1326" s="73">
        <v>-31</v>
      </c>
      <c r="P1326" s="73">
        <v>-46</v>
      </c>
      <c r="Q1326" s="73">
        <v>-12</v>
      </c>
      <c r="R1326" s="73">
        <v>0</v>
      </c>
      <c r="S1326" s="73">
        <v>0</v>
      </c>
      <c r="T1326" s="73">
        <v>0</v>
      </c>
      <c r="U1326" s="73">
        <v>0</v>
      </c>
      <c r="V1326" s="73">
        <v>0</v>
      </c>
      <c r="W1326" s="73">
        <v>0</v>
      </c>
      <c r="X1326" s="73">
        <v>0</v>
      </c>
      <c r="Y1326" s="73">
        <v>0</v>
      </c>
      <c r="Z1326" s="73">
        <v>446</v>
      </c>
      <c r="AA1326" s="73">
        <v>911</v>
      </c>
      <c r="AB1326" s="73">
        <v>0</v>
      </c>
      <c r="AC1326" s="73">
        <v>0</v>
      </c>
      <c r="AD1326" s="73">
        <v>0</v>
      </c>
      <c r="AE1326" s="73">
        <v>0</v>
      </c>
      <c r="AF1326" s="74">
        <f>tblData[[#This Row],[Gross Sales]]+tblData[[#This Row],[Trade Discounts]]+tblData[[#This Row],[Returns]]</f>
        <v>510</v>
      </c>
      <c r="AG1326" s="74">
        <f>tblData[[#This Row],[Material Cost]]+tblData[[#This Row],[Conversion Cost]]+tblData[[#This Row],[Inbound Freight]]</f>
        <v>-232</v>
      </c>
      <c r="AH1326" s="74">
        <f>tblData[[#This Row],[Net Revenue]]+tblData[[#This Row],[COGS]]</f>
        <v>278</v>
      </c>
      <c r="AI1326" s="74">
        <f>tblData[[#This Row],[Advertising]]+tblData[[#This Row],[Promotions]]</f>
        <v>-84</v>
      </c>
      <c r="AJ1326" s="74">
        <f>tblData[[#This Row],[Outbound Logistics]]+tblData[[#This Row],[Direct Selling]]</f>
        <v>-58</v>
      </c>
      <c r="AK1326" s="74">
        <f>tblData[[#This Row],[Gross Profit]]+tblData[[#This Row],[AP Spend]]+tblData[[#This Row],[Cost to Serve]]</f>
        <v>136</v>
      </c>
    </row>
    <row r="1327" spans="2:37" x14ac:dyDescent="0.25">
      <c r="B1327" s="71" t="s">
        <v>51</v>
      </c>
      <c r="C1327" s="71">
        <v>2026</v>
      </c>
      <c r="D1327" s="71">
        <v>11</v>
      </c>
      <c r="E1327" s="71" t="s">
        <v>47</v>
      </c>
      <c r="F1327" s="71" t="s">
        <v>38</v>
      </c>
      <c r="G1327" s="72">
        <v>84.7</v>
      </c>
      <c r="H1327" s="73">
        <v>1200</v>
      </c>
      <c r="I1327" s="73">
        <v>-36</v>
      </c>
      <c r="J1327" s="73">
        <v>-60</v>
      </c>
      <c r="K1327" s="73">
        <v>-263</v>
      </c>
      <c r="L1327" s="73">
        <v>-65</v>
      </c>
      <c r="M1327" s="73">
        <v>-40</v>
      </c>
      <c r="N1327" s="73">
        <v>-60</v>
      </c>
      <c r="O1327" s="73">
        <v>-35</v>
      </c>
      <c r="P1327" s="73">
        <v>-148</v>
      </c>
      <c r="Q1327" s="73">
        <v>-48</v>
      </c>
      <c r="R1327" s="73">
        <v>0</v>
      </c>
      <c r="S1327" s="73">
        <v>0</v>
      </c>
      <c r="T1327" s="73">
        <v>0</v>
      </c>
      <c r="U1327" s="73">
        <v>0</v>
      </c>
      <c r="V1327" s="73">
        <v>0</v>
      </c>
      <c r="W1327" s="73">
        <v>0</v>
      </c>
      <c r="X1327" s="73">
        <v>0</v>
      </c>
      <c r="Y1327" s="73">
        <v>0</v>
      </c>
      <c r="Z1327" s="73">
        <v>202</v>
      </c>
      <c r="AA1327" s="73">
        <v>1130</v>
      </c>
      <c r="AB1327" s="73">
        <v>0</v>
      </c>
      <c r="AC1327" s="73">
        <v>0</v>
      </c>
      <c r="AD1327" s="73">
        <v>0</v>
      </c>
      <c r="AE1327" s="73">
        <v>0</v>
      </c>
      <c r="AF1327" s="74">
        <f>tblData[[#This Row],[Gross Sales]]+tblData[[#This Row],[Trade Discounts]]+tblData[[#This Row],[Returns]]</f>
        <v>1104</v>
      </c>
      <c r="AG1327" s="74">
        <f>tblData[[#This Row],[Material Cost]]+tblData[[#This Row],[Conversion Cost]]+tblData[[#This Row],[Inbound Freight]]</f>
        <v>-368</v>
      </c>
      <c r="AH1327" s="74">
        <f>tblData[[#This Row],[Net Revenue]]+tblData[[#This Row],[COGS]]</f>
        <v>736</v>
      </c>
      <c r="AI1327" s="74">
        <f>tblData[[#This Row],[Advertising]]+tblData[[#This Row],[Promotions]]</f>
        <v>-95</v>
      </c>
      <c r="AJ1327" s="74">
        <f>tblData[[#This Row],[Outbound Logistics]]+tblData[[#This Row],[Direct Selling]]</f>
        <v>-196</v>
      </c>
      <c r="AK1327" s="74">
        <f>tblData[[#This Row],[Gross Profit]]+tblData[[#This Row],[AP Spend]]+tblData[[#This Row],[Cost to Serve]]</f>
        <v>445</v>
      </c>
    </row>
    <row r="1328" spans="2:37" x14ac:dyDescent="0.25">
      <c r="B1328" s="71" t="s">
        <v>51</v>
      </c>
      <c r="C1328" s="71">
        <v>2026</v>
      </c>
      <c r="D1328" s="71">
        <v>11</v>
      </c>
      <c r="E1328" s="71" t="s">
        <v>47</v>
      </c>
      <c r="F1328" s="71" t="s">
        <v>39</v>
      </c>
      <c r="G1328" s="72">
        <v>110.9</v>
      </c>
      <c r="H1328" s="73">
        <v>1005</v>
      </c>
      <c r="I1328" s="73">
        <v>-30</v>
      </c>
      <c r="J1328" s="73">
        <v>-50</v>
      </c>
      <c r="K1328" s="73">
        <v>-264</v>
      </c>
      <c r="L1328" s="73">
        <v>-65</v>
      </c>
      <c r="M1328" s="73">
        <v>-40</v>
      </c>
      <c r="N1328" s="73">
        <v>-34</v>
      </c>
      <c r="O1328" s="73">
        <v>-20</v>
      </c>
      <c r="P1328" s="73">
        <v>-124</v>
      </c>
      <c r="Q1328" s="73">
        <v>-40</v>
      </c>
      <c r="R1328" s="73">
        <v>0</v>
      </c>
      <c r="S1328" s="73">
        <v>0</v>
      </c>
      <c r="T1328" s="73">
        <v>0</v>
      </c>
      <c r="U1328" s="73">
        <v>0</v>
      </c>
      <c r="V1328" s="73">
        <v>0</v>
      </c>
      <c r="W1328" s="73">
        <v>0</v>
      </c>
      <c r="X1328" s="73">
        <v>0</v>
      </c>
      <c r="Y1328" s="73">
        <v>0</v>
      </c>
      <c r="Z1328" s="73">
        <v>169</v>
      </c>
      <c r="AA1328" s="73">
        <v>968</v>
      </c>
      <c r="AB1328" s="73">
        <v>0</v>
      </c>
      <c r="AC1328" s="73">
        <v>0</v>
      </c>
      <c r="AD1328" s="73">
        <v>0</v>
      </c>
      <c r="AE1328" s="73">
        <v>0</v>
      </c>
      <c r="AF1328" s="74">
        <f>tblData[[#This Row],[Gross Sales]]+tblData[[#This Row],[Trade Discounts]]+tblData[[#This Row],[Returns]]</f>
        <v>925</v>
      </c>
      <c r="AG1328" s="74">
        <f>tblData[[#This Row],[Material Cost]]+tblData[[#This Row],[Conversion Cost]]+tblData[[#This Row],[Inbound Freight]]</f>
        <v>-369</v>
      </c>
      <c r="AH1328" s="74">
        <f>tblData[[#This Row],[Net Revenue]]+tblData[[#This Row],[COGS]]</f>
        <v>556</v>
      </c>
      <c r="AI1328" s="74">
        <f>tblData[[#This Row],[Advertising]]+tblData[[#This Row],[Promotions]]</f>
        <v>-54</v>
      </c>
      <c r="AJ1328" s="74">
        <f>tblData[[#This Row],[Outbound Logistics]]+tblData[[#This Row],[Direct Selling]]</f>
        <v>-164</v>
      </c>
      <c r="AK1328" s="74">
        <f>tblData[[#This Row],[Gross Profit]]+tblData[[#This Row],[AP Spend]]+tblData[[#This Row],[Cost to Serve]]</f>
        <v>338</v>
      </c>
    </row>
    <row r="1329" spans="2:37" x14ac:dyDescent="0.25">
      <c r="B1329" s="71" t="s">
        <v>51</v>
      </c>
      <c r="C1329" s="71">
        <v>2026</v>
      </c>
      <c r="D1329" s="71">
        <v>11</v>
      </c>
      <c r="E1329" s="71" t="s">
        <v>47</v>
      </c>
      <c r="F1329" s="71" t="s">
        <v>40</v>
      </c>
      <c r="G1329" s="72">
        <v>105.8</v>
      </c>
      <c r="H1329" s="73">
        <v>745</v>
      </c>
      <c r="I1329" s="73">
        <v>-22</v>
      </c>
      <c r="J1329" s="73">
        <v>-37</v>
      </c>
      <c r="K1329" s="73">
        <v>-218</v>
      </c>
      <c r="L1329" s="73">
        <v>-54</v>
      </c>
      <c r="M1329" s="73">
        <v>-33</v>
      </c>
      <c r="N1329" s="73">
        <v>-17</v>
      </c>
      <c r="O1329" s="73">
        <v>-10</v>
      </c>
      <c r="P1329" s="73">
        <v>-92</v>
      </c>
      <c r="Q1329" s="73">
        <v>-30</v>
      </c>
      <c r="R1329" s="73">
        <v>0</v>
      </c>
      <c r="S1329" s="73">
        <v>0</v>
      </c>
      <c r="T1329" s="73">
        <v>0</v>
      </c>
      <c r="U1329" s="73">
        <v>0</v>
      </c>
      <c r="V1329" s="73">
        <v>0</v>
      </c>
      <c r="W1329" s="73">
        <v>0</v>
      </c>
      <c r="X1329" s="73">
        <v>0</v>
      </c>
      <c r="Y1329" s="73">
        <v>0</v>
      </c>
      <c r="Z1329" s="73">
        <v>126</v>
      </c>
      <c r="AA1329" s="73">
        <v>750</v>
      </c>
      <c r="AB1329" s="73">
        <v>0</v>
      </c>
      <c r="AC1329" s="73">
        <v>0</v>
      </c>
      <c r="AD1329" s="73">
        <v>0</v>
      </c>
      <c r="AE1329" s="73">
        <v>0</v>
      </c>
      <c r="AF1329" s="74">
        <f>tblData[[#This Row],[Gross Sales]]+tblData[[#This Row],[Trade Discounts]]+tblData[[#This Row],[Returns]]</f>
        <v>686</v>
      </c>
      <c r="AG1329" s="74">
        <f>tblData[[#This Row],[Material Cost]]+tblData[[#This Row],[Conversion Cost]]+tblData[[#This Row],[Inbound Freight]]</f>
        <v>-305</v>
      </c>
      <c r="AH1329" s="74">
        <f>tblData[[#This Row],[Net Revenue]]+tblData[[#This Row],[COGS]]</f>
        <v>381</v>
      </c>
      <c r="AI1329" s="74">
        <f>tblData[[#This Row],[Advertising]]+tblData[[#This Row],[Promotions]]</f>
        <v>-27</v>
      </c>
      <c r="AJ1329" s="74">
        <f>tblData[[#This Row],[Outbound Logistics]]+tblData[[#This Row],[Direct Selling]]</f>
        <v>-122</v>
      </c>
      <c r="AK1329" s="74">
        <f>tblData[[#This Row],[Gross Profit]]+tblData[[#This Row],[AP Spend]]+tblData[[#This Row],[Cost to Serve]]</f>
        <v>232</v>
      </c>
    </row>
    <row r="1330" spans="2:37" x14ac:dyDescent="0.25">
      <c r="B1330" s="71" t="s">
        <v>51</v>
      </c>
      <c r="C1330" s="71">
        <v>2026</v>
      </c>
      <c r="D1330" s="71">
        <v>11</v>
      </c>
      <c r="E1330" s="71" t="s">
        <v>47</v>
      </c>
      <c r="F1330" s="71" t="s">
        <v>41</v>
      </c>
      <c r="G1330" s="72">
        <v>53.7</v>
      </c>
      <c r="H1330" s="73">
        <v>596</v>
      </c>
      <c r="I1330" s="73">
        <v>-18</v>
      </c>
      <c r="J1330" s="73">
        <v>-30</v>
      </c>
      <c r="K1330" s="73">
        <v>-144</v>
      </c>
      <c r="L1330" s="73">
        <v>-35</v>
      </c>
      <c r="M1330" s="73">
        <v>-22</v>
      </c>
      <c r="N1330" s="73">
        <v>-37</v>
      </c>
      <c r="O1330" s="73">
        <v>-22</v>
      </c>
      <c r="P1330" s="73">
        <v>-74</v>
      </c>
      <c r="Q1330" s="73">
        <v>-24</v>
      </c>
      <c r="R1330" s="73">
        <v>0</v>
      </c>
      <c r="S1330" s="73">
        <v>0</v>
      </c>
      <c r="T1330" s="73">
        <v>0</v>
      </c>
      <c r="U1330" s="73">
        <v>0</v>
      </c>
      <c r="V1330" s="73">
        <v>0</v>
      </c>
      <c r="W1330" s="73">
        <v>0</v>
      </c>
      <c r="X1330" s="73">
        <v>0</v>
      </c>
      <c r="Y1330" s="73">
        <v>0</v>
      </c>
      <c r="Z1330" s="73">
        <v>100</v>
      </c>
      <c r="AA1330" s="73">
        <v>585</v>
      </c>
      <c r="AB1330" s="73">
        <v>0</v>
      </c>
      <c r="AC1330" s="73">
        <v>0</v>
      </c>
      <c r="AD1330" s="73">
        <v>0</v>
      </c>
      <c r="AE1330" s="73">
        <v>0</v>
      </c>
      <c r="AF1330" s="74">
        <f>tblData[[#This Row],[Gross Sales]]+tblData[[#This Row],[Trade Discounts]]+tblData[[#This Row],[Returns]]</f>
        <v>548</v>
      </c>
      <c r="AG1330" s="74">
        <f>tblData[[#This Row],[Material Cost]]+tblData[[#This Row],[Conversion Cost]]+tblData[[#This Row],[Inbound Freight]]</f>
        <v>-201</v>
      </c>
      <c r="AH1330" s="74">
        <f>tblData[[#This Row],[Net Revenue]]+tblData[[#This Row],[COGS]]</f>
        <v>347</v>
      </c>
      <c r="AI1330" s="74">
        <f>tblData[[#This Row],[Advertising]]+tblData[[#This Row],[Promotions]]</f>
        <v>-59</v>
      </c>
      <c r="AJ1330" s="74">
        <f>tblData[[#This Row],[Outbound Logistics]]+tblData[[#This Row],[Direct Selling]]</f>
        <v>-98</v>
      </c>
      <c r="AK1330" s="74">
        <f>tblData[[#This Row],[Gross Profit]]+tblData[[#This Row],[AP Spend]]+tblData[[#This Row],[Cost to Serve]]</f>
        <v>190</v>
      </c>
    </row>
    <row r="1331" spans="2:37" x14ac:dyDescent="0.25">
      <c r="B1331" s="71" t="s">
        <v>51</v>
      </c>
      <c r="C1331" s="71">
        <v>2026</v>
      </c>
      <c r="D1331" s="71">
        <v>11</v>
      </c>
      <c r="E1331" s="71" t="s">
        <v>47</v>
      </c>
      <c r="F1331" s="71" t="s">
        <v>42</v>
      </c>
      <c r="G1331" s="72">
        <v>64.7</v>
      </c>
      <c r="H1331" s="73">
        <v>389</v>
      </c>
      <c r="I1331" s="73">
        <v>-12</v>
      </c>
      <c r="J1331" s="73">
        <v>-19</v>
      </c>
      <c r="K1331" s="73">
        <v>-125</v>
      </c>
      <c r="L1331" s="73">
        <v>-31</v>
      </c>
      <c r="M1331" s="73">
        <v>-19</v>
      </c>
      <c r="N1331" s="73">
        <v>-7</v>
      </c>
      <c r="O1331" s="73">
        <v>-4</v>
      </c>
      <c r="P1331" s="73">
        <v>-48</v>
      </c>
      <c r="Q1331" s="73">
        <v>-16</v>
      </c>
      <c r="R1331" s="73">
        <v>0</v>
      </c>
      <c r="S1331" s="73">
        <v>0</v>
      </c>
      <c r="T1331" s="73">
        <v>0</v>
      </c>
      <c r="U1331" s="73">
        <v>0</v>
      </c>
      <c r="V1331" s="73">
        <v>0</v>
      </c>
      <c r="W1331" s="73">
        <v>0</v>
      </c>
      <c r="X1331" s="73">
        <v>0</v>
      </c>
      <c r="Y1331" s="73">
        <v>0</v>
      </c>
      <c r="Z1331" s="73">
        <v>66</v>
      </c>
      <c r="AA1331" s="73">
        <v>671</v>
      </c>
      <c r="AB1331" s="73">
        <v>0</v>
      </c>
      <c r="AC1331" s="73">
        <v>0</v>
      </c>
      <c r="AD1331" s="73">
        <v>0</v>
      </c>
      <c r="AE1331" s="73">
        <v>0</v>
      </c>
      <c r="AF1331" s="74">
        <f>tblData[[#This Row],[Gross Sales]]+tblData[[#This Row],[Trade Discounts]]+tblData[[#This Row],[Returns]]</f>
        <v>358</v>
      </c>
      <c r="AG1331" s="74">
        <f>tblData[[#This Row],[Material Cost]]+tblData[[#This Row],[Conversion Cost]]+tblData[[#This Row],[Inbound Freight]]</f>
        <v>-175</v>
      </c>
      <c r="AH1331" s="74">
        <f>tblData[[#This Row],[Net Revenue]]+tblData[[#This Row],[COGS]]</f>
        <v>183</v>
      </c>
      <c r="AI1331" s="74">
        <f>tblData[[#This Row],[Advertising]]+tblData[[#This Row],[Promotions]]</f>
        <v>-11</v>
      </c>
      <c r="AJ1331" s="74">
        <f>tblData[[#This Row],[Outbound Logistics]]+tblData[[#This Row],[Direct Selling]]</f>
        <v>-64</v>
      </c>
      <c r="AK1331" s="74">
        <f>tblData[[#This Row],[Gross Profit]]+tblData[[#This Row],[AP Spend]]+tblData[[#This Row],[Cost to Serve]]</f>
        <v>108</v>
      </c>
    </row>
    <row r="1332" spans="2:37" x14ac:dyDescent="0.25">
      <c r="B1332" s="71" t="s">
        <v>51</v>
      </c>
      <c r="C1332" s="71">
        <v>2026</v>
      </c>
      <c r="D1332" s="71">
        <v>11</v>
      </c>
      <c r="E1332" s="71" t="s">
        <v>47</v>
      </c>
      <c r="F1332" s="71" t="s">
        <v>43</v>
      </c>
      <c r="G1332" s="72">
        <v>12.2</v>
      </c>
      <c r="H1332" s="73">
        <v>221</v>
      </c>
      <c r="I1332" s="73">
        <v>-7</v>
      </c>
      <c r="J1332" s="73">
        <v>-11</v>
      </c>
      <c r="K1332" s="73">
        <v>-61</v>
      </c>
      <c r="L1332" s="73">
        <v>-15</v>
      </c>
      <c r="M1332" s="73">
        <v>-9</v>
      </c>
      <c r="N1332" s="73">
        <v>-20</v>
      </c>
      <c r="O1332" s="73">
        <v>-12</v>
      </c>
      <c r="P1332" s="73">
        <v>-27</v>
      </c>
      <c r="Q1332" s="73">
        <v>-9</v>
      </c>
      <c r="R1332" s="73">
        <v>0</v>
      </c>
      <c r="S1332" s="73">
        <v>0</v>
      </c>
      <c r="T1332" s="73">
        <v>0</v>
      </c>
      <c r="U1332" s="73">
        <v>0</v>
      </c>
      <c r="V1332" s="73">
        <v>0</v>
      </c>
      <c r="W1332" s="73">
        <v>0</v>
      </c>
      <c r="X1332" s="73">
        <v>0</v>
      </c>
      <c r="Y1332" s="73">
        <v>0</v>
      </c>
      <c r="Z1332" s="73">
        <v>38</v>
      </c>
      <c r="AA1332" s="73">
        <v>336</v>
      </c>
      <c r="AB1332" s="73">
        <v>0</v>
      </c>
      <c r="AC1332" s="73">
        <v>0</v>
      </c>
      <c r="AD1332" s="73">
        <v>0</v>
      </c>
      <c r="AE1332" s="73">
        <v>0</v>
      </c>
      <c r="AF1332" s="74">
        <f>tblData[[#This Row],[Gross Sales]]+tblData[[#This Row],[Trade Discounts]]+tblData[[#This Row],[Returns]]</f>
        <v>203</v>
      </c>
      <c r="AG1332" s="74">
        <f>tblData[[#This Row],[Material Cost]]+tblData[[#This Row],[Conversion Cost]]+tblData[[#This Row],[Inbound Freight]]</f>
        <v>-85</v>
      </c>
      <c r="AH1332" s="74">
        <f>tblData[[#This Row],[Net Revenue]]+tblData[[#This Row],[COGS]]</f>
        <v>118</v>
      </c>
      <c r="AI1332" s="74">
        <f>tblData[[#This Row],[Advertising]]+tblData[[#This Row],[Promotions]]</f>
        <v>-32</v>
      </c>
      <c r="AJ1332" s="74">
        <f>tblData[[#This Row],[Outbound Logistics]]+tblData[[#This Row],[Direct Selling]]</f>
        <v>-36</v>
      </c>
      <c r="AK1332" s="74">
        <f>tblData[[#This Row],[Gross Profit]]+tblData[[#This Row],[AP Spend]]+tblData[[#This Row],[Cost to Serve]]</f>
        <v>50</v>
      </c>
    </row>
    <row r="1333" spans="2:37" x14ac:dyDescent="0.25">
      <c r="B1333" s="71" t="s">
        <v>51</v>
      </c>
      <c r="C1333" s="71">
        <v>2026</v>
      </c>
      <c r="D1333" s="71">
        <v>11</v>
      </c>
      <c r="E1333" s="71" t="s">
        <v>48</v>
      </c>
      <c r="F1333" s="71" t="s">
        <v>38</v>
      </c>
      <c r="G1333" s="72">
        <v>136.6</v>
      </c>
      <c r="H1333" s="73">
        <v>1924</v>
      </c>
      <c r="I1333" s="73">
        <v>-173</v>
      </c>
      <c r="J1333" s="73">
        <v>-19</v>
      </c>
      <c r="K1333" s="73">
        <v>-422</v>
      </c>
      <c r="L1333" s="73">
        <v>-104</v>
      </c>
      <c r="M1333" s="73">
        <v>-64</v>
      </c>
      <c r="N1333" s="73">
        <v>-100</v>
      </c>
      <c r="O1333" s="73">
        <v>-59</v>
      </c>
      <c r="P1333" s="73">
        <v>-59</v>
      </c>
      <c r="Q1333" s="73">
        <v>-29</v>
      </c>
      <c r="R1333" s="73">
        <v>0</v>
      </c>
      <c r="S1333" s="73">
        <v>0</v>
      </c>
      <c r="T1333" s="73">
        <v>0</v>
      </c>
      <c r="U1333" s="73">
        <v>0</v>
      </c>
      <c r="V1333" s="73">
        <v>0</v>
      </c>
      <c r="W1333" s="73">
        <v>0</v>
      </c>
      <c r="X1333" s="73">
        <v>0</v>
      </c>
      <c r="Y1333" s="73">
        <v>0</v>
      </c>
      <c r="Z1333" s="73">
        <v>3867</v>
      </c>
      <c r="AA1333" s="73">
        <v>1816</v>
      </c>
      <c r="AB1333" s="73">
        <v>0</v>
      </c>
      <c r="AC1333" s="73">
        <v>0</v>
      </c>
      <c r="AD1333" s="73">
        <v>0</v>
      </c>
      <c r="AE1333" s="73">
        <v>0</v>
      </c>
      <c r="AF1333" s="74">
        <f>tblData[[#This Row],[Gross Sales]]+tblData[[#This Row],[Trade Discounts]]+tblData[[#This Row],[Returns]]</f>
        <v>1732</v>
      </c>
      <c r="AG1333" s="74">
        <f>tblData[[#This Row],[Material Cost]]+tblData[[#This Row],[Conversion Cost]]+tblData[[#This Row],[Inbound Freight]]</f>
        <v>-590</v>
      </c>
      <c r="AH1333" s="74">
        <f>tblData[[#This Row],[Net Revenue]]+tblData[[#This Row],[COGS]]</f>
        <v>1142</v>
      </c>
      <c r="AI1333" s="74">
        <f>tblData[[#This Row],[Advertising]]+tblData[[#This Row],[Promotions]]</f>
        <v>-159</v>
      </c>
      <c r="AJ1333" s="74">
        <f>tblData[[#This Row],[Outbound Logistics]]+tblData[[#This Row],[Direct Selling]]</f>
        <v>-88</v>
      </c>
      <c r="AK1333" s="74">
        <f>tblData[[#This Row],[Gross Profit]]+tblData[[#This Row],[AP Spend]]+tblData[[#This Row],[Cost to Serve]]</f>
        <v>895</v>
      </c>
    </row>
    <row r="1334" spans="2:37" x14ac:dyDescent="0.25">
      <c r="B1334" s="71" t="s">
        <v>51</v>
      </c>
      <c r="C1334" s="71">
        <v>2026</v>
      </c>
      <c r="D1334" s="71">
        <v>11</v>
      </c>
      <c r="E1334" s="71" t="s">
        <v>48</v>
      </c>
      <c r="F1334" s="71" t="s">
        <v>39</v>
      </c>
      <c r="G1334" s="72">
        <v>178.4</v>
      </c>
      <c r="H1334" s="73">
        <v>1608</v>
      </c>
      <c r="I1334" s="73">
        <v>-145</v>
      </c>
      <c r="J1334" s="73">
        <v>-16</v>
      </c>
      <c r="K1334" s="73">
        <v>-423</v>
      </c>
      <c r="L1334" s="73">
        <v>-104</v>
      </c>
      <c r="M1334" s="73">
        <v>-65</v>
      </c>
      <c r="N1334" s="73">
        <v>-57</v>
      </c>
      <c r="O1334" s="73">
        <v>-34</v>
      </c>
      <c r="P1334" s="73">
        <v>-50</v>
      </c>
      <c r="Q1334" s="73">
        <v>-24</v>
      </c>
      <c r="R1334" s="73">
        <v>0</v>
      </c>
      <c r="S1334" s="73">
        <v>0</v>
      </c>
      <c r="T1334" s="73">
        <v>0</v>
      </c>
      <c r="U1334" s="73">
        <v>0</v>
      </c>
      <c r="V1334" s="73">
        <v>0</v>
      </c>
      <c r="W1334" s="73">
        <v>0</v>
      </c>
      <c r="X1334" s="73">
        <v>0</v>
      </c>
      <c r="Y1334" s="73">
        <v>0</v>
      </c>
      <c r="Z1334" s="73">
        <v>3221</v>
      </c>
      <c r="AA1334" s="73">
        <v>1546</v>
      </c>
      <c r="AB1334" s="73">
        <v>0</v>
      </c>
      <c r="AC1334" s="73">
        <v>0</v>
      </c>
      <c r="AD1334" s="73">
        <v>0</v>
      </c>
      <c r="AE1334" s="73">
        <v>0</v>
      </c>
      <c r="AF1334" s="74">
        <f>tblData[[#This Row],[Gross Sales]]+tblData[[#This Row],[Trade Discounts]]+tblData[[#This Row],[Returns]]</f>
        <v>1447</v>
      </c>
      <c r="AG1334" s="74">
        <f>tblData[[#This Row],[Material Cost]]+tblData[[#This Row],[Conversion Cost]]+tblData[[#This Row],[Inbound Freight]]</f>
        <v>-592</v>
      </c>
      <c r="AH1334" s="74">
        <f>tblData[[#This Row],[Net Revenue]]+tblData[[#This Row],[COGS]]</f>
        <v>855</v>
      </c>
      <c r="AI1334" s="74">
        <f>tblData[[#This Row],[Advertising]]+tblData[[#This Row],[Promotions]]</f>
        <v>-91</v>
      </c>
      <c r="AJ1334" s="74">
        <f>tblData[[#This Row],[Outbound Logistics]]+tblData[[#This Row],[Direct Selling]]</f>
        <v>-74</v>
      </c>
      <c r="AK1334" s="74">
        <f>tblData[[#This Row],[Gross Profit]]+tblData[[#This Row],[AP Spend]]+tblData[[#This Row],[Cost to Serve]]</f>
        <v>690</v>
      </c>
    </row>
    <row r="1335" spans="2:37" x14ac:dyDescent="0.25">
      <c r="B1335" s="71" t="s">
        <v>51</v>
      </c>
      <c r="C1335" s="71">
        <v>2026</v>
      </c>
      <c r="D1335" s="71">
        <v>11</v>
      </c>
      <c r="E1335" s="71" t="s">
        <v>48</v>
      </c>
      <c r="F1335" s="71" t="s">
        <v>40</v>
      </c>
      <c r="G1335" s="72">
        <v>167.7</v>
      </c>
      <c r="H1335" s="73">
        <v>1174</v>
      </c>
      <c r="I1335" s="73">
        <v>-106</v>
      </c>
      <c r="J1335" s="73">
        <v>-12</v>
      </c>
      <c r="K1335" s="73">
        <v>-343</v>
      </c>
      <c r="L1335" s="73">
        <v>-85</v>
      </c>
      <c r="M1335" s="73">
        <v>-52</v>
      </c>
      <c r="N1335" s="73">
        <v>-29</v>
      </c>
      <c r="O1335" s="73">
        <v>-17</v>
      </c>
      <c r="P1335" s="73">
        <v>-36</v>
      </c>
      <c r="Q1335" s="73">
        <v>-18</v>
      </c>
      <c r="R1335" s="73">
        <v>0</v>
      </c>
      <c r="S1335" s="73">
        <v>0</v>
      </c>
      <c r="T1335" s="73">
        <v>0</v>
      </c>
      <c r="U1335" s="73">
        <v>0</v>
      </c>
      <c r="V1335" s="73">
        <v>0</v>
      </c>
      <c r="W1335" s="73">
        <v>0</v>
      </c>
      <c r="X1335" s="73">
        <v>0</v>
      </c>
      <c r="Y1335" s="73">
        <v>0</v>
      </c>
      <c r="Z1335" s="73">
        <v>2385</v>
      </c>
      <c r="AA1335" s="73">
        <v>1198</v>
      </c>
      <c r="AB1335" s="73">
        <v>0</v>
      </c>
      <c r="AC1335" s="73">
        <v>0</v>
      </c>
      <c r="AD1335" s="73">
        <v>0</v>
      </c>
      <c r="AE1335" s="73">
        <v>0</v>
      </c>
      <c r="AF1335" s="74">
        <f>tblData[[#This Row],[Gross Sales]]+tblData[[#This Row],[Trade Discounts]]+tblData[[#This Row],[Returns]]</f>
        <v>1056</v>
      </c>
      <c r="AG1335" s="74">
        <f>tblData[[#This Row],[Material Cost]]+tblData[[#This Row],[Conversion Cost]]+tblData[[#This Row],[Inbound Freight]]</f>
        <v>-480</v>
      </c>
      <c r="AH1335" s="74">
        <f>tblData[[#This Row],[Net Revenue]]+tblData[[#This Row],[COGS]]</f>
        <v>576</v>
      </c>
      <c r="AI1335" s="74">
        <f>tblData[[#This Row],[Advertising]]+tblData[[#This Row],[Promotions]]</f>
        <v>-46</v>
      </c>
      <c r="AJ1335" s="74">
        <f>tblData[[#This Row],[Outbound Logistics]]+tblData[[#This Row],[Direct Selling]]</f>
        <v>-54</v>
      </c>
      <c r="AK1335" s="74">
        <f>tblData[[#This Row],[Gross Profit]]+tblData[[#This Row],[AP Spend]]+tblData[[#This Row],[Cost to Serve]]</f>
        <v>476</v>
      </c>
    </row>
    <row r="1336" spans="2:37" x14ac:dyDescent="0.25">
      <c r="B1336" s="71" t="s">
        <v>51</v>
      </c>
      <c r="C1336" s="71">
        <v>2026</v>
      </c>
      <c r="D1336" s="71">
        <v>11</v>
      </c>
      <c r="E1336" s="71" t="s">
        <v>48</v>
      </c>
      <c r="F1336" s="71" t="s">
        <v>41</v>
      </c>
      <c r="G1336" s="72">
        <v>85.8</v>
      </c>
      <c r="H1336" s="73">
        <v>947</v>
      </c>
      <c r="I1336" s="73">
        <v>-85</v>
      </c>
      <c r="J1336" s="73">
        <v>-9</v>
      </c>
      <c r="K1336" s="73">
        <v>-228</v>
      </c>
      <c r="L1336" s="73">
        <v>-56</v>
      </c>
      <c r="M1336" s="73">
        <v>-35</v>
      </c>
      <c r="N1336" s="73">
        <v>-61</v>
      </c>
      <c r="O1336" s="73">
        <v>-36</v>
      </c>
      <c r="P1336" s="73">
        <v>-29</v>
      </c>
      <c r="Q1336" s="73">
        <v>-14</v>
      </c>
      <c r="R1336" s="73">
        <v>0</v>
      </c>
      <c r="S1336" s="73">
        <v>0</v>
      </c>
      <c r="T1336" s="73">
        <v>0</v>
      </c>
      <c r="U1336" s="73">
        <v>0</v>
      </c>
      <c r="V1336" s="73">
        <v>0</v>
      </c>
      <c r="W1336" s="73">
        <v>0</v>
      </c>
      <c r="X1336" s="73">
        <v>0</v>
      </c>
      <c r="Y1336" s="73">
        <v>0</v>
      </c>
      <c r="Z1336" s="73">
        <v>1908</v>
      </c>
      <c r="AA1336" s="73">
        <v>937</v>
      </c>
      <c r="AB1336" s="73">
        <v>0</v>
      </c>
      <c r="AC1336" s="73">
        <v>0</v>
      </c>
      <c r="AD1336" s="73">
        <v>0</v>
      </c>
      <c r="AE1336" s="73">
        <v>0</v>
      </c>
      <c r="AF1336" s="74">
        <f>tblData[[#This Row],[Gross Sales]]+tblData[[#This Row],[Trade Discounts]]+tblData[[#This Row],[Returns]]</f>
        <v>853</v>
      </c>
      <c r="AG1336" s="74">
        <f>tblData[[#This Row],[Material Cost]]+tblData[[#This Row],[Conversion Cost]]+tblData[[#This Row],[Inbound Freight]]</f>
        <v>-319</v>
      </c>
      <c r="AH1336" s="74">
        <f>tblData[[#This Row],[Net Revenue]]+tblData[[#This Row],[COGS]]</f>
        <v>534</v>
      </c>
      <c r="AI1336" s="74">
        <f>tblData[[#This Row],[Advertising]]+tblData[[#This Row],[Promotions]]</f>
        <v>-97</v>
      </c>
      <c r="AJ1336" s="74">
        <f>tblData[[#This Row],[Outbound Logistics]]+tblData[[#This Row],[Direct Selling]]</f>
        <v>-43</v>
      </c>
      <c r="AK1336" s="74">
        <f>tblData[[#This Row],[Gross Profit]]+tblData[[#This Row],[AP Spend]]+tblData[[#This Row],[Cost to Serve]]</f>
        <v>394</v>
      </c>
    </row>
    <row r="1337" spans="2:37" x14ac:dyDescent="0.25">
      <c r="B1337" s="71" t="s">
        <v>51</v>
      </c>
      <c r="C1337" s="71">
        <v>2026</v>
      </c>
      <c r="D1337" s="71">
        <v>11</v>
      </c>
      <c r="E1337" s="71" t="s">
        <v>48</v>
      </c>
      <c r="F1337" s="71" t="s">
        <v>42</v>
      </c>
      <c r="G1337" s="72">
        <v>103</v>
      </c>
      <c r="H1337" s="73">
        <v>615</v>
      </c>
      <c r="I1337" s="73">
        <v>-55</v>
      </c>
      <c r="J1337" s="73">
        <v>-6</v>
      </c>
      <c r="K1337" s="73">
        <v>-198</v>
      </c>
      <c r="L1337" s="73">
        <v>-49</v>
      </c>
      <c r="M1337" s="73">
        <v>-30</v>
      </c>
      <c r="N1337" s="73">
        <v>-12</v>
      </c>
      <c r="O1337" s="73">
        <v>-7</v>
      </c>
      <c r="P1337" s="73">
        <v>-19</v>
      </c>
      <c r="Q1337" s="73">
        <v>-9</v>
      </c>
      <c r="R1337" s="73">
        <v>0</v>
      </c>
      <c r="S1337" s="73">
        <v>0</v>
      </c>
      <c r="T1337" s="73">
        <v>0</v>
      </c>
      <c r="U1337" s="73">
        <v>0</v>
      </c>
      <c r="V1337" s="73">
        <v>0</v>
      </c>
      <c r="W1337" s="73">
        <v>0</v>
      </c>
      <c r="X1337" s="73">
        <v>0</v>
      </c>
      <c r="Y1337" s="73">
        <v>0</v>
      </c>
      <c r="Z1337" s="73">
        <v>1255</v>
      </c>
      <c r="AA1337" s="73">
        <v>1070</v>
      </c>
      <c r="AB1337" s="73">
        <v>0</v>
      </c>
      <c r="AC1337" s="73">
        <v>0</v>
      </c>
      <c r="AD1337" s="73">
        <v>0</v>
      </c>
      <c r="AE1337" s="73">
        <v>0</v>
      </c>
      <c r="AF1337" s="74">
        <f>tblData[[#This Row],[Gross Sales]]+tblData[[#This Row],[Trade Discounts]]+tblData[[#This Row],[Returns]]</f>
        <v>554</v>
      </c>
      <c r="AG1337" s="74">
        <f>tblData[[#This Row],[Material Cost]]+tblData[[#This Row],[Conversion Cost]]+tblData[[#This Row],[Inbound Freight]]</f>
        <v>-277</v>
      </c>
      <c r="AH1337" s="74">
        <f>tblData[[#This Row],[Net Revenue]]+tblData[[#This Row],[COGS]]</f>
        <v>277</v>
      </c>
      <c r="AI1337" s="74">
        <f>tblData[[#This Row],[Advertising]]+tblData[[#This Row],[Promotions]]</f>
        <v>-19</v>
      </c>
      <c r="AJ1337" s="74">
        <f>tblData[[#This Row],[Outbound Logistics]]+tblData[[#This Row],[Direct Selling]]</f>
        <v>-28</v>
      </c>
      <c r="AK1337" s="74">
        <f>tblData[[#This Row],[Gross Profit]]+tblData[[#This Row],[AP Spend]]+tblData[[#This Row],[Cost to Serve]]</f>
        <v>230</v>
      </c>
    </row>
    <row r="1338" spans="2:37" x14ac:dyDescent="0.25">
      <c r="B1338" s="71" t="s">
        <v>51</v>
      </c>
      <c r="C1338" s="71">
        <v>2026</v>
      </c>
      <c r="D1338" s="71">
        <v>11</v>
      </c>
      <c r="E1338" s="71" t="s">
        <v>48</v>
      </c>
      <c r="F1338" s="71" t="s">
        <v>43</v>
      </c>
      <c r="G1338" s="72">
        <v>19.5</v>
      </c>
      <c r="H1338" s="73">
        <v>352</v>
      </c>
      <c r="I1338" s="73">
        <v>-32</v>
      </c>
      <c r="J1338" s="73">
        <v>-4</v>
      </c>
      <c r="K1338" s="73">
        <v>-98</v>
      </c>
      <c r="L1338" s="73">
        <v>-24</v>
      </c>
      <c r="M1338" s="73">
        <v>-15</v>
      </c>
      <c r="N1338" s="73">
        <v>-33</v>
      </c>
      <c r="O1338" s="73">
        <v>-20</v>
      </c>
      <c r="P1338" s="73">
        <v>-11</v>
      </c>
      <c r="Q1338" s="73">
        <v>-5</v>
      </c>
      <c r="R1338" s="73">
        <v>0</v>
      </c>
      <c r="S1338" s="73">
        <v>0</v>
      </c>
      <c r="T1338" s="73">
        <v>0</v>
      </c>
      <c r="U1338" s="73">
        <v>0</v>
      </c>
      <c r="V1338" s="73">
        <v>0</v>
      </c>
      <c r="W1338" s="73">
        <v>0</v>
      </c>
      <c r="X1338" s="73">
        <v>0</v>
      </c>
      <c r="Y1338" s="73">
        <v>0</v>
      </c>
      <c r="Z1338" s="73">
        <v>723</v>
      </c>
      <c r="AA1338" s="73">
        <v>537</v>
      </c>
      <c r="AB1338" s="73">
        <v>0</v>
      </c>
      <c r="AC1338" s="73">
        <v>0</v>
      </c>
      <c r="AD1338" s="73">
        <v>0</v>
      </c>
      <c r="AE1338" s="73">
        <v>0</v>
      </c>
      <c r="AF1338" s="74">
        <f>tblData[[#This Row],[Gross Sales]]+tblData[[#This Row],[Trade Discounts]]+tblData[[#This Row],[Returns]]</f>
        <v>316</v>
      </c>
      <c r="AG1338" s="74">
        <f>tblData[[#This Row],[Material Cost]]+tblData[[#This Row],[Conversion Cost]]+tblData[[#This Row],[Inbound Freight]]</f>
        <v>-137</v>
      </c>
      <c r="AH1338" s="74">
        <f>tblData[[#This Row],[Net Revenue]]+tblData[[#This Row],[COGS]]</f>
        <v>179</v>
      </c>
      <c r="AI1338" s="74">
        <f>tblData[[#This Row],[Advertising]]+tblData[[#This Row],[Promotions]]</f>
        <v>-53</v>
      </c>
      <c r="AJ1338" s="74">
        <f>tblData[[#This Row],[Outbound Logistics]]+tblData[[#This Row],[Direct Selling]]</f>
        <v>-16</v>
      </c>
      <c r="AK1338" s="74">
        <f>tblData[[#This Row],[Gross Profit]]+tblData[[#This Row],[AP Spend]]+tblData[[#This Row],[Cost to Serve]]</f>
        <v>110</v>
      </c>
    </row>
    <row r="1339" spans="2:37" x14ac:dyDescent="0.25">
      <c r="B1339" s="71" t="s">
        <v>51</v>
      </c>
      <c r="C1339" s="71">
        <v>2026</v>
      </c>
      <c r="D1339" s="71">
        <v>11</v>
      </c>
      <c r="E1339" s="71" t="s">
        <v>49</v>
      </c>
      <c r="F1339" s="71" t="s">
        <v>49</v>
      </c>
      <c r="G1339" s="72">
        <v>0</v>
      </c>
      <c r="H1339" s="73">
        <v>0</v>
      </c>
      <c r="I1339" s="73">
        <v>0</v>
      </c>
      <c r="J1339" s="73">
        <v>0</v>
      </c>
      <c r="K1339" s="73">
        <v>0</v>
      </c>
      <c r="L1339" s="73">
        <v>0</v>
      </c>
      <c r="M1339" s="73">
        <v>0</v>
      </c>
      <c r="N1339" s="73">
        <v>0</v>
      </c>
      <c r="O1339" s="73">
        <v>0</v>
      </c>
      <c r="P1339" s="73">
        <v>0</v>
      </c>
      <c r="Q1339" s="73">
        <v>0</v>
      </c>
      <c r="R1339" s="73">
        <v>-4389</v>
      </c>
      <c r="S1339" s="73">
        <v>-1004</v>
      </c>
      <c r="T1339" s="73">
        <v>-1288</v>
      </c>
      <c r="U1339" s="73">
        <v>-1094</v>
      </c>
      <c r="V1339" s="73">
        <v>-1480</v>
      </c>
      <c r="W1339" s="73">
        <v>-684</v>
      </c>
      <c r="X1339" s="73">
        <v>-2679</v>
      </c>
      <c r="Y1339" s="73">
        <v>-1676</v>
      </c>
      <c r="Z1339" s="73">
        <v>0</v>
      </c>
      <c r="AA1339" s="73">
        <v>0</v>
      </c>
      <c r="AB1339" s="73">
        <v>44018</v>
      </c>
      <c r="AC1339" s="73">
        <v>56868</v>
      </c>
      <c r="AD1339" s="73">
        <v>182500</v>
      </c>
      <c r="AE1339" s="73">
        <v>1200</v>
      </c>
      <c r="AF1339" s="74">
        <f>tblData[[#This Row],[Gross Sales]]+tblData[[#This Row],[Trade Discounts]]+tblData[[#This Row],[Returns]]</f>
        <v>0</v>
      </c>
      <c r="AG1339" s="74">
        <f>tblData[[#This Row],[Material Cost]]+tblData[[#This Row],[Conversion Cost]]+tblData[[#This Row],[Inbound Freight]]</f>
        <v>0</v>
      </c>
      <c r="AH1339" s="74">
        <f>tblData[[#This Row],[Net Revenue]]+tblData[[#This Row],[COGS]]</f>
        <v>0</v>
      </c>
      <c r="AI1339" s="74">
        <f>tblData[[#This Row],[Advertising]]+tblData[[#This Row],[Promotions]]</f>
        <v>0</v>
      </c>
      <c r="AJ1339" s="74">
        <f>tblData[[#This Row],[Outbound Logistics]]+tblData[[#This Row],[Direct Selling]]</f>
        <v>0</v>
      </c>
      <c r="AK1339" s="74">
        <f>tblData[[#This Row],[Gross Profit]]+tblData[[#This Row],[AP Spend]]+tblData[[#This Row],[Cost to Serve]]</f>
        <v>0</v>
      </c>
    </row>
    <row r="1340" spans="2:37" x14ac:dyDescent="0.25">
      <c r="B1340" s="71" t="s">
        <v>51</v>
      </c>
      <c r="C1340" s="71">
        <v>2026</v>
      </c>
      <c r="D1340" s="71">
        <v>12</v>
      </c>
      <c r="E1340" s="71" t="s">
        <v>37</v>
      </c>
      <c r="F1340" s="71" t="s">
        <v>38</v>
      </c>
      <c r="G1340" s="72">
        <v>356.7</v>
      </c>
      <c r="H1340" s="73">
        <v>5023</v>
      </c>
      <c r="I1340" s="73">
        <v>-984</v>
      </c>
      <c r="J1340" s="73">
        <v>-75</v>
      </c>
      <c r="K1340" s="73">
        <v>-1101</v>
      </c>
      <c r="L1340" s="73">
        <v>-271</v>
      </c>
      <c r="M1340" s="73">
        <v>-168</v>
      </c>
      <c r="N1340" s="73">
        <v>-277</v>
      </c>
      <c r="O1340" s="73">
        <v>-163</v>
      </c>
      <c r="P1340" s="73">
        <v>-207</v>
      </c>
      <c r="Q1340" s="73">
        <v>-151</v>
      </c>
      <c r="R1340" s="73">
        <v>0</v>
      </c>
      <c r="S1340" s="73">
        <v>0</v>
      </c>
      <c r="T1340" s="73">
        <v>0</v>
      </c>
      <c r="U1340" s="73">
        <v>0</v>
      </c>
      <c r="V1340" s="73">
        <v>0</v>
      </c>
      <c r="W1340" s="73">
        <v>0</v>
      </c>
      <c r="X1340" s="73">
        <v>0</v>
      </c>
      <c r="Y1340" s="73">
        <v>0</v>
      </c>
      <c r="Z1340" s="73">
        <v>7864</v>
      </c>
      <c r="AA1340" s="73">
        <v>5308</v>
      </c>
      <c r="AB1340" s="73">
        <v>0</v>
      </c>
      <c r="AC1340" s="73">
        <v>0</v>
      </c>
      <c r="AD1340" s="73">
        <v>0</v>
      </c>
      <c r="AE1340" s="73">
        <v>0</v>
      </c>
      <c r="AF1340" s="74">
        <f>tblData[[#This Row],[Gross Sales]]+tblData[[#This Row],[Trade Discounts]]+tblData[[#This Row],[Returns]]</f>
        <v>3964</v>
      </c>
      <c r="AG1340" s="74">
        <f>tblData[[#This Row],[Material Cost]]+tblData[[#This Row],[Conversion Cost]]+tblData[[#This Row],[Inbound Freight]]</f>
        <v>-1540</v>
      </c>
      <c r="AH1340" s="74">
        <f>tblData[[#This Row],[Net Revenue]]+tblData[[#This Row],[COGS]]</f>
        <v>2424</v>
      </c>
      <c r="AI1340" s="74">
        <f>tblData[[#This Row],[Advertising]]+tblData[[#This Row],[Promotions]]</f>
        <v>-440</v>
      </c>
      <c r="AJ1340" s="74">
        <f>tblData[[#This Row],[Outbound Logistics]]+tblData[[#This Row],[Direct Selling]]</f>
        <v>-358</v>
      </c>
      <c r="AK1340" s="74">
        <f>tblData[[#This Row],[Gross Profit]]+tblData[[#This Row],[AP Spend]]+tblData[[#This Row],[Cost to Serve]]</f>
        <v>1626</v>
      </c>
    </row>
    <row r="1341" spans="2:37" x14ac:dyDescent="0.25">
      <c r="B1341" s="71" t="s">
        <v>51</v>
      </c>
      <c r="C1341" s="71">
        <v>2026</v>
      </c>
      <c r="D1341" s="71">
        <v>12</v>
      </c>
      <c r="E1341" s="71" t="s">
        <v>37</v>
      </c>
      <c r="F1341" s="71" t="s">
        <v>39</v>
      </c>
      <c r="G1341" s="72">
        <v>466.4</v>
      </c>
      <c r="H1341" s="73">
        <v>4205</v>
      </c>
      <c r="I1341" s="73">
        <v>-824</v>
      </c>
      <c r="J1341" s="73">
        <v>-63</v>
      </c>
      <c r="K1341" s="73">
        <v>-1106</v>
      </c>
      <c r="L1341" s="73">
        <v>-273</v>
      </c>
      <c r="M1341" s="73">
        <v>-169</v>
      </c>
      <c r="N1341" s="73">
        <v>-158</v>
      </c>
      <c r="O1341" s="73">
        <v>-93</v>
      </c>
      <c r="P1341" s="73">
        <v>-173</v>
      </c>
      <c r="Q1341" s="73">
        <v>-126</v>
      </c>
      <c r="R1341" s="73">
        <v>0</v>
      </c>
      <c r="S1341" s="73">
        <v>0</v>
      </c>
      <c r="T1341" s="73">
        <v>0</v>
      </c>
      <c r="U1341" s="73">
        <v>0</v>
      </c>
      <c r="V1341" s="73">
        <v>0</v>
      </c>
      <c r="W1341" s="73">
        <v>0</v>
      </c>
      <c r="X1341" s="73">
        <v>0</v>
      </c>
      <c r="Y1341" s="73">
        <v>0</v>
      </c>
      <c r="Z1341" s="73">
        <v>6575</v>
      </c>
      <c r="AA1341" s="73">
        <v>4535</v>
      </c>
      <c r="AB1341" s="73">
        <v>0</v>
      </c>
      <c r="AC1341" s="73">
        <v>0</v>
      </c>
      <c r="AD1341" s="73">
        <v>0</v>
      </c>
      <c r="AE1341" s="73">
        <v>0</v>
      </c>
      <c r="AF1341" s="74">
        <f>tblData[[#This Row],[Gross Sales]]+tblData[[#This Row],[Trade Discounts]]+tblData[[#This Row],[Returns]]</f>
        <v>3318</v>
      </c>
      <c r="AG1341" s="74">
        <f>tblData[[#This Row],[Material Cost]]+tblData[[#This Row],[Conversion Cost]]+tblData[[#This Row],[Inbound Freight]]</f>
        <v>-1548</v>
      </c>
      <c r="AH1341" s="74">
        <f>tblData[[#This Row],[Net Revenue]]+tblData[[#This Row],[COGS]]</f>
        <v>1770</v>
      </c>
      <c r="AI1341" s="74">
        <f>tblData[[#This Row],[Advertising]]+tblData[[#This Row],[Promotions]]</f>
        <v>-251</v>
      </c>
      <c r="AJ1341" s="74">
        <f>tblData[[#This Row],[Outbound Logistics]]+tblData[[#This Row],[Direct Selling]]</f>
        <v>-299</v>
      </c>
      <c r="AK1341" s="74">
        <f>tblData[[#This Row],[Gross Profit]]+tblData[[#This Row],[AP Spend]]+tblData[[#This Row],[Cost to Serve]]</f>
        <v>1220</v>
      </c>
    </row>
    <row r="1342" spans="2:37" x14ac:dyDescent="0.25">
      <c r="B1342" s="71" t="s">
        <v>51</v>
      </c>
      <c r="C1342" s="71">
        <v>2026</v>
      </c>
      <c r="D1342" s="71">
        <v>12</v>
      </c>
      <c r="E1342" s="71" t="s">
        <v>37</v>
      </c>
      <c r="F1342" s="71" t="s">
        <v>40</v>
      </c>
      <c r="G1342" s="72">
        <v>442.3</v>
      </c>
      <c r="H1342" s="73">
        <v>3096</v>
      </c>
      <c r="I1342" s="73">
        <v>-606</v>
      </c>
      <c r="J1342" s="73">
        <v>-46</v>
      </c>
      <c r="K1342" s="73">
        <v>-905</v>
      </c>
      <c r="L1342" s="73">
        <v>-223</v>
      </c>
      <c r="M1342" s="73">
        <v>-138</v>
      </c>
      <c r="N1342" s="73">
        <v>-79</v>
      </c>
      <c r="O1342" s="73">
        <v>-47</v>
      </c>
      <c r="P1342" s="73">
        <v>-127</v>
      </c>
      <c r="Q1342" s="73">
        <v>-93</v>
      </c>
      <c r="R1342" s="73">
        <v>0</v>
      </c>
      <c r="S1342" s="73">
        <v>0</v>
      </c>
      <c r="T1342" s="73">
        <v>0</v>
      </c>
      <c r="U1342" s="73">
        <v>0</v>
      </c>
      <c r="V1342" s="73">
        <v>0</v>
      </c>
      <c r="W1342" s="73">
        <v>0</v>
      </c>
      <c r="X1342" s="73">
        <v>0</v>
      </c>
      <c r="Y1342" s="73">
        <v>0</v>
      </c>
      <c r="Z1342" s="73">
        <v>4848</v>
      </c>
      <c r="AA1342" s="73">
        <v>3499</v>
      </c>
      <c r="AB1342" s="73">
        <v>0</v>
      </c>
      <c r="AC1342" s="73">
        <v>0</v>
      </c>
      <c r="AD1342" s="73">
        <v>0</v>
      </c>
      <c r="AE1342" s="73">
        <v>0</v>
      </c>
      <c r="AF1342" s="74">
        <f>tblData[[#This Row],[Gross Sales]]+tblData[[#This Row],[Trade Discounts]]+tblData[[#This Row],[Returns]]</f>
        <v>2444</v>
      </c>
      <c r="AG1342" s="74">
        <f>tblData[[#This Row],[Material Cost]]+tblData[[#This Row],[Conversion Cost]]+tblData[[#This Row],[Inbound Freight]]</f>
        <v>-1266</v>
      </c>
      <c r="AH1342" s="74">
        <f>tblData[[#This Row],[Net Revenue]]+tblData[[#This Row],[COGS]]</f>
        <v>1178</v>
      </c>
      <c r="AI1342" s="74">
        <f>tblData[[#This Row],[Advertising]]+tblData[[#This Row],[Promotions]]</f>
        <v>-126</v>
      </c>
      <c r="AJ1342" s="74">
        <f>tblData[[#This Row],[Outbound Logistics]]+tblData[[#This Row],[Direct Selling]]</f>
        <v>-220</v>
      </c>
      <c r="AK1342" s="74">
        <f>tblData[[#This Row],[Gross Profit]]+tblData[[#This Row],[AP Spend]]+tblData[[#This Row],[Cost to Serve]]</f>
        <v>832</v>
      </c>
    </row>
    <row r="1343" spans="2:37" x14ac:dyDescent="0.25">
      <c r="B1343" s="71" t="s">
        <v>51</v>
      </c>
      <c r="C1343" s="71">
        <v>2026</v>
      </c>
      <c r="D1343" s="71">
        <v>12</v>
      </c>
      <c r="E1343" s="71" t="s">
        <v>37</v>
      </c>
      <c r="F1343" s="71" t="s">
        <v>41</v>
      </c>
      <c r="G1343" s="72">
        <v>223.6</v>
      </c>
      <c r="H1343" s="73">
        <v>2467</v>
      </c>
      <c r="I1343" s="73">
        <v>-483</v>
      </c>
      <c r="J1343" s="73">
        <v>-37</v>
      </c>
      <c r="K1343" s="73">
        <v>-595</v>
      </c>
      <c r="L1343" s="73">
        <v>-147</v>
      </c>
      <c r="M1343" s="73">
        <v>-91</v>
      </c>
      <c r="N1343" s="73">
        <v>-169</v>
      </c>
      <c r="O1343" s="73">
        <v>-100</v>
      </c>
      <c r="P1343" s="73">
        <v>-102</v>
      </c>
      <c r="Q1343" s="73">
        <v>-74</v>
      </c>
      <c r="R1343" s="73">
        <v>0</v>
      </c>
      <c r="S1343" s="73">
        <v>0</v>
      </c>
      <c r="T1343" s="73">
        <v>0</v>
      </c>
      <c r="U1343" s="73">
        <v>0</v>
      </c>
      <c r="V1343" s="73">
        <v>0</v>
      </c>
      <c r="W1343" s="73">
        <v>0</v>
      </c>
      <c r="X1343" s="73">
        <v>0</v>
      </c>
      <c r="Y1343" s="73">
        <v>0</v>
      </c>
      <c r="Z1343" s="73">
        <v>3862</v>
      </c>
      <c r="AA1343" s="73">
        <v>2725</v>
      </c>
      <c r="AB1343" s="73">
        <v>0</v>
      </c>
      <c r="AC1343" s="73">
        <v>0</v>
      </c>
      <c r="AD1343" s="73">
        <v>0</v>
      </c>
      <c r="AE1343" s="73">
        <v>0</v>
      </c>
      <c r="AF1343" s="74">
        <f>tblData[[#This Row],[Gross Sales]]+tblData[[#This Row],[Trade Discounts]]+tblData[[#This Row],[Returns]]</f>
        <v>1947</v>
      </c>
      <c r="AG1343" s="74">
        <f>tblData[[#This Row],[Material Cost]]+tblData[[#This Row],[Conversion Cost]]+tblData[[#This Row],[Inbound Freight]]</f>
        <v>-833</v>
      </c>
      <c r="AH1343" s="74">
        <f>tblData[[#This Row],[Net Revenue]]+tblData[[#This Row],[COGS]]</f>
        <v>1114</v>
      </c>
      <c r="AI1343" s="74">
        <f>tblData[[#This Row],[Advertising]]+tblData[[#This Row],[Promotions]]</f>
        <v>-269</v>
      </c>
      <c r="AJ1343" s="74">
        <f>tblData[[#This Row],[Outbound Logistics]]+tblData[[#This Row],[Direct Selling]]</f>
        <v>-176</v>
      </c>
      <c r="AK1343" s="74">
        <f>tblData[[#This Row],[Gross Profit]]+tblData[[#This Row],[AP Spend]]+tblData[[#This Row],[Cost to Serve]]</f>
        <v>669</v>
      </c>
    </row>
    <row r="1344" spans="2:37" x14ac:dyDescent="0.25">
      <c r="B1344" s="71" t="s">
        <v>51</v>
      </c>
      <c r="C1344" s="71">
        <v>2026</v>
      </c>
      <c r="D1344" s="71">
        <v>12</v>
      </c>
      <c r="E1344" s="71" t="s">
        <v>37</v>
      </c>
      <c r="F1344" s="71" t="s">
        <v>42</v>
      </c>
      <c r="G1344" s="72">
        <v>269</v>
      </c>
      <c r="H1344" s="73">
        <v>1608</v>
      </c>
      <c r="I1344" s="73">
        <v>-315</v>
      </c>
      <c r="J1344" s="73">
        <v>-24</v>
      </c>
      <c r="K1344" s="73">
        <v>-517</v>
      </c>
      <c r="L1344" s="73">
        <v>-127</v>
      </c>
      <c r="M1344" s="73">
        <v>-79</v>
      </c>
      <c r="N1344" s="73">
        <v>-33</v>
      </c>
      <c r="O1344" s="73">
        <v>-19</v>
      </c>
      <c r="P1344" s="73">
        <v>-66</v>
      </c>
      <c r="Q1344" s="73">
        <v>-48</v>
      </c>
      <c r="R1344" s="73">
        <v>0</v>
      </c>
      <c r="S1344" s="73">
        <v>0</v>
      </c>
      <c r="T1344" s="73">
        <v>0</v>
      </c>
      <c r="U1344" s="73">
        <v>0</v>
      </c>
      <c r="V1344" s="73">
        <v>0</v>
      </c>
      <c r="W1344" s="73">
        <v>0</v>
      </c>
      <c r="X1344" s="73">
        <v>0</v>
      </c>
      <c r="Y1344" s="73">
        <v>0</v>
      </c>
      <c r="Z1344" s="73">
        <v>2543</v>
      </c>
      <c r="AA1344" s="73">
        <v>3115</v>
      </c>
      <c r="AB1344" s="73">
        <v>0</v>
      </c>
      <c r="AC1344" s="73">
        <v>0</v>
      </c>
      <c r="AD1344" s="73">
        <v>0</v>
      </c>
      <c r="AE1344" s="73">
        <v>0</v>
      </c>
      <c r="AF1344" s="74">
        <f>tblData[[#This Row],[Gross Sales]]+tblData[[#This Row],[Trade Discounts]]+tblData[[#This Row],[Returns]]</f>
        <v>1269</v>
      </c>
      <c r="AG1344" s="74">
        <f>tblData[[#This Row],[Material Cost]]+tblData[[#This Row],[Conversion Cost]]+tblData[[#This Row],[Inbound Freight]]</f>
        <v>-723</v>
      </c>
      <c r="AH1344" s="74">
        <f>tblData[[#This Row],[Net Revenue]]+tblData[[#This Row],[COGS]]</f>
        <v>546</v>
      </c>
      <c r="AI1344" s="74">
        <f>tblData[[#This Row],[Advertising]]+tblData[[#This Row],[Promotions]]</f>
        <v>-52</v>
      </c>
      <c r="AJ1344" s="74">
        <f>tblData[[#This Row],[Outbound Logistics]]+tblData[[#This Row],[Direct Selling]]</f>
        <v>-114</v>
      </c>
      <c r="AK1344" s="74">
        <f>tblData[[#This Row],[Gross Profit]]+tblData[[#This Row],[AP Spend]]+tblData[[#This Row],[Cost to Serve]]</f>
        <v>380</v>
      </c>
    </row>
    <row r="1345" spans="2:37" x14ac:dyDescent="0.25">
      <c r="B1345" s="71" t="s">
        <v>51</v>
      </c>
      <c r="C1345" s="71">
        <v>2026</v>
      </c>
      <c r="D1345" s="71">
        <v>12</v>
      </c>
      <c r="E1345" s="71" t="s">
        <v>37</v>
      </c>
      <c r="F1345" s="71" t="s">
        <v>43</v>
      </c>
      <c r="G1345" s="72">
        <v>50.9</v>
      </c>
      <c r="H1345" s="73">
        <v>916</v>
      </c>
      <c r="I1345" s="73">
        <v>-179</v>
      </c>
      <c r="J1345" s="73">
        <v>-14</v>
      </c>
      <c r="K1345" s="73">
        <v>-254</v>
      </c>
      <c r="L1345" s="73">
        <v>-63</v>
      </c>
      <c r="M1345" s="73">
        <v>-39</v>
      </c>
      <c r="N1345" s="73">
        <v>-92</v>
      </c>
      <c r="O1345" s="73">
        <v>-54</v>
      </c>
      <c r="P1345" s="73">
        <v>-38</v>
      </c>
      <c r="Q1345" s="73">
        <v>-27</v>
      </c>
      <c r="R1345" s="73">
        <v>0</v>
      </c>
      <c r="S1345" s="73">
        <v>0</v>
      </c>
      <c r="T1345" s="73">
        <v>0</v>
      </c>
      <c r="U1345" s="73">
        <v>0</v>
      </c>
      <c r="V1345" s="73">
        <v>0</v>
      </c>
      <c r="W1345" s="73">
        <v>0</v>
      </c>
      <c r="X1345" s="73">
        <v>0</v>
      </c>
      <c r="Y1345" s="73">
        <v>0</v>
      </c>
      <c r="Z1345" s="73">
        <v>1451</v>
      </c>
      <c r="AA1345" s="73">
        <v>1547</v>
      </c>
      <c r="AB1345" s="73">
        <v>0</v>
      </c>
      <c r="AC1345" s="73">
        <v>0</v>
      </c>
      <c r="AD1345" s="73">
        <v>0</v>
      </c>
      <c r="AE1345" s="73">
        <v>0</v>
      </c>
      <c r="AF1345" s="74">
        <f>tblData[[#This Row],[Gross Sales]]+tblData[[#This Row],[Trade Discounts]]+tblData[[#This Row],[Returns]]</f>
        <v>723</v>
      </c>
      <c r="AG1345" s="74">
        <f>tblData[[#This Row],[Material Cost]]+tblData[[#This Row],[Conversion Cost]]+tblData[[#This Row],[Inbound Freight]]</f>
        <v>-356</v>
      </c>
      <c r="AH1345" s="74">
        <f>tblData[[#This Row],[Net Revenue]]+tblData[[#This Row],[COGS]]</f>
        <v>367</v>
      </c>
      <c r="AI1345" s="74">
        <f>tblData[[#This Row],[Advertising]]+tblData[[#This Row],[Promotions]]</f>
        <v>-146</v>
      </c>
      <c r="AJ1345" s="74">
        <f>tblData[[#This Row],[Outbound Logistics]]+tblData[[#This Row],[Direct Selling]]</f>
        <v>-65</v>
      </c>
      <c r="AK1345" s="74">
        <f>tblData[[#This Row],[Gross Profit]]+tblData[[#This Row],[AP Spend]]+tblData[[#This Row],[Cost to Serve]]</f>
        <v>156</v>
      </c>
    </row>
    <row r="1346" spans="2:37" x14ac:dyDescent="0.25">
      <c r="B1346" s="71" t="s">
        <v>51</v>
      </c>
      <c r="C1346" s="71">
        <v>2026</v>
      </c>
      <c r="D1346" s="71">
        <v>12</v>
      </c>
      <c r="E1346" s="71" t="s">
        <v>44</v>
      </c>
      <c r="F1346" s="71" t="s">
        <v>38</v>
      </c>
      <c r="G1346" s="72">
        <v>301.7</v>
      </c>
      <c r="H1346" s="73">
        <v>4265</v>
      </c>
      <c r="I1346" s="73">
        <v>-691</v>
      </c>
      <c r="J1346" s="73">
        <v>-51</v>
      </c>
      <c r="K1346" s="73">
        <v>-935</v>
      </c>
      <c r="L1346" s="73">
        <v>-230</v>
      </c>
      <c r="M1346" s="73">
        <v>-143</v>
      </c>
      <c r="N1346" s="73">
        <v>-222</v>
      </c>
      <c r="O1346" s="73">
        <v>-131</v>
      </c>
      <c r="P1346" s="73">
        <v>-176</v>
      </c>
      <c r="Q1346" s="73">
        <v>-128</v>
      </c>
      <c r="R1346" s="73">
        <v>0</v>
      </c>
      <c r="S1346" s="73">
        <v>0</v>
      </c>
      <c r="T1346" s="73">
        <v>0</v>
      </c>
      <c r="U1346" s="73">
        <v>0</v>
      </c>
      <c r="V1346" s="73">
        <v>0</v>
      </c>
      <c r="W1346" s="73">
        <v>0</v>
      </c>
      <c r="X1346" s="73">
        <v>0</v>
      </c>
      <c r="Y1346" s="73">
        <v>0</v>
      </c>
      <c r="Z1346" s="73">
        <v>6311</v>
      </c>
      <c r="AA1346" s="73">
        <v>4455</v>
      </c>
      <c r="AB1346" s="73">
        <v>0</v>
      </c>
      <c r="AC1346" s="73">
        <v>0</v>
      </c>
      <c r="AD1346" s="73">
        <v>0</v>
      </c>
      <c r="AE1346" s="73">
        <v>0</v>
      </c>
      <c r="AF1346" s="74">
        <f>tblData[[#This Row],[Gross Sales]]+tblData[[#This Row],[Trade Discounts]]+tblData[[#This Row],[Returns]]</f>
        <v>3523</v>
      </c>
      <c r="AG1346" s="74">
        <f>tblData[[#This Row],[Material Cost]]+tblData[[#This Row],[Conversion Cost]]+tblData[[#This Row],[Inbound Freight]]</f>
        <v>-1308</v>
      </c>
      <c r="AH1346" s="74">
        <f>tblData[[#This Row],[Net Revenue]]+tblData[[#This Row],[COGS]]</f>
        <v>2215</v>
      </c>
      <c r="AI1346" s="74">
        <f>tblData[[#This Row],[Advertising]]+tblData[[#This Row],[Promotions]]</f>
        <v>-353</v>
      </c>
      <c r="AJ1346" s="74">
        <f>tblData[[#This Row],[Outbound Logistics]]+tblData[[#This Row],[Direct Selling]]</f>
        <v>-304</v>
      </c>
      <c r="AK1346" s="74">
        <f>tblData[[#This Row],[Gross Profit]]+tblData[[#This Row],[AP Spend]]+tblData[[#This Row],[Cost to Serve]]</f>
        <v>1558</v>
      </c>
    </row>
    <row r="1347" spans="2:37" x14ac:dyDescent="0.25">
      <c r="B1347" s="71" t="s">
        <v>51</v>
      </c>
      <c r="C1347" s="71">
        <v>2026</v>
      </c>
      <c r="D1347" s="71">
        <v>12</v>
      </c>
      <c r="E1347" s="71" t="s">
        <v>44</v>
      </c>
      <c r="F1347" s="71" t="s">
        <v>39</v>
      </c>
      <c r="G1347" s="72">
        <v>389.2</v>
      </c>
      <c r="H1347" s="73">
        <v>3523</v>
      </c>
      <c r="I1347" s="73">
        <v>-571</v>
      </c>
      <c r="J1347" s="73">
        <v>-42</v>
      </c>
      <c r="K1347" s="73">
        <v>-926</v>
      </c>
      <c r="L1347" s="73">
        <v>-228</v>
      </c>
      <c r="M1347" s="73">
        <v>-142</v>
      </c>
      <c r="N1347" s="73">
        <v>-127</v>
      </c>
      <c r="O1347" s="73">
        <v>-75</v>
      </c>
      <c r="P1347" s="73">
        <v>-145</v>
      </c>
      <c r="Q1347" s="73">
        <v>-106</v>
      </c>
      <c r="R1347" s="73">
        <v>0</v>
      </c>
      <c r="S1347" s="73">
        <v>0</v>
      </c>
      <c r="T1347" s="73">
        <v>0</v>
      </c>
      <c r="U1347" s="73">
        <v>0</v>
      </c>
      <c r="V1347" s="73">
        <v>0</v>
      </c>
      <c r="W1347" s="73">
        <v>0</v>
      </c>
      <c r="X1347" s="73">
        <v>0</v>
      </c>
      <c r="Y1347" s="73">
        <v>0</v>
      </c>
      <c r="Z1347" s="73">
        <v>5259</v>
      </c>
      <c r="AA1347" s="73">
        <v>3794</v>
      </c>
      <c r="AB1347" s="73">
        <v>0</v>
      </c>
      <c r="AC1347" s="73">
        <v>0</v>
      </c>
      <c r="AD1347" s="73">
        <v>0</v>
      </c>
      <c r="AE1347" s="73">
        <v>0</v>
      </c>
      <c r="AF1347" s="74">
        <f>tblData[[#This Row],[Gross Sales]]+tblData[[#This Row],[Trade Discounts]]+tblData[[#This Row],[Returns]]</f>
        <v>2910</v>
      </c>
      <c r="AG1347" s="74">
        <f>tblData[[#This Row],[Material Cost]]+tblData[[#This Row],[Conversion Cost]]+tblData[[#This Row],[Inbound Freight]]</f>
        <v>-1296</v>
      </c>
      <c r="AH1347" s="74">
        <f>tblData[[#This Row],[Net Revenue]]+tblData[[#This Row],[COGS]]</f>
        <v>1614</v>
      </c>
      <c r="AI1347" s="74">
        <f>tblData[[#This Row],[Advertising]]+tblData[[#This Row],[Promotions]]</f>
        <v>-202</v>
      </c>
      <c r="AJ1347" s="74">
        <f>tblData[[#This Row],[Outbound Logistics]]+tblData[[#This Row],[Direct Selling]]</f>
        <v>-251</v>
      </c>
      <c r="AK1347" s="74">
        <f>tblData[[#This Row],[Gross Profit]]+tblData[[#This Row],[AP Spend]]+tblData[[#This Row],[Cost to Serve]]</f>
        <v>1161</v>
      </c>
    </row>
    <row r="1348" spans="2:37" x14ac:dyDescent="0.25">
      <c r="B1348" s="71" t="s">
        <v>51</v>
      </c>
      <c r="C1348" s="71">
        <v>2026</v>
      </c>
      <c r="D1348" s="71">
        <v>12</v>
      </c>
      <c r="E1348" s="71" t="s">
        <v>44</v>
      </c>
      <c r="F1348" s="71" t="s">
        <v>40</v>
      </c>
      <c r="G1348" s="72">
        <v>370.2</v>
      </c>
      <c r="H1348" s="73">
        <v>2601</v>
      </c>
      <c r="I1348" s="73">
        <v>-421</v>
      </c>
      <c r="J1348" s="73">
        <v>-31</v>
      </c>
      <c r="K1348" s="73">
        <v>-760</v>
      </c>
      <c r="L1348" s="73">
        <v>-187</v>
      </c>
      <c r="M1348" s="73">
        <v>-116</v>
      </c>
      <c r="N1348" s="73">
        <v>-63</v>
      </c>
      <c r="O1348" s="73">
        <v>-37</v>
      </c>
      <c r="P1348" s="73">
        <v>-107</v>
      </c>
      <c r="Q1348" s="73">
        <v>-78</v>
      </c>
      <c r="R1348" s="73">
        <v>0</v>
      </c>
      <c r="S1348" s="73">
        <v>0</v>
      </c>
      <c r="T1348" s="73">
        <v>0</v>
      </c>
      <c r="U1348" s="73">
        <v>0</v>
      </c>
      <c r="V1348" s="73">
        <v>0</v>
      </c>
      <c r="W1348" s="73">
        <v>0</v>
      </c>
      <c r="X1348" s="73">
        <v>0</v>
      </c>
      <c r="Y1348" s="73">
        <v>0</v>
      </c>
      <c r="Z1348" s="73">
        <v>3891</v>
      </c>
      <c r="AA1348" s="73">
        <v>2938</v>
      </c>
      <c r="AB1348" s="73">
        <v>0</v>
      </c>
      <c r="AC1348" s="73">
        <v>0</v>
      </c>
      <c r="AD1348" s="73">
        <v>0</v>
      </c>
      <c r="AE1348" s="73">
        <v>0</v>
      </c>
      <c r="AF1348" s="74">
        <f>tblData[[#This Row],[Gross Sales]]+tblData[[#This Row],[Trade Discounts]]+tblData[[#This Row],[Returns]]</f>
        <v>2149</v>
      </c>
      <c r="AG1348" s="74">
        <f>tblData[[#This Row],[Material Cost]]+tblData[[#This Row],[Conversion Cost]]+tblData[[#This Row],[Inbound Freight]]</f>
        <v>-1063</v>
      </c>
      <c r="AH1348" s="74">
        <f>tblData[[#This Row],[Net Revenue]]+tblData[[#This Row],[COGS]]</f>
        <v>1086</v>
      </c>
      <c r="AI1348" s="74">
        <f>tblData[[#This Row],[Advertising]]+tblData[[#This Row],[Promotions]]</f>
        <v>-100</v>
      </c>
      <c r="AJ1348" s="74">
        <f>tblData[[#This Row],[Outbound Logistics]]+tblData[[#This Row],[Direct Selling]]</f>
        <v>-185</v>
      </c>
      <c r="AK1348" s="74">
        <f>tblData[[#This Row],[Gross Profit]]+tblData[[#This Row],[AP Spend]]+tblData[[#This Row],[Cost to Serve]]</f>
        <v>801</v>
      </c>
    </row>
    <row r="1349" spans="2:37" x14ac:dyDescent="0.25">
      <c r="B1349" s="71" t="s">
        <v>51</v>
      </c>
      <c r="C1349" s="71">
        <v>2026</v>
      </c>
      <c r="D1349" s="71">
        <v>12</v>
      </c>
      <c r="E1349" s="71" t="s">
        <v>44</v>
      </c>
      <c r="F1349" s="71" t="s">
        <v>41</v>
      </c>
      <c r="G1349" s="72">
        <v>189.4</v>
      </c>
      <c r="H1349" s="73">
        <v>2098</v>
      </c>
      <c r="I1349" s="73">
        <v>-340</v>
      </c>
      <c r="J1349" s="73">
        <v>-25</v>
      </c>
      <c r="K1349" s="73">
        <v>-506</v>
      </c>
      <c r="L1349" s="73">
        <v>-125</v>
      </c>
      <c r="M1349" s="73">
        <v>-77</v>
      </c>
      <c r="N1349" s="73">
        <v>-135</v>
      </c>
      <c r="O1349" s="73">
        <v>-80</v>
      </c>
      <c r="P1349" s="73">
        <v>-86</v>
      </c>
      <c r="Q1349" s="73">
        <v>-63</v>
      </c>
      <c r="R1349" s="73">
        <v>0</v>
      </c>
      <c r="S1349" s="73">
        <v>0</v>
      </c>
      <c r="T1349" s="73">
        <v>0</v>
      </c>
      <c r="U1349" s="73">
        <v>0</v>
      </c>
      <c r="V1349" s="73">
        <v>0</v>
      </c>
      <c r="W1349" s="73">
        <v>0</v>
      </c>
      <c r="X1349" s="73">
        <v>0</v>
      </c>
      <c r="Y1349" s="73">
        <v>0</v>
      </c>
      <c r="Z1349" s="73">
        <v>3115</v>
      </c>
      <c r="AA1349" s="73">
        <v>2299</v>
      </c>
      <c r="AB1349" s="73">
        <v>0</v>
      </c>
      <c r="AC1349" s="73">
        <v>0</v>
      </c>
      <c r="AD1349" s="73">
        <v>0</v>
      </c>
      <c r="AE1349" s="73">
        <v>0</v>
      </c>
      <c r="AF1349" s="74">
        <f>tblData[[#This Row],[Gross Sales]]+tblData[[#This Row],[Trade Discounts]]+tblData[[#This Row],[Returns]]</f>
        <v>1733</v>
      </c>
      <c r="AG1349" s="74">
        <f>tblData[[#This Row],[Material Cost]]+tblData[[#This Row],[Conversion Cost]]+tblData[[#This Row],[Inbound Freight]]</f>
        <v>-708</v>
      </c>
      <c r="AH1349" s="74">
        <f>tblData[[#This Row],[Net Revenue]]+tblData[[#This Row],[COGS]]</f>
        <v>1025</v>
      </c>
      <c r="AI1349" s="74">
        <f>tblData[[#This Row],[Advertising]]+tblData[[#This Row],[Promotions]]</f>
        <v>-215</v>
      </c>
      <c r="AJ1349" s="74">
        <f>tblData[[#This Row],[Outbound Logistics]]+tblData[[#This Row],[Direct Selling]]</f>
        <v>-149</v>
      </c>
      <c r="AK1349" s="74">
        <f>tblData[[#This Row],[Gross Profit]]+tblData[[#This Row],[AP Spend]]+tblData[[#This Row],[Cost to Serve]]</f>
        <v>661</v>
      </c>
    </row>
    <row r="1350" spans="2:37" x14ac:dyDescent="0.25">
      <c r="B1350" s="71" t="s">
        <v>51</v>
      </c>
      <c r="C1350" s="71">
        <v>2026</v>
      </c>
      <c r="D1350" s="71">
        <v>12</v>
      </c>
      <c r="E1350" s="71" t="s">
        <v>44</v>
      </c>
      <c r="F1350" s="71" t="s">
        <v>42</v>
      </c>
      <c r="G1350" s="72">
        <v>226.3</v>
      </c>
      <c r="H1350" s="73">
        <v>1358</v>
      </c>
      <c r="I1350" s="73">
        <v>-220</v>
      </c>
      <c r="J1350" s="73">
        <v>-16</v>
      </c>
      <c r="K1350" s="73">
        <v>-436</v>
      </c>
      <c r="L1350" s="73">
        <v>-108</v>
      </c>
      <c r="M1350" s="73">
        <v>-67</v>
      </c>
      <c r="N1350" s="73">
        <v>-26</v>
      </c>
      <c r="O1350" s="73">
        <v>-16</v>
      </c>
      <c r="P1350" s="73">
        <v>-56</v>
      </c>
      <c r="Q1350" s="73">
        <v>-41</v>
      </c>
      <c r="R1350" s="73">
        <v>0</v>
      </c>
      <c r="S1350" s="73">
        <v>0</v>
      </c>
      <c r="T1350" s="73">
        <v>0</v>
      </c>
      <c r="U1350" s="73">
        <v>0</v>
      </c>
      <c r="V1350" s="73">
        <v>0</v>
      </c>
      <c r="W1350" s="73">
        <v>0</v>
      </c>
      <c r="X1350" s="73">
        <v>0</v>
      </c>
      <c r="Y1350" s="73">
        <v>0</v>
      </c>
      <c r="Z1350" s="73">
        <v>2034</v>
      </c>
      <c r="AA1350" s="73">
        <v>2606</v>
      </c>
      <c r="AB1350" s="73">
        <v>0</v>
      </c>
      <c r="AC1350" s="73">
        <v>0</v>
      </c>
      <c r="AD1350" s="73">
        <v>0</v>
      </c>
      <c r="AE1350" s="73">
        <v>0</v>
      </c>
      <c r="AF1350" s="74">
        <f>tblData[[#This Row],[Gross Sales]]+tblData[[#This Row],[Trade Discounts]]+tblData[[#This Row],[Returns]]</f>
        <v>1122</v>
      </c>
      <c r="AG1350" s="74">
        <f>tblData[[#This Row],[Material Cost]]+tblData[[#This Row],[Conversion Cost]]+tblData[[#This Row],[Inbound Freight]]</f>
        <v>-611</v>
      </c>
      <c r="AH1350" s="74">
        <f>tblData[[#This Row],[Net Revenue]]+tblData[[#This Row],[COGS]]</f>
        <v>511</v>
      </c>
      <c r="AI1350" s="74">
        <f>tblData[[#This Row],[Advertising]]+tblData[[#This Row],[Promotions]]</f>
        <v>-42</v>
      </c>
      <c r="AJ1350" s="74">
        <f>tblData[[#This Row],[Outbound Logistics]]+tblData[[#This Row],[Direct Selling]]</f>
        <v>-97</v>
      </c>
      <c r="AK1350" s="74">
        <f>tblData[[#This Row],[Gross Profit]]+tblData[[#This Row],[AP Spend]]+tblData[[#This Row],[Cost to Serve]]</f>
        <v>372</v>
      </c>
    </row>
    <row r="1351" spans="2:37" x14ac:dyDescent="0.25">
      <c r="B1351" s="71" t="s">
        <v>51</v>
      </c>
      <c r="C1351" s="71">
        <v>2026</v>
      </c>
      <c r="D1351" s="71">
        <v>12</v>
      </c>
      <c r="E1351" s="71" t="s">
        <v>44</v>
      </c>
      <c r="F1351" s="71" t="s">
        <v>43</v>
      </c>
      <c r="G1351" s="72">
        <v>43</v>
      </c>
      <c r="H1351" s="73">
        <v>776</v>
      </c>
      <c r="I1351" s="73">
        <v>-126</v>
      </c>
      <c r="J1351" s="73">
        <v>-9</v>
      </c>
      <c r="K1351" s="73">
        <v>-215</v>
      </c>
      <c r="L1351" s="73">
        <v>-53</v>
      </c>
      <c r="M1351" s="73">
        <v>-33</v>
      </c>
      <c r="N1351" s="73">
        <v>-74</v>
      </c>
      <c r="O1351" s="73">
        <v>-44</v>
      </c>
      <c r="P1351" s="73">
        <v>-32</v>
      </c>
      <c r="Q1351" s="73">
        <v>-23</v>
      </c>
      <c r="R1351" s="73">
        <v>0</v>
      </c>
      <c r="S1351" s="73">
        <v>0</v>
      </c>
      <c r="T1351" s="73">
        <v>0</v>
      </c>
      <c r="U1351" s="73">
        <v>0</v>
      </c>
      <c r="V1351" s="73">
        <v>0</v>
      </c>
      <c r="W1351" s="73">
        <v>0</v>
      </c>
      <c r="X1351" s="73">
        <v>0</v>
      </c>
      <c r="Y1351" s="73">
        <v>0</v>
      </c>
      <c r="Z1351" s="73">
        <v>1168</v>
      </c>
      <c r="AA1351" s="73">
        <v>1303</v>
      </c>
      <c r="AB1351" s="73">
        <v>0</v>
      </c>
      <c r="AC1351" s="73">
        <v>0</v>
      </c>
      <c r="AD1351" s="73">
        <v>0</v>
      </c>
      <c r="AE1351" s="73">
        <v>0</v>
      </c>
      <c r="AF1351" s="74">
        <f>tblData[[#This Row],[Gross Sales]]+tblData[[#This Row],[Trade Discounts]]+tblData[[#This Row],[Returns]]</f>
        <v>641</v>
      </c>
      <c r="AG1351" s="74">
        <f>tblData[[#This Row],[Material Cost]]+tblData[[#This Row],[Conversion Cost]]+tblData[[#This Row],[Inbound Freight]]</f>
        <v>-301</v>
      </c>
      <c r="AH1351" s="74">
        <f>tblData[[#This Row],[Net Revenue]]+tblData[[#This Row],[COGS]]</f>
        <v>340</v>
      </c>
      <c r="AI1351" s="74">
        <f>tblData[[#This Row],[Advertising]]+tblData[[#This Row],[Promotions]]</f>
        <v>-118</v>
      </c>
      <c r="AJ1351" s="74">
        <f>tblData[[#This Row],[Outbound Logistics]]+tblData[[#This Row],[Direct Selling]]</f>
        <v>-55</v>
      </c>
      <c r="AK1351" s="74">
        <f>tblData[[#This Row],[Gross Profit]]+tblData[[#This Row],[AP Spend]]+tblData[[#This Row],[Cost to Serve]]</f>
        <v>167</v>
      </c>
    </row>
    <row r="1352" spans="2:37" x14ac:dyDescent="0.25">
      <c r="B1352" s="71" t="s">
        <v>51</v>
      </c>
      <c r="C1352" s="71">
        <v>2026</v>
      </c>
      <c r="D1352" s="71">
        <v>12</v>
      </c>
      <c r="E1352" s="71" t="s">
        <v>45</v>
      </c>
      <c r="F1352" s="71" t="s">
        <v>38</v>
      </c>
      <c r="G1352" s="72">
        <v>169</v>
      </c>
      <c r="H1352" s="73">
        <v>2361</v>
      </c>
      <c r="I1352" s="73">
        <v>-547</v>
      </c>
      <c r="J1352" s="73">
        <v>-24</v>
      </c>
      <c r="K1352" s="73">
        <v>-517</v>
      </c>
      <c r="L1352" s="73">
        <v>-127</v>
      </c>
      <c r="M1352" s="73">
        <v>-79</v>
      </c>
      <c r="N1352" s="73">
        <v>-129</v>
      </c>
      <c r="O1352" s="73">
        <v>-76</v>
      </c>
      <c r="P1352" s="73">
        <v>-85</v>
      </c>
      <c r="Q1352" s="73">
        <v>-47</v>
      </c>
      <c r="R1352" s="73">
        <v>0</v>
      </c>
      <c r="S1352" s="73">
        <v>0</v>
      </c>
      <c r="T1352" s="73">
        <v>0</v>
      </c>
      <c r="U1352" s="73">
        <v>0</v>
      </c>
      <c r="V1352" s="73">
        <v>0</v>
      </c>
      <c r="W1352" s="73">
        <v>0</v>
      </c>
      <c r="X1352" s="73">
        <v>0</v>
      </c>
      <c r="Y1352" s="73">
        <v>0</v>
      </c>
      <c r="Z1352" s="73">
        <v>2940</v>
      </c>
      <c r="AA1352" s="73">
        <v>2493</v>
      </c>
      <c r="AB1352" s="73">
        <v>0</v>
      </c>
      <c r="AC1352" s="73">
        <v>0</v>
      </c>
      <c r="AD1352" s="73">
        <v>0</v>
      </c>
      <c r="AE1352" s="73">
        <v>0</v>
      </c>
      <c r="AF1352" s="74">
        <f>tblData[[#This Row],[Gross Sales]]+tblData[[#This Row],[Trade Discounts]]+tblData[[#This Row],[Returns]]</f>
        <v>1790</v>
      </c>
      <c r="AG1352" s="74">
        <f>tblData[[#This Row],[Material Cost]]+tblData[[#This Row],[Conversion Cost]]+tblData[[#This Row],[Inbound Freight]]</f>
        <v>-723</v>
      </c>
      <c r="AH1352" s="74">
        <f>tblData[[#This Row],[Net Revenue]]+tblData[[#This Row],[COGS]]</f>
        <v>1067</v>
      </c>
      <c r="AI1352" s="74">
        <f>tblData[[#This Row],[Advertising]]+tblData[[#This Row],[Promotions]]</f>
        <v>-205</v>
      </c>
      <c r="AJ1352" s="74">
        <f>tblData[[#This Row],[Outbound Logistics]]+tblData[[#This Row],[Direct Selling]]</f>
        <v>-132</v>
      </c>
      <c r="AK1352" s="74">
        <f>tblData[[#This Row],[Gross Profit]]+tblData[[#This Row],[AP Spend]]+tblData[[#This Row],[Cost to Serve]]</f>
        <v>730</v>
      </c>
    </row>
    <row r="1353" spans="2:37" x14ac:dyDescent="0.25">
      <c r="B1353" s="71" t="s">
        <v>51</v>
      </c>
      <c r="C1353" s="71">
        <v>2026</v>
      </c>
      <c r="D1353" s="71">
        <v>12</v>
      </c>
      <c r="E1353" s="71" t="s">
        <v>45</v>
      </c>
      <c r="F1353" s="71" t="s">
        <v>39</v>
      </c>
      <c r="G1353" s="72">
        <v>220.3</v>
      </c>
      <c r="H1353" s="73">
        <v>1972</v>
      </c>
      <c r="I1353" s="73">
        <v>-457</v>
      </c>
      <c r="J1353" s="73">
        <v>-20</v>
      </c>
      <c r="K1353" s="73">
        <v>-518</v>
      </c>
      <c r="L1353" s="73">
        <v>-128</v>
      </c>
      <c r="M1353" s="73">
        <v>-79</v>
      </c>
      <c r="N1353" s="73">
        <v>-74</v>
      </c>
      <c r="O1353" s="73">
        <v>-44</v>
      </c>
      <c r="P1353" s="73">
        <v>-71</v>
      </c>
      <c r="Q1353" s="73">
        <v>-39</v>
      </c>
      <c r="R1353" s="73">
        <v>0</v>
      </c>
      <c r="S1353" s="73">
        <v>0</v>
      </c>
      <c r="T1353" s="73">
        <v>0</v>
      </c>
      <c r="U1353" s="73">
        <v>0</v>
      </c>
      <c r="V1353" s="73">
        <v>0</v>
      </c>
      <c r="W1353" s="73">
        <v>0</v>
      </c>
      <c r="X1353" s="73">
        <v>0</v>
      </c>
      <c r="Y1353" s="73">
        <v>0</v>
      </c>
      <c r="Z1353" s="73">
        <v>2444</v>
      </c>
      <c r="AA1353" s="73">
        <v>2118</v>
      </c>
      <c r="AB1353" s="73">
        <v>0</v>
      </c>
      <c r="AC1353" s="73">
        <v>0</v>
      </c>
      <c r="AD1353" s="73">
        <v>0</v>
      </c>
      <c r="AE1353" s="73">
        <v>0</v>
      </c>
      <c r="AF1353" s="74">
        <f>tblData[[#This Row],[Gross Sales]]+tblData[[#This Row],[Trade Discounts]]+tblData[[#This Row],[Returns]]</f>
        <v>1495</v>
      </c>
      <c r="AG1353" s="74">
        <f>tblData[[#This Row],[Material Cost]]+tblData[[#This Row],[Conversion Cost]]+tblData[[#This Row],[Inbound Freight]]</f>
        <v>-725</v>
      </c>
      <c r="AH1353" s="74">
        <f>tblData[[#This Row],[Net Revenue]]+tblData[[#This Row],[COGS]]</f>
        <v>770</v>
      </c>
      <c r="AI1353" s="74">
        <f>tblData[[#This Row],[Advertising]]+tblData[[#This Row],[Promotions]]</f>
        <v>-118</v>
      </c>
      <c r="AJ1353" s="74">
        <f>tblData[[#This Row],[Outbound Logistics]]+tblData[[#This Row],[Direct Selling]]</f>
        <v>-110</v>
      </c>
      <c r="AK1353" s="74">
        <f>tblData[[#This Row],[Gross Profit]]+tblData[[#This Row],[AP Spend]]+tblData[[#This Row],[Cost to Serve]]</f>
        <v>542</v>
      </c>
    </row>
    <row r="1354" spans="2:37" x14ac:dyDescent="0.25">
      <c r="B1354" s="71" t="s">
        <v>51</v>
      </c>
      <c r="C1354" s="71">
        <v>2026</v>
      </c>
      <c r="D1354" s="71">
        <v>12</v>
      </c>
      <c r="E1354" s="71" t="s">
        <v>45</v>
      </c>
      <c r="F1354" s="71" t="s">
        <v>40</v>
      </c>
      <c r="G1354" s="72">
        <v>209.8</v>
      </c>
      <c r="H1354" s="73">
        <v>1457</v>
      </c>
      <c r="I1354" s="73">
        <v>-338</v>
      </c>
      <c r="J1354" s="73">
        <v>-15</v>
      </c>
      <c r="K1354" s="73">
        <v>-426</v>
      </c>
      <c r="L1354" s="73">
        <v>-105</v>
      </c>
      <c r="M1354" s="73">
        <v>-65</v>
      </c>
      <c r="N1354" s="73">
        <v>-37</v>
      </c>
      <c r="O1354" s="73">
        <v>-22</v>
      </c>
      <c r="P1354" s="73">
        <v>-52</v>
      </c>
      <c r="Q1354" s="73">
        <v>-29</v>
      </c>
      <c r="R1354" s="73">
        <v>0</v>
      </c>
      <c r="S1354" s="73">
        <v>0</v>
      </c>
      <c r="T1354" s="73">
        <v>0</v>
      </c>
      <c r="U1354" s="73">
        <v>0</v>
      </c>
      <c r="V1354" s="73">
        <v>0</v>
      </c>
      <c r="W1354" s="73">
        <v>0</v>
      </c>
      <c r="X1354" s="73">
        <v>0</v>
      </c>
      <c r="Y1354" s="73">
        <v>0</v>
      </c>
      <c r="Z1354" s="73">
        <v>1808</v>
      </c>
      <c r="AA1354" s="73">
        <v>1640</v>
      </c>
      <c r="AB1354" s="73">
        <v>0</v>
      </c>
      <c r="AC1354" s="73">
        <v>0</v>
      </c>
      <c r="AD1354" s="73">
        <v>0</v>
      </c>
      <c r="AE1354" s="73">
        <v>0</v>
      </c>
      <c r="AF1354" s="74">
        <f>tblData[[#This Row],[Gross Sales]]+tblData[[#This Row],[Trade Discounts]]+tblData[[#This Row],[Returns]]</f>
        <v>1104</v>
      </c>
      <c r="AG1354" s="74">
        <f>tblData[[#This Row],[Material Cost]]+tblData[[#This Row],[Conversion Cost]]+tblData[[#This Row],[Inbound Freight]]</f>
        <v>-596</v>
      </c>
      <c r="AH1354" s="74">
        <f>tblData[[#This Row],[Net Revenue]]+tblData[[#This Row],[COGS]]</f>
        <v>508</v>
      </c>
      <c r="AI1354" s="74">
        <f>tblData[[#This Row],[Advertising]]+tblData[[#This Row],[Promotions]]</f>
        <v>-59</v>
      </c>
      <c r="AJ1354" s="74">
        <f>tblData[[#This Row],[Outbound Logistics]]+tblData[[#This Row],[Direct Selling]]</f>
        <v>-81</v>
      </c>
      <c r="AK1354" s="74">
        <f>tblData[[#This Row],[Gross Profit]]+tblData[[#This Row],[AP Spend]]+tblData[[#This Row],[Cost to Serve]]</f>
        <v>368</v>
      </c>
    </row>
    <row r="1355" spans="2:37" x14ac:dyDescent="0.25">
      <c r="B1355" s="71" t="s">
        <v>51</v>
      </c>
      <c r="C1355" s="71">
        <v>2026</v>
      </c>
      <c r="D1355" s="71">
        <v>12</v>
      </c>
      <c r="E1355" s="71" t="s">
        <v>45</v>
      </c>
      <c r="F1355" s="71" t="s">
        <v>41</v>
      </c>
      <c r="G1355" s="72">
        <v>106.6</v>
      </c>
      <c r="H1355" s="73">
        <v>1167</v>
      </c>
      <c r="I1355" s="73">
        <v>-270</v>
      </c>
      <c r="J1355" s="73">
        <v>-12</v>
      </c>
      <c r="K1355" s="73">
        <v>-281</v>
      </c>
      <c r="L1355" s="73">
        <v>-69</v>
      </c>
      <c r="M1355" s="73">
        <v>-43</v>
      </c>
      <c r="N1355" s="73">
        <v>-79</v>
      </c>
      <c r="O1355" s="73">
        <v>-47</v>
      </c>
      <c r="P1355" s="73">
        <v>-42</v>
      </c>
      <c r="Q1355" s="73">
        <v>-23</v>
      </c>
      <c r="R1355" s="73">
        <v>0</v>
      </c>
      <c r="S1355" s="73">
        <v>0</v>
      </c>
      <c r="T1355" s="73">
        <v>0</v>
      </c>
      <c r="U1355" s="73">
        <v>0</v>
      </c>
      <c r="V1355" s="73">
        <v>0</v>
      </c>
      <c r="W1355" s="73">
        <v>0</v>
      </c>
      <c r="X1355" s="73">
        <v>0</v>
      </c>
      <c r="Y1355" s="73">
        <v>0</v>
      </c>
      <c r="Z1355" s="73">
        <v>1445</v>
      </c>
      <c r="AA1355" s="73">
        <v>1282</v>
      </c>
      <c r="AB1355" s="73">
        <v>0</v>
      </c>
      <c r="AC1355" s="73">
        <v>0</v>
      </c>
      <c r="AD1355" s="73">
        <v>0</v>
      </c>
      <c r="AE1355" s="73">
        <v>0</v>
      </c>
      <c r="AF1355" s="74">
        <f>tblData[[#This Row],[Gross Sales]]+tblData[[#This Row],[Trade Discounts]]+tblData[[#This Row],[Returns]]</f>
        <v>885</v>
      </c>
      <c r="AG1355" s="74">
        <f>tblData[[#This Row],[Material Cost]]+tblData[[#This Row],[Conversion Cost]]+tblData[[#This Row],[Inbound Freight]]</f>
        <v>-393</v>
      </c>
      <c r="AH1355" s="74">
        <f>tblData[[#This Row],[Net Revenue]]+tblData[[#This Row],[COGS]]</f>
        <v>492</v>
      </c>
      <c r="AI1355" s="74">
        <f>tblData[[#This Row],[Advertising]]+tblData[[#This Row],[Promotions]]</f>
        <v>-126</v>
      </c>
      <c r="AJ1355" s="74">
        <f>tblData[[#This Row],[Outbound Logistics]]+tblData[[#This Row],[Direct Selling]]</f>
        <v>-65</v>
      </c>
      <c r="AK1355" s="74">
        <f>tblData[[#This Row],[Gross Profit]]+tblData[[#This Row],[AP Spend]]+tblData[[#This Row],[Cost to Serve]]</f>
        <v>301</v>
      </c>
    </row>
    <row r="1356" spans="2:37" x14ac:dyDescent="0.25">
      <c r="B1356" s="71" t="s">
        <v>51</v>
      </c>
      <c r="C1356" s="71">
        <v>2026</v>
      </c>
      <c r="D1356" s="71">
        <v>12</v>
      </c>
      <c r="E1356" s="71" t="s">
        <v>45</v>
      </c>
      <c r="F1356" s="71" t="s">
        <v>42</v>
      </c>
      <c r="G1356" s="72">
        <v>127.2</v>
      </c>
      <c r="H1356" s="73">
        <v>754</v>
      </c>
      <c r="I1356" s="73">
        <v>-175</v>
      </c>
      <c r="J1356" s="73">
        <v>-8</v>
      </c>
      <c r="K1356" s="73">
        <v>-242</v>
      </c>
      <c r="L1356" s="73">
        <v>-60</v>
      </c>
      <c r="M1356" s="73">
        <v>-37</v>
      </c>
      <c r="N1356" s="73">
        <v>-15</v>
      </c>
      <c r="O1356" s="73">
        <v>-9</v>
      </c>
      <c r="P1356" s="73">
        <v>-27</v>
      </c>
      <c r="Q1356" s="73">
        <v>-15</v>
      </c>
      <c r="R1356" s="73">
        <v>0</v>
      </c>
      <c r="S1356" s="73">
        <v>0</v>
      </c>
      <c r="T1356" s="73">
        <v>0</v>
      </c>
      <c r="U1356" s="73">
        <v>0</v>
      </c>
      <c r="V1356" s="73">
        <v>0</v>
      </c>
      <c r="W1356" s="73">
        <v>0</v>
      </c>
      <c r="X1356" s="73">
        <v>0</v>
      </c>
      <c r="Y1356" s="73">
        <v>0</v>
      </c>
      <c r="Z1356" s="73">
        <v>948</v>
      </c>
      <c r="AA1356" s="73">
        <v>1460</v>
      </c>
      <c r="AB1356" s="73">
        <v>0</v>
      </c>
      <c r="AC1356" s="73">
        <v>0</v>
      </c>
      <c r="AD1356" s="73">
        <v>0</v>
      </c>
      <c r="AE1356" s="73">
        <v>0</v>
      </c>
      <c r="AF1356" s="74">
        <f>tblData[[#This Row],[Gross Sales]]+tblData[[#This Row],[Trade Discounts]]+tblData[[#This Row],[Returns]]</f>
        <v>571</v>
      </c>
      <c r="AG1356" s="74">
        <f>tblData[[#This Row],[Material Cost]]+tblData[[#This Row],[Conversion Cost]]+tblData[[#This Row],[Inbound Freight]]</f>
        <v>-339</v>
      </c>
      <c r="AH1356" s="74">
        <f>tblData[[#This Row],[Net Revenue]]+tblData[[#This Row],[COGS]]</f>
        <v>232</v>
      </c>
      <c r="AI1356" s="74">
        <f>tblData[[#This Row],[Advertising]]+tblData[[#This Row],[Promotions]]</f>
        <v>-24</v>
      </c>
      <c r="AJ1356" s="74">
        <f>tblData[[#This Row],[Outbound Logistics]]+tblData[[#This Row],[Direct Selling]]</f>
        <v>-42</v>
      </c>
      <c r="AK1356" s="74">
        <f>tblData[[#This Row],[Gross Profit]]+tblData[[#This Row],[AP Spend]]+tblData[[#This Row],[Cost to Serve]]</f>
        <v>166</v>
      </c>
    </row>
    <row r="1357" spans="2:37" x14ac:dyDescent="0.25">
      <c r="B1357" s="71" t="s">
        <v>51</v>
      </c>
      <c r="C1357" s="71">
        <v>2026</v>
      </c>
      <c r="D1357" s="71">
        <v>12</v>
      </c>
      <c r="E1357" s="71" t="s">
        <v>45</v>
      </c>
      <c r="F1357" s="71" t="s">
        <v>43</v>
      </c>
      <c r="G1357" s="72">
        <v>24.1</v>
      </c>
      <c r="H1357" s="73">
        <v>430</v>
      </c>
      <c r="I1357" s="73">
        <v>-100</v>
      </c>
      <c r="J1357" s="73">
        <v>-4</v>
      </c>
      <c r="K1357" s="73">
        <v>-119</v>
      </c>
      <c r="L1357" s="73">
        <v>-29</v>
      </c>
      <c r="M1357" s="73">
        <v>-18</v>
      </c>
      <c r="N1357" s="73">
        <v>-43</v>
      </c>
      <c r="O1357" s="73">
        <v>-25</v>
      </c>
      <c r="P1357" s="73">
        <v>-16</v>
      </c>
      <c r="Q1357" s="73">
        <v>-9</v>
      </c>
      <c r="R1357" s="73">
        <v>0</v>
      </c>
      <c r="S1357" s="73">
        <v>0</v>
      </c>
      <c r="T1357" s="73">
        <v>0</v>
      </c>
      <c r="U1357" s="73">
        <v>0</v>
      </c>
      <c r="V1357" s="73">
        <v>0</v>
      </c>
      <c r="W1357" s="73">
        <v>0</v>
      </c>
      <c r="X1357" s="73">
        <v>0</v>
      </c>
      <c r="Y1357" s="73">
        <v>0</v>
      </c>
      <c r="Z1357" s="73">
        <v>542</v>
      </c>
      <c r="AA1357" s="73">
        <v>726</v>
      </c>
      <c r="AB1357" s="73">
        <v>0</v>
      </c>
      <c r="AC1357" s="73">
        <v>0</v>
      </c>
      <c r="AD1357" s="73">
        <v>0</v>
      </c>
      <c r="AE1357" s="73">
        <v>0</v>
      </c>
      <c r="AF1357" s="74">
        <f>tblData[[#This Row],[Gross Sales]]+tblData[[#This Row],[Trade Discounts]]+tblData[[#This Row],[Returns]]</f>
        <v>326</v>
      </c>
      <c r="AG1357" s="74">
        <f>tblData[[#This Row],[Material Cost]]+tblData[[#This Row],[Conversion Cost]]+tblData[[#This Row],[Inbound Freight]]</f>
        <v>-166</v>
      </c>
      <c r="AH1357" s="74">
        <f>tblData[[#This Row],[Net Revenue]]+tblData[[#This Row],[COGS]]</f>
        <v>160</v>
      </c>
      <c r="AI1357" s="74">
        <f>tblData[[#This Row],[Advertising]]+tblData[[#This Row],[Promotions]]</f>
        <v>-68</v>
      </c>
      <c r="AJ1357" s="74">
        <f>tblData[[#This Row],[Outbound Logistics]]+tblData[[#This Row],[Direct Selling]]</f>
        <v>-25</v>
      </c>
      <c r="AK1357" s="74">
        <f>tblData[[#This Row],[Gross Profit]]+tblData[[#This Row],[AP Spend]]+tblData[[#This Row],[Cost to Serve]]</f>
        <v>67</v>
      </c>
    </row>
    <row r="1358" spans="2:37" x14ac:dyDescent="0.25">
      <c r="B1358" s="71" t="s">
        <v>51</v>
      </c>
      <c r="C1358" s="71">
        <v>2026</v>
      </c>
      <c r="D1358" s="71">
        <v>12</v>
      </c>
      <c r="E1358" s="71" t="s">
        <v>46</v>
      </c>
      <c r="F1358" s="71" t="s">
        <v>38</v>
      </c>
      <c r="G1358" s="72">
        <v>217.3</v>
      </c>
      <c r="H1358" s="73">
        <v>3066</v>
      </c>
      <c r="I1358" s="73">
        <v>-331</v>
      </c>
      <c r="J1358" s="73">
        <v>-123</v>
      </c>
      <c r="K1358" s="73">
        <v>-672</v>
      </c>
      <c r="L1358" s="73">
        <v>-166</v>
      </c>
      <c r="M1358" s="73">
        <v>-103</v>
      </c>
      <c r="N1358" s="73">
        <v>-148</v>
      </c>
      <c r="O1358" s="73">
        <v>-87</v>
      </c>
      <c r="P1358" s="73">
        <v>-237</v>
      </c>
      <c r="Q1358" s="73">
        <v>-61</v>
      </c>
      <c r="R1358" s="73">
        <v>0</v>
      </c>
      <c r="S1358" s="73">
        <v>0</v>
      </c>
      <c r="T1358" s="73">
        <v>0</v>
      </c>
      <c r="U1358" s="73">
        <v>0</v>
      </c>
      <c r="V1358" s="73">
        <v>0</v>
      </c>
      <c r="W1358" s="73">
        <v>0</v>
      </c>
      <c r="X1358" s="73">
        <v>0</v>
      </c>
      <c r="Y1358" s="73">
        <v>0</v>
      </c>
      <c r="Z1358" s="73">
        <v>2454</v>
      </c>
      <c r="AA1358" s="73">
        <v>3181</v>
      </c>
      <c r="AB1358" s="73">
        <v>0</v>
      </c>
      <c r="AC1358" s="73">
        <v>0</v>
      </c>
      <c r="AD1358" s="73">
        <v>0</v>
      </c>
      <c r="AE1358" s="73">
        <v>0</v>
      </c>
      <c r="AF1358" s="74">
        <f>tblData[[#This Row],[Gross Sales]]+tblData[[#This Row],[Trade Discounts]]+tblData[[#This Row],[Returns]]</f>
        <v>2612</v>
      </c>
      <c r="AG1358" s="74">
        <f>tblData[[#This Row],[Material Cost]]+tblData[[#This Row],[Conversion Cost]]+tblData[[#This Row],[Inbound Freight]]</f>
        <v>-941</v>
      </c>
      <c r="AH1358" s="74">
        <f>tblData[[#This Row],[Net Revenue]]+tblData[[#This Row],[COGS]]</f>
        <v>1671</v>
      </c>
      <c r="AI1358" s="74">
        <f>tblData[[#This Row],[Advertising]]+tblData[[#This Row],[Promotions]]</f>
        <v>-235</v>
      </c>
      <c r="AJ1358" s="74">
        <f>tblData[[#This Row],[Outbound Logistics]]+tblData[[#This Row],[Direct Selling]]</f>
        <v>-298</v>
      </c>
      <c r="AK1358" s="74">
        <f>tblData[[#This Row],[Gross Profit]]+tblData[[#This Row],[AP Spend]]+tblData[[#This Row],[Cost to Serve]]</f>
        <v>1138</v>
      </c>
    </row>
    <row r="1359" spans="2:37" x14ac:dyDescent="0.25">
      <c r="B1359" s="71" t="s">
        <v>51</v>
      </c>
      <c r="C1359" s="71">
        <v>2026</v>
      </c>
      <c r="D1359" s="71">
        <v>12</v>
      </c>
      <c r="E1359" s="71" t="s">
        <v>46</v>
      </c>
      <c r="F1359" s="71" t="s">
        <v>39</v>
      </c>
      <c r="G1359" s="72">
        <v>280</v>
      </c>
      <c r="H1359" s="73">
        <v>2529</v>
      </c>
      <c r="I1359" s="73">
        <v>-273</v>
      </c>
      <c r="J1359" s="73">
        <v>-101</v>
      </c>
      <c r="K1359" s="73">
        <v>-665</v>
      </c>
      <c r="L1359" s="73">
        <v>-164</v>
      </c>
      <c r="M1359" s="73">
        <v>-102</v>
      </c>
      <c r="N1359" s="73">
        <v>-84</v>
      </c>
      <c r="O1359" s="73">
        <v>-50</v>
      </c>
      <c r="P1359" s="73">
        <v>-195</v>
      </c>
      <c r="Q1359" s="73">
        <v>-51</v>
      </c>
      <c r="R1359" s="73">
        <v>0</v>
      </c>
      <c r="S1359" s="73">
        <v>0</v>
      </c>
      <c r="T1359" s="73">
        <v>0</v>
      </c>
      <c r="U1359" s="73">
        <v>0</v>
      </c>
      <c r="V1359" s="73">
        <v>0</v>
      </c>
      <c r="W1359" s="73">
        <v>0</v>
      </c>
      <c r="X1359" s="73">
        <v>0</v>
      </c>
      <c r="Y1359" s="73">
        <v>0</v>
      </c>
      <c r="Z1359" s="73">
        <v>2047</v>
      </c>
      <c r="AA1359" s="73">
        <v>2710</v>
      </c>
      <c r="AB1359" s="73">
        <v>0</v>
      </c>
      <c r="AC1359" s="73">
        <v>0</v>
      </c>
      <c r="AD1359" s="73">
        <v>0</v>
      </c>
      <c r="AE1359" s="73">
        <v>0</v>
      </c>
      <c r="AF1359" s="74">
        <f>tblData[[#This Row],[Gross Sales]]+tblData[[#This Row],[Trade Discounts]]+tblData[[#This Row],[Returns]]</f>
        <v>2155</v>
      </c>
      <c r="AG1359" s="74">
        <f>tblData[[#This Row],[Material Cost]]+tblData[[#This Row],[Conversion Cost]]+tblData[[#This Row],[Inbound Freight]]</f>
        <v>-931</v>
      </c>
      <c r="AH1359" s="74">
        <f>tblData[[#This Row],[Net Revenue]]+tblData[[#This Row],[COGS]]</f>
        <v>1224</v>
      </c>
      <c r="AI1359" s="74">
        <f>tblData[[#This Row],[Advertising]]+tblData[[#This Row],[Promotions]]</f>
        <v>-134</v>
      </c>
      <c r="AJ1359" s="74">
        <f>tblData[[#This Row],[Outbound Logistics]]+tblData[[#This Row],[Direct Selling]]</f>
        <v>-246</v>
      </c>
      <c r="AK1359" s="74">
        <f>tblData[[#This Row],[Gross Profit]]+tblData[[#This Row],[AP Spend]]+tblData[[#This Row],[Cost to Serve]]</f>
        <v>844</v>
      </c>
    </row>
    <row r="1360" spans="2:37" x14ac:dyDescent="0.25">
      <c r="B1360" s="71" t="s">
        <v>51</v>
      </c>
      <c r="C1360" s="71">
        <v>2026</v>
      </c>
      <c r="D1360" s="71">
        <v>12</v>
      </c>
      <c r="E1360" s="71" t="s">
        <v>46</v>
      </c>
      <c r="F1360" s="71" t="s">
        <v>40</v>
      </c>
      <c r="G1360" s="72">
        <v>266.3</v>
      </c>
      <c r="H1360" s="73">
        <v>1867</v>
      </c>
      <c r="I1360" s="73">
        <v>-202</v>
      </c>
      <c r="J1360" s="73">
        <v>-75</v>
      </c>
      <c r="K1360" s="73">
        <v>-546</v>
      </c>
      <c r="L1360" s="73">
        <v>-134</v>
      </c>
      <c r="M1360" s="73">
        <v>-83</v>
      </c>
      <c r="N1360" s="73">
        <v>-42</v>
      </c>
      <c r="O1360" s="73">
        <v>-25</v>
      </c>
      <c r="P1360" s="73">
        <v>-144</v>
      </c>
      <c r="Q1360" s="73">
        <v>-37</v>
      </c>
      <c r="R1360" s="73">
        <v>0</v>
      </c>
      <c r="S1360" s="73">
        <v>0</v>
      </c>
      <c r="T1360" s="73">
        <v>0</v>
      </c>
      <c r="U1360" s="73">
        <v>0</v>
      </c>
      <c r="V1360" s="73">
        <v>0</v>
      </c>
      <c r="W1360" s="73">
        <v>0</v>
      </c>
      <c r="X1360" s="73">
        <v>0</v>
      </c>
      <c r="Y1360" s="73">
        <v>0</v>
      </c>
      <c r="Z1360" s="73">
        <v>1505</v>
      </c>
      <c r="AA1360" s="73">
        <v>2085</v>
      </c>
      <c r="AB1360" s="73">
        <v>0</v>
      </c>
      <c r="AC1360" s="73">
        <v>0</v>
      </c>
      <c r="AD1360" s="73">
        <v>0</v>
      </c>
      <c r="AE1360" s="73">
        <v>0</v>
      </c>
      <c r="AF1360" s="74">
        <f>tblData[[#This Row],[Gross Sales]]+tblData[[#This Row],[Trade Discounts]]+tblData[[#This Row],[Returns]]</f>
        <v>1590</v>
      </c>
      <c r="AG1360" s="74">
        <f>tblData[[#This Row],[Material Cost]]+tblData[[#This Row],[Conversion Cost]]+tblData[[#This Row],[Inbound Freight]]</f>
        <v>-763</v>
      </c>
      <c r="AH1360" s="74">
        <f>tblData[[#This Row],[Net Revenue]]+tblData[[#This Row],[COGS]]</f>
        <v>827</v>
      </c>
      <c r="AI1360" s="74">
        <f>tblData[[#This Row],[Advertising]]+tblData[[#This Row],[Promotions]]</f>
        <v>-67</v>
      </c>
      <c r="AJ1360" s="74">
        <f>tblData[[#This Row],[Outbound Logistics]]+tblData[[#This Row],[Direct Selling]]</f>
        <v>-181</v>
      </c>
      <c r="AK1360" s="74">
        <f>tblData[[#This Row],[Gross Profit]]+tblData[[#This Row],[AP Spend]]+tblData[[#This Row],[Cost to Serve]]</f>
        <v>579</v>
      </c>
    </row>
    <row r="1361" spans="2:37" x14ac:dyDescent="0.25">
      <c r="B1361" s="71" t="s">
        <v>51</v>
      </c>
      <c r="C1361" s="71">
        <v>2026</v>
      </c>
      <c r="D1361" s="71">
        <v>12</v>
      </c>
      <c r="E1361" s="71" t="s">
        <v>46</v>
      </c>
      <c r="F1361" s="71" t="s">
        <v>41</v>
      </c>
      <c r="G1361" s="72">
        <v>135.6</v>
      </c>
      <c r="H1361" s="73">
        <v>1499</v>
      </c>
      <c r="I1361" s="73">
        <v>-162</v>
      </c>
      <c r="J1361" s="73">
        <v>-60</v>
      </c>
      <c r="K1361" s="73">
        <v>-361</v>
      </c>
      <c r="L1361" s="73">
        <v>-89</v>
      </c>
      <c r="M1361" s="73">
        <v>-55</v>
      </c>
      <c r="N1361" s="73">
        <v>-90</v>
      </c>
      <c r="O1361" s="73">
        <v>-53</v>
      </c>
      <c r="P1361" s="73">
        <v>-116</v>
      </c>
      <c r="Q1361" s="73">
        <v>-30</v>
      </c>
      <c r="R1361" s="73">
        <v>0</v>
      </c>
      <c r="S1361" s="73">
        <v>0</v>
      </c>
      <c r="T1361" s="73">
        <v>0</v>
      </c>
      <c r="U1361" s="73">
        <v>0</v>
      </c>
      <c r="V1361" s="73">
        <v>0</v>
      </c>
      <c r="W1361" s="73">
        <v>0</v>
      </c>
      <c r="X1361" s="73">
        <v>0</v>
      </c>
      <c r="Y1361" s="73">
        <v>0</v>
      </c>
      <c r="Z1361" s="73">
        <v>1209</v>
      </c>
      <c r="AA1361" s="73">
        <v>1638</v>
      </c>
      <c r="AB1361" s="73">
        <v>0</v>
      </c>
      <c r="AC1361" s="73">
        <v>0</v>
      </c>
      <c r="AD1361" s="73">
        <v>0</v>
      </c>
      <c r="AE1361" s="73">
        <v>0</v>
      </c>
      <c r="AF1361" s="74">
        <f>tblData[[#This Row],[Gross Sales]]+tblData[[#This Row],[Trade Discounts]]+tblData[[#This Row],[Returns]]</f>
        <v>1277</v>
      </c>
      <c r="AG1361" s="74">
        <f>tblData[[#This Row],[Material Cost]]+tblData[[#This Row],[Conversion Cost]]+tblData[[#This Row],[Inbound Freight]]</f>
        <v>-505</v>
      </c>
      <c r="AH1361" s="74">
        <f>tblData[[#This Row],[Net Revenue]]+tblData[[#This Row],[COGS]]</f>
        <v>772</v>
      </c>
      <c r="AI1361" s="74">
        <f>tblData[[#This Row],[Advertising]]+tblData[[#This Row],[Promotions]]</f>
        <v>-143</v>
      </c>
      <c r="AJ1361" s="74">
        <f>tblData[[#This Row],[Outbound Logistics]]+tblData[[#This Row],[Direct Selling]]</f>
        <v>-146</v>
      </c>
      <c r="AK1361" s="74">
        <f>tblData[[#This Row],[Gross Profit]]+tblData[[#This Row],[AP Spend]]+tblData[[#This Row],[Cost to Serve]]</f>
        <v>483</v>
      </c>
    </row>
    <row r="1362" spans="2:37" x14ac:dyDescent="0.25">
      <c r="B1362" s="71" t="s">
        <v>51</v>
      </c>
      <c r="C1362" s="71">
        <v>2026</v>
      </c>
      <c r="D1362" s="71">
        <v>12</v>
      </c>
      <c r="E1362" s="71" t="s">
        <v>46</v>
      </c>
      <c r="F1362" s="71" t="s">
        <v>42</v>
      </c>
      <c r="G1362" s="72">
        <v>163.69999999999999</v>
      </c>
      <c r="H1362" s="73">
        <v>980</v>
      </c>
      <c r="I1362" s="73">
        <v>-106</v>
      </c>
      <c r="J1362" s="73">
        <v>-39</v>
      </c>
      <c r="K1362" s="73">
        <v>-315</v>
      </c>
      <c r="L1362" s="73">
        <v>-78</v>
      </c>
      <c r="M1362" s="73">
        <v>-48</v>
      </c>
      <c r="N1362" s="73">
        <v>-18</v>
      </c>
      <c r="O1362" s="73">
        <v>-10</v>
      </c>
      <c r="P1362" s="73">
        <v>-76</v>
      </c>
      <c r="Q1362" s="73">
        <v>-20</v>
      </c>
      <c r="R1362" s="73">
        <v>0</v>
      </c>
      <c r="S1362" s="73">
        <v>0</v>
      </c>
      <c r="T1362" s="73">
        <v>0</v>
      </c>
      <c r="U1362" s="73">
        <v>0</v>
      </c>
      <c r="V1362" s="73">
        <v>0</v>
      </c>
      <c r="W1362" s="73">
        <v>0</v>
      </c>
      <c r="X1362" s="73">
        <v>0</v>
      </c>
      <c r="Y1362" s="73">
        <v>0</v>
      </c>
      <c r="Z1362" s="73">
        <v>790</v>
      </c>
      <c r="AA1362" s="73">
        <v>1858</v>
      </c>
      <c r="AB1362" s="73">
        <v>0</v>
      </c>
      <c r="AC1362" s="73">
        <v>0</v>
      </c>
      <c r="AD1362" s="73">
        <v>0</v>
      </c>
      <c r="AE1362" s="73">
        <v>0</v>
      </c>
      <c r="AF1362" s="74">
        <f>tblData[[#This Row],[Gross Sales]]+tblData[[#This Row],[Trade Discounts]]+tblData[[#This Row],[Returns]]</f>
        <v>835</v>
      </c>
      <c r="AG1362" s="74">
        <f>tblData[[#This Row],[Material Cost]]+tblData[[#This Row],[Conversion Cost]]+tblData[[#This Row],[Inbound Freight]]</f>
        <v>-441</v>
      </c>
      <c r="AH1362" s="74">
        <f>tblData[[#This Row],[Net Revenue]]+tblData[[#This Row],[COGS]]</f>
        <v>394</v>
      </c>
      <c r="AI1362" s="74">
        <f>tblData[[#This Row],[Advertising]]+tblData[[#This Row],[Promotions]]</f>
        <v>-28</v>
      </c>
      <c r="AJ1362" s="74">
        <f>tblData[[#This Row],[Outbound Logistics]]+tblData[[#This Row],[Direct Selling]]</f>
        <v>-96</v>
      </c>
      <c r="AK1362" s="74">
        <f>tblData[[#This Row],[Gross Profit]]+tblData[[#This Row],[AP Spend]]+tblData[[#This Row],[Cost to Serve]]</f>
        <v>270</v>
      </c>
    </row>
    <row r="1363" spans="2:37" x14ac:dyDescent="0.25">
      <c r="B1363" s="71" t="s">
        <v>51</v>
      </c>
      <c r="C1363" s="71">
        <v>2026</v>
      </c>
      <c r="D1363" s="71">
        <v>12</v>
      </c>
      <c r="E1363" s="71" t="s">
        <v>46</v>
      </c>
      <c r="F1363" s="71" t="s">
        <v>43</v>
      </c>
      <c r="G1363" s="72">
        <v>30.8</v>
      </c>
      <c r="H1363" s="73">
        <v>556</v>
      </c>
      <c r="I1363" s="73">
        <v>-60</v>
      </c>
      <c r="J1363" s="73">
        <v>-22</v>
      </c>
      <c r="K1363" s="73">
        <v>-154</v>
      </c>
      <c r="L1363" s="73">
        <v>-38</v>
      </c>
      <c r="M1363" s="73">
        <v>-24</v>
      </c>
      <c r="N1363" s="73">
        <v>-49</v>
      </c>
      <c r="O1363" s="73">
        <v>-29</v>
      </c>
      <c r="P1363" s="73">
        <v>-43</v>
      </c>
      <c r="Q1363" s="73">
        <v>-11</v>
      </c>
      <c r="R1363" s="73">
        <v>0</v>
      </c>
      <c r="S1363" s="73">
        <v>0</v>
      </c>
      <c r="T1363" s="73">
        <v>0</v>
      </c>
      <c r="U1363" s="73">
        <v>0</v>
      </c>
      <c r="V1363" s="73">
        <v>0</v>
      </c>
      <c r="W1363" s="73">
        <v>0</v>
      </c>
      <c r="X1363" s="73">
        <v>0</v>
      </c>
      <c r="Y1363" s="73">
        <v>0</v>
      </c>
      <c r="Z1363" s="73">
        <v>452</v>
      </c>
      <c r="AA1363" s="73">
        <v>926</v>
      </c>
      <c r="AB1363" s="73">
        <v>0</v>
      </c>
      <c r="AC1363" s="73">
        <v>0</v>
      </c>
      <c r="AD1363" s="73">
        <v>0</v>
      </c>
      <c r="AE1363" s="73">
        <v>0</v>
      </c>
      <c r="AF1363" s="74">
        <f>tblData[[#This Row],[Gross Sales]]+tblData[[#This Row],[Trade Discounts]]+tblData[[#This Row],[Returns]]</f>
        <v>474</v>
      </c>
      <c r="AG1363" s="74">
        <f>tblData[[#This Row],[Material Cost]]+tblData[[#This Row],[Conversion Cost]]+tblData[[#This Row],[Inbound Freight]]</f>
        <v>-216</v>
      </c>
      <c r="AH1363" s="74">
        <f>tblData[[#This Row],[Net Revenue]]+tblData[[#This Row],[COGS]]</f>
        <v>258</v>
      </c>
      <c r="AI1363" s="74">
        <f>tblData[[#This Row],[Advertising]]+tblData[[#This Row],[Promotions]]</f>
        <v>-78</v>
      </c>
      <c r="AJ1363" s="74">
        <f>tblData[[#This Row],[Outbound Logistics]]+tblData[[#This Row],[Direct Selling]]</f>
        <v>-54</v>
      </c>
      <c r="AK1363" s="74">
        <f>tblData[[#This Row],[Gross Profit]]+tblData[[#This Row],[AP Spend]]+tblData[[#This Row],[Cost to Serve]]</f>
        <v>126</v>
      </c>
    </row>
    <row r="1364" spans="2:37" x14ac:dyDescent="0.25">
      <c r="B1364" s="71" t="s">
        <v>51</v>
      </c>
      <c r="C1364" s="71">
        <v>2026</v>
      </c>
      <c r="D1364" s="71">
        <v>12</v>
      </c>
      <c r="E1364" s="71" t="s">
        <v>47</v>
      </c>
      <c r="F1364" s="71" t="s">
        <v>38</v>
      </c>
      <c r="G1364" s="72">
        <v>79.099999999999994</v>
      </c>
      <c r="H1364" s="73">
        <v>1121</v>
      </c>
      <c r="I1364" s="73">
        <v>-34</v>
      </c>
      <c r="J1364" s="73">
        <v>-56</v>
      </c>
      <c r="K1364" s="73">
        <v>-246</v>
      </c>
      <c r="L1364" s="73">
        <v>-61</v>
      </c>
      <c r="M1364" s="73">
        <v>-38</v>
      </c>
      <c r="N1364" s="73">
        <v>-55</v>
      </c>
      <c r="O1364" s="73">
        <v>-33</v>
      </c>
      <c r="P1364" s="73">
        <v>-138</v>
      </c>
      <c r="Q1364" s="73">
        <v>-45</v>
      </c>
      <c r="R1364" s="73">
        <v>0</v>
      </c>
      <c r="S1364" s="73">
        <v>0</v>
      </c>
      <c r="T1364" s="73">
        <v>0</v>
      </c>
      <c r="U1364" s="73">
        <v>0</v>
      </c>
      <c r="V1364" s="73">
        <v>0</v>
      </c>
      <c r="W1364" s="73">
        <v>0</v>
      </c>
      <c r="X1364" s="73">
        <v>0</v>
      </c>
      <c r="Y1364" s="73">
        <v>0</v>
      </c>
      <c r="Z1364" s="73">
        <v>208</v>
      </c>
      <c r="AA1364" s="73">
        <v>1164</v>
      </c>
      <c r="AB1364" s="73">
        <v>0</v>
      </c>
      <c r="AC1364" s="73">
        <v>0</v>
      </c>
      <c r="AD1364" s="73">
        <v>0</v>
      </c>
      <c r="AE1364" s="73">
        <v>0</v>
      </c>
      <c r="AF1364" s="74">
        <f>tblData[[#This Row],[Gross Sales]]+tblData[[#This Row],[Trade Discounts]]+tblData[[#This Row],[Returns]]</f>
        <v>1031</v>
      </c>
      <c r="AG1364" s="74">
        <f>tblData[[#This Row],[Material Cost]]+tblData[[#This Row],[Conversion Cost]]+tblData[[#This Row],[Inbound Freight]]</f>
        <v>-345</v>
      </c>
      <c r="AH1364" s="74">
        <f>tblData[[#This Row],[Net Revenue]]+tblData[[#This Row],[COGS]]</f>
        <v>686</v>
      </c>
      <c r="AI1364" s="74">
        <f>tblData[[#This Row],[Advertising]]+tblData[[#This Row],[Promotions]]</f>
        <v>-88</v>
      </c>
      <c r="AJ1364" s="74">
        <f>tblData[[#This Row],[Outbound Logistics]]+tblData[[#This Row],[Direct Selling]]</f>
        <v>-183</v>
      </c>
      <c r="AK1364" s="74">
        <f>tblData[[#This Row],[Gross Profit]]+tblData[[#This Row],[AP Spend]]+tblData[[#This Row],[Cost to Serve]]</f>
        <v>415</v>
      </c>
    </row>
    <row r="1365" spans="2:37" x14ac:dyDescent="0.25">
      <c r="B1365" s="71" t="s">
        <v>51</v>
      </c>
      <c r="C1365" s="71">
        <v>2026</v>
      </c>
      <c r="D1365" s="71">
        <v>12</v>
      </c>
      <c r="E1365" s="71" t="s">
        <v>47</v>
      </c>
      <c r="F1365" s="71" t="s">
        <v>39</v>
      </c>
      <c r="G1365" s="72">
        <v>102.4</v>
      </c>
      <c r="H1365" s="73">
        <v>928</v>
      </c>
      <c r="I1365" s="73">
        <v>-28</v>
      </c>
      <c r="J1365" s="73">
        <v>-46</v>
      </c>
      <c r="K1365" s="73">
        <v>-244</v>
      </c>
      <c r="L1365" s="73">
        <v>-60</v>
      </c>
      <c r="M1365" s="73">
        <v>-37</v>
      </c>
      <c r="N1365" s="73">
        <v>-32</v>
      </c>
      <c r="O1365" s="73">
        <v>-19</v>
      </c>
      <c r="P1365" s="73">
        <v>-115</v>
      </c>
      <c r="Q1365" s="73">
        <v>-37</v>
      </c>
      <c r="R1365" s="73">
        <v>0</v>
      </c>
      <c r="S1365" s="73">
        <v>0</v>
      </c>
      <c r="T1365" s="73">
        <v>0</v>
      </c>
      <c r="U1365" s="73">
        <v>0</v>
      </c>
      <c r="V1365" s="73">
        <v>0</v>
      </c>
      <c r="W1365" s="73">
        <v>0</v>
      </c>
      <c r="X1365" s="73">
        <v>0</v>
      </c>
      <c r="Y1365" s="73">
        <v>0</v>
      </c>
      <c r="Z1365" s="73">
        <v>174</v>
      </c>
      <c r="AA1365" s="73">
        <v>994</v>
      </c>
      <c r="AB1365" s="73">
        <v>0</v>
      </c>
      <c r="AC1365" s="73">
        <v>0</v>
      </c>
      <c r="AD1365" s="73">
        <v>0</v>
      </c>
      <c r="AE1365" s="73">
        <v>0</v>
      </c>
      <c r="AF1365" s="74">
        <f>tblData[[#This Row],[Gross Sales]]+tblData[[#This Row],[Trade Discounts]]+tblData[[#This Row],[Returns]]</f>
        <v>854</v>
      </c>
      <c r="AG1365" s="74">
        <f>tblData[[#This Row],[Material Cost]]+tblData[[#This Row],[Conversion Cost]]+tblData[[#This Row],[Inbound Freight]]</f>
        <v>-341</v>
      </c>
      <c r="AH1365" s="74">
        <f>tblData[[#This Row],[Net Revenue]]+tblData[[#This Row],[COGS]]</f>
        <v>513</v>
      </c>
      <c r="AI1365" s="74">
        <f>tblData[[#This Row],[Advertising]]+tblData[[#This Row],[Promotions]]</f>
        <v>-51</v>
      </c>
      <c r="AJ1365" s="74">
        <f>tblData[[#This Row],[Outbound Logistics]]+tblData[[#This Row],[Direct Selling]]</f>
        <v>-152</v>
      </c>
      <c r="AK1365" s="74">
        <f>tblData[[#This Row],[Gross Profit]]+tblData[[#This Row],[AP Spend]]+tblData[[#This Row],[Cost to Serve]]</f>
        <v>310</v>
      </c>
    </row>
    <row r="1366" spans="2:37" x14ac:dyDescent="0.25">
      <c r="B1366" s="71" t="s">
        <v>51</v>
      </c>
      <c r="C1366" s="71">
        <v>2026</v>
      </c>
      <c r="D1366" s="71">
        <v>12</v>
      </c>
      <c r="E1366" s="71" t="s">
        <v>47</v>
      </c>
      <c r="F1366" s="71" t="s">
        <v>40</v>
      </c>
      <c r="G1366" s="72">
        <v>97.2</v>
      </c>
      <c r="H1366" s="73">
        <v>685</v>
      </c>
      <c r="I1366" s="73">
        <v>-21</v>
      </c>
      <c r="J1366" s="73">
        <v>-34</v>
      </c>
      <c r="K1366" s="73">
        <v>-200</v>
      </c>
      <c r="L1366" s="73">
        <v>-49</v>
      </c>
      <c r="M1366" s="73">
        <v>-31</v>
      </c>
      <c r="N1366" s="73">
        <v>-16</v>
      </c>
      <c r="O1366" s="73">
        <v>-9</v>
      </c>
      <c r="P1366" s="73">
        <v>-85</v>
      </c>
      <c r="Q1366" s="73">
        <v>-27</v>
      </c>
      <c r="R1366" s="73">
        <v>0</v>
      </c>
      <c r="S1366" s="73">
        <v>0</v>
      </c>
      <c r="T1366" s="73">
        <v>0</v>
      </c>
      <c r="U1366" s="73">
        <v>0</v>
      </c>
      <c r="V1366" s="73">
        <v>0</v>
      </c>
      <c r="W1366" s="73">
        <v>0</v>
      </c>
      <c r="X1366" s="73">
        <v>0</v>
      </c>
      <c r="Y1366" s="73">
        <v>0</v>
      </c>
      <c r="Z1366" s="73">
        <v>128</v>
      </c>
      <c r="AA1366" s="73">
        <v>769</v>
      </c>
      <c r="AB1366" s="73">
        <v>0</v>
      </c>
      <c r="AC1366" s="73">
        <v>0</v>
      </c>
      <c r="AD1366" s="73">
        <v>0</v>
      </c>
      <c r="AE1366" s="73">
        <v>0</v>
      </c>
      <c r="AF1366" s="74">
        <f>tblData[[#This Row],[Gross Sales]]+tblData[[#This Row],[Trade Discounts]]+tblData[[#This Row],[Returns]]</f>
        <v>630</v>
      </c>
      <c r="AG1366" s="74">
        <f>tblData[[#This Row],[Material Cost]]+tblData[[#This Row],[Conversion Cost]]+tblData[[#This Row],[Inbound Freight]]</f>
        <v>-280</v>
      </c>
      <c r="AH1366" s="74">
        <f>tblData[[#This Row],[Net Revenue]]+tblData[[#This Row],[COGS]]</f>
        <v>350</v>
      </c>
      <c r="AI1366" s="74">
        <f>tblData[[#This Row],[Advertising]]+tblData[[#This Row],[Promotions]]</f>
        <v>-25</v>
      </c>
      <c r="AJ1366" s="74">
        <f>tblData[[#This Row],[Outbound Logistics]]+tblData[[#This Row],[Direct Selling]]</f>
        <v>-112</v>
      </c>
      <c r="AK1366" s="74">
        <f>tblData[[#This Row],[Gross Profit]]+tblData[[#This Row],[AP Spend]]+tblData[[#This Row],[Cost to Serve]]</f>
        <v>213</v>
      </c>
    </row>
    <row r="1367" spans="2:37" x14ac:dyDescent="0.25">
      <c r="B1367" s="71" t="s">
        <v>51</v>
      </c>
      <c r="C1367" s="71">
        <v>2026</v>
      </c>
      <c r="D1367" s="71">
        <v>12</v>
      </c>
      <c r="E1367" s="71" t="s">
        <v>47</v>
      </c>
      <c r="F1367" s="71" t="s">
        <v>41</v>
      </c>
      <c r="G1367" s="72">
        <v>49.5</v>
      </c>
      <c r="H1367" s="73">
        <v>550</v>
      </c>
      <c r="I1367" s="73">
        <v>-16</v>
      </c>
      <c r="J1367" s="73">
        <v>-27</v>
      </c>
      <c r="K1367" s="73">
        <v>-133</v>
      </c>
      <c r="L1367" s="73">
        <v>-33</v>
      </c>
      <c r="M1367" s="73">
        <v>-20</v>
      </c>
      <c r="N1367" s="73">
        <v>-34</v>
      </c>
      <c r="O1367" s="73">
        <v>-20</v>
      </c>
      <c r="P1367" s="73">
        <v>-68</v>
      </c>
      <c r="Q1367" s="73">
        <v>-22</v>
      </c>
      <c r="R1367" s="73">
        <v>0</v>
      </c>
      <c r="S1367" s="73">
        <v>0</v>
      </c>
      <c r="T1367" s="73">
        <v>0</v>
      </c>
      <c r="U1367" s="73">
        <v>0</v>
      </c>
      <c r="V1367" s="73">
        <v>0</v>
      </c>
      <c r="W1367" s="73">
        <v>0</v>
      </c>
      <c r="X1367" s="73">
        <v>0</v>
      </c>
      <c r="Y1367" s="73">
        <v>0</v>
      </c>
      <c r="Z1367" s="73">
        <v>103</v>
      </c>
      <c r="AA1367" s="73">
        <v>602</v>
      </c>
      <c r="AB1367" s="73">
        <v>0</v>
      </c>
      <c r="AC1367" s="73">
        <v>0</v>
      </c>
      <c r="AD1367" s="73">
        <v>0</v>
      </c>
      <c r="AE1367" s="73">
        <v>0</v>
      </c>
      <c r="AF1367" s="74">
        <f>tblData[[#This Row],[Gross Sales]]+tblData[[#This Row],[Trade Discounts]]+tblData[[#This Row],[Returns]]</f>
        <v>507</v>
      </c>
      <c r="AG1367" s="74">
        <f>tblData[[#This Row],[Material Cost]]+tblData[[#This Row],[Conversion Cost]]+tblData[[#This Row],[Inbound Freight]]</f>
        <v>-186</v>
      </c>
      <c r="AH1367" s="74">
        <f>tblData[[#This Row],[Net Revenue]]+tblData[[#This Row],[COGS]]</f>
        <v>321</v>
      </c>
      <c r="AI1367" s="74">
        <f>tblData[[#This Row],[Advertising]]+tblData[[#This Row],[Promotions]]</f>
        <v>-54</v>
      </c>
      <c r="AJ1367" s="74">
        <f>tblData[[#This Row],[Outbound Logistics]]+tblData[[#This Row],[Direct Selling]]</f>
        <v>-90</v>
      </c>
      <c r="AK1367" s="74">
        <f>tblData[[#This Row],[Gross Profit]]+tblData[[#This Row],[AP Spend]]+tblData[[#This Row],[Cost to Serve]]</f>
        <v>177</v>
      </c>
    </row>
    <row r="1368" spans="2:37" x14ac:dyDescent="0.25">
      <c r="B1368" s="71" t="s">
        <v>51</v>
      </c>
      <c r="C1368" s="71">
        <v>2026</v>
      </c>
      <c r="D1368" s="71">
        <v>12</v>
      </c>
      <c r="E1368" s="71" t="s">
        <v>47</v>
      </c>
      <c r="F1368" s="71" t="s">
        <v>42</v>
      </c>
      <c r="G1368" s="72">
        <v>59.4</v>
      </c>
      <c r="H1368" s="73">
        <v>357</v>
      </c>
      <c r="I1368" s="73">
        <v>-11</v>
      </c>
      <c r="J1368" s="73">
        <v>-18</v>
      </c>
      <c r="K1368" s="73">
        <v>-115</v>
      </c>
      <c r="L1368" s="73">
        <v>-28</v>
      </c>
      <c r="M1368" s="73">
        <v>-18</v>
      </c>
      <c r="N1368" s="73">
        <v>-7</v>
      </c>
      <c r="O1368" s="73">
        <v>-4</v>
      </c>
      <c r="P1368" s="73">
        <v>-44</v>
      </c>
      <c r="Q1368" s="73">
        <v>-14</v>
      </c>
      <c r="R1368" s="73">
        <v>0</v>
      </c>
      <c r="S1368" s="73">
        <v>0</v>
      </c>
      <c r="T1368" s="73">
        <v>0</v>
      </c>
      <c r="U1368" s="73">
        <v>0</v>
      </c>
      <c r="V1368" s="73">
        <v>0</v>
      </c>
      <c r="W1368" s="73">
        <v>0</v>
      </c>
      <c r="X1368" s="73">
        <v>0</v>
      </c>
      <c r="Y1368" s="73">
        <v>0</v>
      </c>
      <c r="Z1368" s="73">
        <v>67</v>
      </c>
      <c r="AA1368" s="73">
        <v>685</v>
      </c>
      <c r="AB1368" s="73">
        <v>0</v>
      </c>
      <c r="AC1368" s="73">
        <v>0</v>
      </c>
      <c r="AD1368" s="73">
        <v>0</v>
      </c>
      <c r="AE1368" s="73">
        <v>0</v>
      </c>
      <c r="AF1368" s="74">
        <f>tblData[[#This Row],[Gross Sales]]+tblData[[#This Row],[Trade Discounts]]+tblData[[#This Row],[Returns]]</f>
        <v>328</v>
      </c>
      <c r="AG1368" s="74">
        <f>tblData[[#This Row],[Material Cost]]+tblData[[#This Row],[Conversion Cost]]+tblData[[#This Row],[Inbound Freight]]</f>
        <v>-161</v>
      </c>
      <c r="AH1368" s="74">
        <f>tblData[[#This Row],[Net Revenue]]+tblData[[#This Row],[COGS]]</f>
        <v>167</v>
      </c>
      <c r="AI1368" s="74">
        <f>tblData[[#This Row],[Advertising]]+tblData[[#This Row],[Promotions]]</f>
        <v>-11</v>
      </c>
      <c r="AJ1368" s="74">
        <f>tblData[[#This Row],[Outbound Logistics]]+tblData[[#This Row],[Direct Selling]]</f>
        <v>-58</v>
      </c>
      <c r="AK1368" s="74">
        <f>tblData[[#This Row],[Gross Profit]]+tblData[[#This Row],[AP Spend]]+tblData[[#This Row],[Cost to Serve]]</f>
        <v>98</v>
      </c>
    </row>
    <row r="1369" spans="2:37" x14ac:dyDescent="0.25">
      <c r="B1369" s="71" t="s">
        <v>51</v>
      </c>
      <c r="C1369" s="71">
        <v>2026</v>
      </c>
      <c r="D1369" s="71">
        <v>12</v>
      </c>
      <c r="E1369" s="71" t="s">
        <v>47</v>
      </c>
      <c r="F1369" s="71" t="s">
        <v>43</v>
      </c>
      <c r="G1369" s="72">
        <v>11.2</v>
      </c>
      <c r="H1369" s="73">
        <v>203</v>
      </c>
      <c r="I1369" s="73">
        <v>-6</v>
      </c>
      <c r="J1369" s="73">
        <v>-10</v>
      </c>
      <c r="K1369" s="73">
        <v>-56</v>
      </c>
      <c r="L1369" s="73">
        <v>-14</v>
      </c>
      <c r="M1369" s="73">
        <v>-9</v>
      </c>
      <c r="N1369" s="73">
        <v>-18</v>
      </c>
      <c r="O1369" s="73">
        <v>-11</v>
      </c>
      <c r="P1369" s="73">
        <v>-25</v>
      </c>
      <c r="Q1369" s="73">
        <v>-8</v>
      </c>
      <c r="R1369" s="73">
        <v>0</v>
      </c>
      <c r="S1369" s="73">
        <v>0</v>
      </c>
      <c r="T1369" s="73">
        <v>0</v>
      </c>
      <c r="U1369" s="73">
        <v>0</v>
      </c>
      <c r="V1369" s="73">
        <v>0</v>
      </c>
      <c r="W1369" s="73">
        <v>0</v>
      </c>
      <c r="X1369" s="73">
        <v>0</v>
      </c>
      <c r="Y1369" s="73">
        <v>0</v>
      </c>
      <c r="Z1369" s="73">
        <v>39</v>
      </c>
      <c r="AA1369" s="73">
        <v>341</v>
      </c>
      <c r="AB1369" s="73">
        <v>0</v>
      </c>
      <c r="AC1369" s="73">
        <v>0</v>
      </c>
      <c r="AD1369" s="73">
        <v>0</v>
      </c>
      <c r="AE1369" s="73">
        <v>0</v>
      </c>
      <c r="AF1369" s="74">
        <f>tblData[[#This Row],[Gross Sales]]+tblData[[#This Row],[Trade Discounts]]+tblData[[#This Row],[Returns]]</f>
        <v>187</v>
      </c>
      <c r="AG1369" s="74">
        <f>tblData[[#This Row],[Material Cost]]+tblData[[#This Row],[Conversion Cost]]+tblData[[#This Row],[Inbound Freight]]</f>
        <v>-79</v>
      </c>
      <c r="AH1369" s="74">
        <f>tblData[[#This Row],[Net Revenue]]+tblData[[#This Row],[COGS]]</f>
        <v>108</v>
      </c>
      <c r="AI1369" s="74">
        <f>tblData[[#This Row],[Advertising]]+tblData[[#This Row],[Promotions]]</f>
        <v>-29</v>
      </c>
      <c r="AJ1369" s="74">
        <f>tblData[[#This Row],[Outbound Logistics]]+tblData[[#This Row],[Direct Selling]]</f>
        <v>-33</v>
      </c>
      <c r="AK1369" s="74">
        <f>tblData[[#This Row],[Gross Profit]]+tblData[[#This Row],[AP Spend]]+tblData[[#This Row],[Cost to Serve]]</f>
        <v>46</v>
      </c>
    </row>
    <row r="1370" spans="2:37" x14ac:dyDescent="0.25">
      <c r="B1370" s="71" t="s">
        <v>51</v>
      </c>
      <c r="C1370" s="71">
        <v>2026</v>
      </c>
      <c r="D1370" s="71">
        <v>12</v>
      </c>
      <c r="E1370" s="71" t="s">
        <v>48</v>
      </c>
      <c r="F1370" s="71" t="s">
        <v>38</v>
      </c>
      <c r="G1370" s="72">
        <v>125.6</v>
      </c>
      <c r="H1370" s="73">
        <v>1769</v>
      </c>
      <c r="I1370" s="73">
        <v>-159</v>
      </c>
      <c r="J1370" s="73">
        <v>-18</v>
      </c>
      <c r="K1370" s="73">
        <v>-388</v>
      </c>
      <c r="L1370" s="73">
        <v>-96</v>
      </c>
      <c r="M1370" s="73">
        <v>-59</v>
      </c>
      <c r="N1370" s="73">
        <v>-92</v>
      </c>
      <c r="O1370" s="73">
        <v>-54</v>
      </c>
      <c r="P1370" s="73">
        <v>-55</v>
      </c>
      <c r="Q1370" s="73">
        <v>-27</v>
      </c>
      <c r="R1370" s="73">
        <v>0</v>
      </c>
      <c r="S1370" s="73">
        <v>0</v>
      </c>
      <c r="T1370" s="73">
        <v>0</v>
      </c>
      <c r="U1370" s="73">
        <v>0</v>
      </c>
      <c r="V1370" s="73">
        <v>0</v>
      </c>
      <c r="W1370" s="73">
        <v>0</v>
      </c>
      <c r="X1370" s="73">
        <v>0</v>
      </c>
      <c r="Y1370" s="73">
        <v>0</v>
      </c>
      <c r="Z1370" s="73">
        <v>3953</v>
      </c>
      <c r="AA1370" s="73">
        <v>1860</v>
      </c>
      <c r="AB1370" s="73">
        <v>0</v>
      </c>
      <c r="AC1370" s="73">
        <v>0</v>
      </c>
      <c r="AD1370" s="73">
        <v>0</v>
      </c>
      <c r="AE1370" s="73">
        <v>0</v>
      </c>
      <c r="AF1370" s="74">
        <f>tblData[[#This Row],[Gross Sales]]+tblData[[#This Row],[Trade Discounts]]+tblData[[#This Row],[Returns]]</f>
        <v>1592</v>
      </c>
      <c r="AG1370" s="74">
        <f>tblData[[#This Row],[Material Cost]]+tblData[[#This Row],[Conversion Cost]]+tblData[[#This Row],[Inbound Freight]]</f>
        <v>-543</v>
      </c>
      <c r="AH1370" s="74">
        <f>tblData[[#This Row],[Net Revenue]]+tblData[[#This Row],[COGS]]</f>
        <v>1049</v>
      </c>
      <c r="AI1370" s="74">
        <f>tblData[[#This Row],[Advertising]]+tblData[[#This Row],[Promotions]]</f>
        <v>-146</v>
      </c>
      <c r="AJ1370" s="74">
        <f>tblData[[#This Row],[Outbound Logistics]]+tblData[[#This Row],[Direct Selling]]</f>
        <v>-82</v>
      </c>
      <c r="AK1370" s="74">
        <f>tblData[[#This Row],[Gross Profit]]+tblData[[#This Row],[AP Spend]]+tblData[[#This Row],[Cost to Serve]]</f>
        <v>821</v>
      </c>
    </row>
    <row r="1371" spans="2:37" x14ac:dyDescent="0.25">
      <c r="B1371" s="71" t="s">
        <v>51</v>
      </c>
      <c r="C1371" s="71">
        <v>2026</v>
      </c>
      <c r="D1371" s="71">
        <v>12</v>
      </c>
      <c r="E1371" s="71" t="s">
        <v>48</v>
      </c>
      <c r="F1371" s="71" t="s">
        <v>39</v>
      </c>
      <c r="G1371" s="72">
        <v>164.5</v>
      </c>
      <c r="H1371" s="73">
        <v>1483</v>
      </c>
      <c r="I1371" s="73">
        <v>-134</v>
      </c>
      <c r="J1371" s="73">
        <v>-15</v>
      </c>
      <c r="K1371" s="73">
        <v>-390</v>
      </c>
      <c r="L1371" s="73">
        <v>-96</v>
      </c>
      <c r="M1371" s="73">
        <v>-60</v>
      </c>
      <c r="N1371" s="73">
        <v>-53</v>
      </c>
      <c r="O1371" s="73">
        <v>-31</v>
      </c>
      <c r="P1371" s="73">
        <v>-46</v>
      </c>
      <c r="Q1371" s="73">
        <v>-22</v>
      </c>
      <c r="R1371" s="73">
        <v>0</v>
      </c>
      <c r="S1371" s="73">
        <v>0</v>
      </c>
      <c r="T1371" s="73">
        <v>0</v>
      </c>
      <c r="U1371" s="73">
        <v>0</v>
      </c>
      <c r="V1371" s="73">
        <v>0</v>
      </c>
      <c r="W1371" s="73">
        <v>0</v>
      </c>
      <c r="X1371" s="73">
        <v>0</v>
      </c>
      <c r="Y1371" s="73">
        <v>0</v>
      </c>
      <c r="Z1371" s="73">
        <v>3301</v>
      </c>
      <c r="AA1371" s="73">
        <v>1587</v>
      </c>
      <c r="AB1371" s="73">
        <v>0</v>
      </c>
      <c r="AC1371" s="73">
        <v>0</v>
      </c>
      <c r="AD1371" s="73">
        <v>0</v>
      </c>
      <c r="AE1371" s="73">
        <v>0</v>
      </c>
      <c r="AF1371" s="74">
        <f>tblData[[#This Row],[Gross Sales]]+tblData[[#This Row],[Trade Discounts]]+tblData[[#This Row],[Returns]]</f>
        <v>1334</v>
      </c>
      <c r="AG1371" s="74">
        <f>tblData[[#This Row],[Material Cost]]+tblData[[#This Row],[Conversion Cost]]+tblData[[#This Row],[Inbound Freight]]</f>
        <v>-546</v>
      </c>
      <c r="AH1371" s="74">
        <f>tblData[[#This Row],[Net Revenue]]+tblData[[#This Row],[COGS]]</f>
        <v>788</v>
      </c>
      <c r="AI1371" s="74">
        <f>tblData[[#This Row],[Advertising]]+tblData[[#This Row],[Promotions]]</f>
        <v>-84</v>
      </c>
      <c r="AJ1371" s="74">
        <f>tblData[[#This Row],[Outbound Logistics]]+tblData[[#This Row],[Direct Selling]]</f>
        <v>-68</v>
      </c>
      <c r="AK1371" s="74">
        <f>tblData[[#This Row],[Gross Profit]]+tblData[[#This Row],[AP Spend]]+tblData[[#This Row],[Cost to Serve]]</f>
        <v>636</v>
      </c>
    </row>
    <row r="1372" spans="2:37" x14ac:dyDescent="0.25">
      <c r="B1372" s="71" t="s">
        <v>51</v>
      </c>
      <c r="C1372" s="71">
        <v>2026</v>
      </c>
      <c r="D1372" s="71">
        <v>12</v>
      </c>
      <c r="E1372" s="71" t="s">
        <v>48</v>
      </c>
      <c r="F1372" s="71" t="s">
        <v>40</v>
      </c>
      <c r="G1372" s="72">
        <v>156</v>
      </c>
      <c r="H1372" s="73">
        <v>1092</v>
      </c>
      <c r="I1372" s="73">
        <v>-98</v>
      </c>
      <c r="J1372" s="73">
        <v>-11</v>
      </c>
      <c r="K1372" s="73">
        <v>-319</v>
      </c>
      <c r="L1372" s="73">
        <v>-79</v>
      </c>
      <c r="M1372" s="73">
        <v>-49</v>
      </c>
      <c r="N1372" s="73">
        <v>-26</v>
      </c>
      <c r="O1372" s="73">
        <v>-16</v>
      </c>
      <c r="P1372" s="73">
        <v>-34</v>
      </c>
      <c r="Q1372" s="73">
        <v>-16</v>
      </c>
      <c r="R1372" s="73">
        <v>0</v>
      </c>
      <c r="S1372" s="73">
        <v>0</v>
      </c>
      <c r="T1372" s="73">
        <v>0</v>
      </c>
      <c r="U1372" s="73">
        <v>0</v>
      </c>
      <c r="V1372" s="73">
        <v>0</v>
      </c>
      <c r="W1372" s="73">
        <v>0</v>
      </c>
      <c r="X1372" s="73">
        <v>0</v>
      </c>
      <c r="Y1372" s="73">
        <v>0</v>
      </c>
      <c r="Z1372" s="73">
        <v>2437</v>
      </c>
      <c r="AA1372" s="73">
        <v>1226</v>
      </c>
      <c r="AB1372" s="73">
        <v>0</v>
      </c>
      <c r="AC1372" s="73">
        <v>0</v>
      </c>
      <c r="AD1372" s="73">
        <v>0</v>
      </c>
      <c r="AE1372" s="73">
        <v>0</v>
      </c>
      <c r="AF1372" s="74">
        <f>tblData[[#This Row],[Gross Sales]]+tblData[[#This Row],[Trade Discounts]]+tblData[[#This Row],[Returns]]</f>
        <v>983</v>
      </c>
      <c r="AG1372" s="74">
        <f>tblData[[#This Row],[Material Cost]]+tblData[[#This Row],[Conversion Cost]]+tblData[[#This Row],[Inbound Freight]]</f>
        <v>-447</v>
      </c>
      <c r="AH1372" s="74">
        <f>tblData[[#This Row],[Net Revenue]]+tblData[[#This Row],[COGS]]</f>
        <v>536</v>
      </c>
      <c r="AI1372" s="74">
        <f>tblData[[#This Row],[Advertising]]+tblData[[#This Row],[Promotions]]</f>
        <v>-42</v>
      </c>
      <c r="AJ1372" s="74">
        <f>tblData[[#This Row],[Outbound Logistics]]+tblData[[#This Row],[Direct Selling]]</f>
        <v>-50</v>
      </c>
      <c r="AK1372" s="74">
        <f>tblData[[#This Row],[Gross Profit]]+tblData[[#This Row],[AP Spend]]+tblData[[#This Row],[Cost to Serve]]</f>
        <v>444</v>
      </c>
    </row>
    <row r="1373" spans="2:37" x14ac:dyDescent="0.25">
      <c r="B1373" s="71" t="s">
        <v>51</v>
      </c>
      <c r="C1373" s="71">
        <v>2026</v>
      </c>
      <c r="D1373" s="71">
        <v>12</v>
      </c>
      <c r="E1373" s="71" t="s">
        <v>48</v>
      </c>
      <c r="F1373" s="71" t="s">
        <v>41</v>
      </c>
      <c r="G1373" s="72">
        <v>78.7</v>
      </c>
      <c r="H1373" s="73">
        <v>868</v>
      </c>
      <c r="I1373" s="73">
        <v>-78</v>
      </c>
      <c r="J1373" s="73">
        <v>-9</v>
      </c>
      <c r="K1373" s="73">
        <v>-209</v>
      </c>
      <c r="L1373" s="73">
        <v>-52</v>
      </c>
      <c r="M1373" s="73">
        <v>-32</v>
      </c>
      <c r="N1373" s="73">
        <v>-56</v>
      </c>
      <c r="O1373" s="73">
        <v>-33</v>
      </c>
      <c r="P1373" s="73">
        <v>-27</v>
      </c>
      <c r="Q1373" s="73">
        <v>-13</v>
      </c>
      <c r="R1373" s="73">
        <v>0</v>
      </c>
      <c r="S1373" s="73">
        <v>0</v>
      </c>
      <c r="T1373" s="73">
        <v>0</v>
      </c>
      <c r="U1373" s="73">
        <v>0</v>
      </c>
      <c r="V1373" s="73">
        <v>0</v>
      </c>
      <c r="W1373" s="73">
        <v>0</v>
      </c>
      <c r="X1373" s="73">
        <v>0</v>
      </c>
      <c r="Y1373" s="73">
        <v>0</v>
      </c>
      <c r="Z1373" s="73">
        <v>1944</v>
      </c>
      <c r="AA1373" s="73">
        <v>957</v>
      </c>
      <c r="AB1373" s="73">
        <v>0</v>
      </c>
      <c r="AC1373" s="73">
        <v>0</v>
      </c>
      <c r="AD1373" s="73">
        <v>0</v>
      </c>
      <c r="AE1373" s="73">
        <v>0</v>
      </c>
      <c r="AF1373" s="74">
        <f>tblData[[#This Row],[Gross Sales]]+tblData[[#This Row],[Trade Discounts]]+tblData[[#This Row],[Returns]]</f>
        <v>781</v>
      </c>
      <c r="AG1373" s="74">
        <f>tblData[[#This Row],[Material Cost]]+tblData[[#This Row],[Conversion Cost]]+tblData[[#This Row],[Inbound Freight]]</f>
        <v>-293</v>
      </c>
      <c r="AH1373" s="74">
        <f>tblData[[#This Row],[Net Revenue]]+tblData[[#This Row],[COGS]]</f>
        <v>488</v>
      </c>
      <c r="AI1373" s="74">
        <f>tblData[[#This Row],[Advertising]]+tblData[[#This Row],[Promotions]]</f>
        <v>-89</v>
      </c>
      <c r="AJ1373" s="74">
        <f>tblData[[#This Row],[Outbound Logistics]]+tblData[[#This Row],[Direct Selling]]</f>
        <v>-40</v>
      </c>
      <c r="AK1373" s="74">
        <f>tblData[[#This Row],[Gross Profit]]+tblData[[#This Row],[AP Spend]]+tblData[[#This Row],[Cost to Serve]]</f>
        <v>359</v>
      </c>
    </row>
    <row r="1374" spans="2:37" x14ac:dyDescent="0.25">
      <c r="B1374" s="71" t="s">
        <v>51</v>
      </c>
      <c r="C1374" s="71">
        <v>2026</v>
      </c>
      <c r="D1374" s="71">
        <v>12</v>
      </c>
      <c r="E1374" s="71" t="s">
        <v>48</v>
      </c>
      <c r="F1374" s="71" t="s">
        <v>42</v>
      </c>
      <c r="G1374" s="72">
        <v>95.2</v>
      </c>
      <c r="H1374" s="73">
        <v>569</v>
      </c>
      <c r="I1374" s="73">
        <v>-51</v>
      </c>
      <c r="J1374" s="73">
        <v>-6</v>
      </c>
      <c r="K1374" s="73">
        <v>-183</v>
      </c>
      <c r="L1374" s="73">
        <v>-45</v>
      </c>
      <c r="M1374" s="73">
        <v>-28</v>
      </c>
      <c r="N1374" s="73">
        <v>-11</v>
      </c>
      <c r="O1374" s="73">
        <v>-6</v>
      </c>
      <c r="P1374" s="73">
        <v>-18</v>
      </c>
      <c r="Q1374" s="73">
        <v>-9</v>
      </c>
      <c r="R1374" s="73">
        <v>0</v>
      </c>
      <c r="S1374" s="73">
        <v>0</v>
      </c>
      <c r="T1374" s="73">
        <v>0</v>
      </c>
      <c r="U1374" s="73">
        <v>0</v>
      </c>
      <c r="V1374" s="73">
        <v>0</v>
      </c>
      <c r="W1374" s="73">
        <v>0</v>
      </c>
      <c r="X1374" s="73">
        <v>0</v>
      </c>
      <c r="Y1374" s="73">
        <v>0</v>
      </c>
      <c r="Z1374" s="73">
        <v>1276</v>
      </c>
      <c r="AA1374" s="73">
        <v>1090</v>
      </c>
      <c r="AB1374" s="73">
        <v>0</v>
      </c>
      <c r="AC1374" s="73">
        <v>0</v>
      </c>
      <c r="AD1374" s="73">
        <v>0</v>
      </c>
      <c r="AE1374" s="73">
        <v>0</v>
      </c>
      <c r="AF1374" s="74">
        <f>tblData[[#This Row],[Gross Sales]]+tblData[[#This Row],[Trade Discounts]]+tblData[[#This Row],[Returns]]</f>
        <v>512</v>
      </c>
      <c r="AG1374" s="74">
        <f>tblData[[#This Row],[Material Cost]]+tblData[[#This Row],[Conversion Cost]]+tblData[[#This Row],[Inbound Freight]]</f>
        <v>-256</v>
      </c>
      <c r="AH1374" s="74">
        <f>tblData[[#This Row],[Net Revenue]]+tblData[[#This Row],[COGS]]</f>
        <v>256</v>
      </c>
      <c r="AI1374" s="74">
        <f>tblData[[#This Row],[Advertising]]+tblData[[#This Row],[Promotions]]</f>
        <v>-17</v>
      </c>
      <c r="AJ1374" s="74">
        <f>tblData[[#This Row],[Outbound Logistics]]+tblData[[#This Row],[Direct Selling]]</f>
        <v>-27</v>
      </c>
      <c r="AK1374" s="74">
        <f>tblData[[#This Row],[Gross Profit]]+tblData[[#This Row],[AP Spend]]+tblData[[#This Row],[Cost to Serve]]</f>
        <v>212</v>
      </c>
    </row>
    <row r="1375" spans="2:37" x14ac:dyDescent="0.25">
      <c r="B1375" s="71" t="s">
        <v>51</v>
      </c>
      <c r="C1375" s="71">
        <v>2026</v>
      </c>
      <c r="D1375" s="71">
        <v>12</v>
      </c>
      <c r="E1375" s="71" t="s">
        <v>48</v>
      </c>
      <c r="F1375" s="71" t="s">
        <v>43</v>
      </c>
      <c r="G1375" s="72">
        <v>17.899999999999999</v>
      </c>
      <c r="H1375" s="73">
        <v>322</v>
      </c>
      <c r="I1375" s="73">
        <v>-29</v>
      </c>
      <c r="J1375" s="73">
        <v>-3</v>
      </c>
      <c r="K1375" s="73">
        <v>-89</v>
      </c>
      <c r="L1375" s="73">
        <v>-22</v>
      </c>
      <c r="M1375" s="73">
        <v>-14</v>
      </c>
      <c r="N1375" s="73">
        <v>-31</v>
      </c>
      <c r="O1375" s="73">
        <v>-18</v>
      </c>
      <c r="P1375" s="73">
        <v>-10</v>
      </c>
      <c r="Q1375" s="73">
        <v>-5</v>
      </c>
      <c r="R1375" s="73">
        <v>0</v>
      </c>
      <c r="S1375" s="73">
        <v>0</v>
      </c>
      <c r="T1375" s="73">
        <v>0</v>
      </c>
      <c r="U1375" s="73">
        <v>0</v>
      </c>
      <c r="V1375" s="73">
        <v>0</v>
      </c>
      <c r="W1375" s="73">
        <v>0</v>
      </c>
      <c r="X1375" s="73">
        <v>0</v>
      </c>
      <c r="Y1375" s="73">
        <v>0</v>
      </c>
      <c r="Z1375" s="73">
        <v>730</v>
      </c>
      <c r="AA1375" s="73">
        <v>543</v>
      </c>
      <c r="AB1375" s="73">
        <v>0</v>
      </c>
      <c r="AC1375" s="73">
        <v>0</v>
      </c>
      <c r="AD1375" s="73">
        <v>0</v>
      </c>
      <c r="AE1375" s="73">
        <v>0</v>
      </c>
      <c r="AF1375" s="74">
        <f>tblData[[#This Row],[Gross Sales]]+tblData[[#This Row],[Trade Discounts]]+tblData[[#This Row],[Returns]]</f>
        <v>290</v>
      </c>
      <c r="AG1375" s="74">
        <f>tblData[[#This Row],[Material Cost]]+tblData[[#This Row],[Conversion Cost]]+tblData[[#This Row],[Inbound Freight]]</f>
        <v>-125</v>
      </c>
      <c r="AH1375" s="74">
        <f>tblData[[#This Row],[Net Revenue]]+tblData[[#This Row],[COGS]]</f>
        <v>165</v>
      </c>
      <c r="AI1375" s="74">
        <f>tblData[[#This Row],[Advertising]]+tblData[[#This Row],[Promotions]]</f>
        <v>-49</v>
      </c>
      <c r="AJ1375" s="74">
        <f>tblData[[#This Row],[Outbound Logistics]]+tblData[[#This Row],[Direct Selling]]</f>
        <v>-15</v>
      </c>
      <c r="AK1375" s="74">
        <f>tblData[[#This Row],[Gross Profit]]+tblData[[#This Row],[AP Spend]]+tblData[[#This Row],[Cost to Serve]]</f>
        <v>101</v>
      </c>
    </row>
    <row r="1376" spans="2:37" x14ac:dyDescent="0.25">
      <c r="B1376" s="71" t="s">
        <v>51</v>
      </c>
      <c r="C1376" s="71">
        <v>2026</v>
      </c>
      <c r="D1376" s="71">
        <v>12</v>
      </c>
      <c r="E1376" s="71" t="s">
        <v>49</v>
      </c>
      <c r="F1376" s="71" t="s">
        <v>49</v>
      </c>
      <c r="G1376" s="72">
        <v>0</v>
      </c>
      <c r="H1376" s="73">
        <v>0</v>
      </c>
      <c r="I1376" s="73">
        <v>0</v>
      </c>
      <c r="J1376" s="73">
        <v>0</v>
      </c>
      <c r="K1376" s="73">
        <v>0</v>
      </c>
      <c r="L1376" s="73">
        <v>0</v>
      </c>
      <c r="M1376" s="73">
        <v>0</v>
      </c>
      <c r="N1376" s="73">
        <v>0</v>
      </c>
      <c r="O1376" s="73">
        <v>0</v>
      </c>
      <c r="P1376" s="73">
        <v>0</v>
      </c>
      <c r="Q1376" s="73">
        <v>0</v>
      </c>
      <c r="R1376" s="73">
        <v>-4405</v>
      </c>
      <c r="S1376" s="73">
        <v>-1004</v>
      </c>
      <c r="T1376" s="73">
        <v>-1288</v>
      </c>
      <c r="U1376" s="73">
        <v>-1094</v>
      </c>
      <c r="V1376" s="73">
        <v>-1480</v>
      </c>
      <c r="W1376" s="73">
        <v>-684</v>
      </c>
      <c r="X1376" s="73">
        <v>-2275</v>
      </c>
      <c r="Y1376" s="73">
        <v>-1547</v>
      </c>
      <c r="Z1376" s="73">
        <v>0</v>
      </c>
      <c r="AA1376" s="73">
        <v>0</v>
      </c>
      <c r="AB1376" s="73">
        <v>40616</v>
      </c>
      <c r="AC1376" s="73">
        <v>54604</v>
      </c>
      <c r="AD1376" s="73">
        <v>180000</v>
      </c>
      <c r="AE1376" s="73">
        <v>1202</v>
      </c>
      <c r="AF1376" s="74">
        <f>tblData[[#This Row],[Gross Sales]]+tblData[[#This Row],[Trade Discounts]]+tblData[[#This Row],[Returns]]</f>
        <v>0</v>
      </c>
      <c r="AG1376" s="74">
        <f>tblData[[#This Row],[Material Cost]]+tblData[[#This Row],[Conversion Cost]]+tblData[[#This Row],[Inbound Freight]]</f>
        <v>0</v>
      </c>
      <c r="AH1376" s="74">
        <f>tblData[[#This Row],[Net Revenue]]+tblData[[#This Row],[COGS]]</f>
        <v>0</v>
      </c>
      <c r="AI1376" s="74">
        <f>tblData[[#This Row],[Advertising]]+tblData[[#This Row],[Promotions]]</f>
        <v>0</v>
      </c>
      <c r="AJ1376" s="74">
        <f>tblData[[#This Row],[Outbound Logistics]]+tblData[[#This Row],[Direct Selling]]</f>
        <v>0</v>
      </c>
      <c r="AK1376" s="74">
        <f>tblData[[#This Row],[Gross Profit]]+tblData[[#This Row],[AP Spend]]+tblData[[#This Row],[Cost to Serve]]</f>
        <v>0</v>
      </c>
    </row>
    <row r="1377" spans="2:37" x14ac:dyDescent="0.25">
      <c r="B1377" s="71" t="s">
        <v>36</v>
      </c>
      <c r="C1377" s="71">
        <v>2026</v>
      </c>
      <c r="D1377" s="71">
        <v>1</v>
      </c>
      <c r="E1377" s="71" t="s">
        <v>37</v>
      </c>
      <c r="F1377" s="71" t="s">
        <v>38</v>
      </c>
      <c r="G1377" s="72">
        <v>247</v>
      </c>
      <c r="H1377" s="73">
        <v>3479</v>
      </c>
      <c r="I1377" s="73">
        <v>-682</v>
      </c>
      <c r="J1377" s="73">
        <v>-52</v>
      </c>
      <c r="K1377" s="73">
        <v>-763</v>
      </c>
      <c r="L1377" s="73">
        <v>-188</v>
      </c>
      <c r="M1377" s="73">
        <v>-117</v>
      </c>
      <c r="N1377" s="73">
        <v>-190</v>
      </c>
      <c r="O1377" s="73">
        <v>-112</v>
      </c>
      <c r="P1377" s="73">
        <v>-143</v>
      </c>
      <c r="Q1377" s="73">
        <v>-104</v>
      </c>
      <c r="R1377" s="73">
        <v>0</v>
      </c>
      <c r="S1377" s="73">
        <v>0</v>
      </c>
      <c r="T1377" s="73">
        <v>0</v>
      </c>
      <c r="U1377" s="73">
        <v>0</v>
      </c>
      <c r="V1377" s="73">
        <v>0</v>
      </c>
      <c r="W1377" s="73">
        <v>0</v>
      </c>
      <c r="X1377" s="73">
        <v>0</v>
      </c>
      <c r="Y1377" s="73">
        <v>0</v>
      </c>
      <c r="Z1377" s="73">
        <v>5237</v>
      </c>
      <c r="AA1377" s="73">
        <v>3547</v>
      </c>
      <c r="AB1377" s="73">
        <v>0</v>
      </c>
      <c r="AC1377" s="73">
        <v>0</v>
      </c>
      <c r="AD1377" s="73">
        <v>0</v>
      </c>
      <c r="AE1377" s="73">
        <v>0</v>
      </c>
      <c r="AF1377" s="74">
        <f>tblData[[#This Row],[Gross Sales]]+tblData[[#This Row],[Trade Discounts]]+tblData[[#This Row],[Returns]]</f>
        <v>2745</v>
      </c>
      <c r="AG1377" s="74">
        <f>tblData[[#This Row],[Material Cost]]+tblData[[#This Row],[Conversion Cost]]+tblData[[#This Row],[Inbound Freight]]</f>
        <v>-1068</v>
      </c>
      <c r="AH1377" s="74">
        <f>tblData[[#This Row],[Net Revenue]]+tblData[[#This Row],[COGS]]</f>
        <v>1677</v>
      </c>
      <c r="AI1377" s="74">
        <f>tblData[[#This Row],[Advertising]]+tblData[[#This Row],[Promotions]]</f>
        <v>-302</v>
      </c>
      <c r="AJ1377" s="74">
        <f>tblData[[#This Row],[Outbound Logistics]]+tblData[[#This Row],[Direct Selling]]</f>
        <v>-247</v>
      </c>
      <c r="AK1377" s="74">
        <f>tblData[[#This Row],[Gross Profit]]+tblData[[#This Row],[AP Spend]]+tblData[[#This Row],[Cost to Serve]]</f>
        <v>1128</v>
      </c>
    </row>
    <row r="1378" spans="2:37" x14ac:dyDescent="0.25">
      <c r="B1378" s="71" t="s">
        <v>36</v>
      </c>
      <c r="C1378" s="71">
        <v>2026</v>
      </c>
      <c r="D1378" s="71">
        <v>1</v>
      </c>
      <c r="E1378" s="71" t="s">
        <v>37</v>
      </c>
      <c r="F1378" s="71" t="s">
        <v>39</v>
      </c>
      <c r="G1378" s="72">
        <v>322.5</v>
      </c>
      <c r="H1378" s="73">
        <v>2908</v>
      </c>
      <c r="I1378" s="73">
        <v>-570</v>
      </c>
      <c r="J1378" s="73">
        <v>-44</v>
      </c>
      <c r="K1378" s="73">
        <v>-765</v>
      </c>
      <c r="L1378" s="73">
        <v>-188</v>
      </c>
      <c r="M1378" s="73">
        <v>-117</v>
      </c>
      <c r="N1378" s="73">
        <v>-109</v>
      </c>
      <c r="O1378" s="73">
        <v>-64</v>
      </c>
      <c r="P1378" s="73">
        <v>-120</v>
      </c>
      <c r="Q1378" s="73">
        <v>-87</v>
      </c>
      <c r="R1378" s="73">
        <v>0</v>
      </c>
      <c r="S1378" s="73">
        <v>0</v>
      </c>
      <c r="T1378" s="73">
        <v>0</v>
      </c>
      <c r="U1378" s="73">
        <v>0</v>
      </c>
      <c r="V1378" s="73">
        <v>0</v>
      </c>
      <c r="W1378" s="73">
        <v>0</v>
      </c>
      <c r="X1378" s="73">
        <v>0</v>
      </c>
      <c r="Y1378" s="73">
        <v>0</v>
      </c>
      <c r="Z1378" s="73">
        <v>4377</v>
      </c>
      <c r="AA1378" s="73">
        <v>3029</v>
      </c>
      <c r="AB1378" s="73">
        <v>0</v>
      </c>
      <c r="AC1378" s="73">
        <v>0</v>
      </c>
      <c r="AD1378" s="73">
        <v>0</v>
      </c>
      <c r="AE1378" s="73">
        <v>0</v>
      </c>
      <c r="AF1378" s="74">
        <f>tblData[[#This Row],[Gross Sales]]+tblData[[#This Row],[Trade Discounts]]+tblData[[#This Row],[Returns]]</f>
        <v>2294</v>
      </c>
      <c r="AG1378" s="74">
        <f>tblData[[#This Row],[Material Cost]]+tblData[[#This Row],[Conversion Cost]]+tblData[[#This Row],[Inbound Freight]]</f>
        <v>-1070</v>
      </c>
      <c r="AH1378" s="74">
        <f>tblData[[#This Row],[Net Revenue]]+tblData[[#This Row],[COGS]]</f>
        <v>1224</v>
      </c>
      <c r="AI1378" s="74">
        <f>tblData[[#This Row],[Advertising]]+tblData[[#This Row],[Promotions]]</f>
        <v>-173</v>
      </c>
      <c r="AJ1378" s="74">
        <f>tblData[[#This Row],[Outbound Logistics]]+tblData[[#This Row],[Direct Selling]]</f>
        <v>-207</v>
      </c>
      <c r="AK1378" s="74">
        <f>tblData[[#This Row],[Gross Profit]]+tblData[[#This Row],[AP Spend]]+tblData[[#This Row],[Cost to Serve]]</f>
        <v>844</v>
      </c>
    </row>
    <row r="1379" spans="2:37" x14ac:dyDescent="0.25">
      <c r="B1379" s="71" t="s">
        <v>36</v>
      </c>
      <c r="C1379" s="71">
        <v>2026</v>
      </c>
      <c r="D1379" s="71">
        <v>1</v>
      </c>
      <c r="E1379" s="71" t="s">
        <v>37</v>
      </c>
      <c r="F1379" s="71" t="s">
        <v>40</v>
      </c>
      <c r="G1379" s="72">
        <v>302.8</v>
      </c>
      <c r="H1379" s="73">
        <v>2119</v>
      </c>
      <c r="I1379" s="73">
        <v>-415</v>
      </c>
      <c r="J1379" s="73">
        <v>-32</v>
      </c>
      <c r="K1379" s="73">
        <v>-620</v>
      </c>
      <c r="L1379" s="73">
        <v>-153</v>
      </c>
      <c r="M1379" s="73">
        <v>-95</v>
      </c>
      <c r="N1379" s="73">
        <v>-54</v>
      </c>
      <c r="O1379" s="73">
        <v>-32</v>
      </c>
      <c r="P1379" s="73">
        <v>-87</v>
      </c>
      <c r="Q1379" s="73">
        <v>-64</v>
      </c>
      <c r="R1379" s="73">
        <v>0</v>
      </c>
      <c r="S1379" s="73">
        <v>0</v>
      </c>
      <c r="T1379" s="73">
        <v>0</v>
      </c>
      <c r="U1379" s="73">
        <v>0</v>
      </c>
      <c r="V1379" s="73">
        <v>0</v>
      </c>
      <c r="W1379" s="73">
        <v>0</v>
      </c>
      <c r="X1379" s="73">
        <v>0</v>
      </c>
      <c r="Y1379" s="73">
        <v>0</v>
      </c>
      <c r="Z1379" s="73">
        <v>3190</v>
      </c>
      <c r="AA1379" s="73">
        <v>2310</v>
      </c>
      <c r="AB1379" s="73">
        <v>0</v>
      </c>
      <c r="AC1379" s="73">
        <v>0</v>
      </c>
      <c r="AD1379" s="73">
        <v>0</v>
      </c>
      <c r="AE1379" s="73">
        <v>0</v>
      </c>
      <c r="AF1379" s="74">
        <f>tblData[[#This Row],[Gross Sales]]+tblData[[#This Row],[Trade Discounts]]+tblData[[#This Row],[Returns]]</f>
        <v>1672</v>
      </c>
      <c r="AG1379" s="74">
        <f>tblData[[#This Row],[Material Cost]]+tblData[[#This Row],[Conversion Cost]]+tblData[[#This Row],[Inbound Freight]]</f>
        <v>-868</v>
      </c>
      <c r="AH1379" s="74">
        <f>tblData[[#This Row],[Net Revenue]]+tblData[[#This Row],[COGS]]</f>
        <v>804</v>
      </c>
      <c r="AI1379" s="74">
        <f>tblData[[#This Row],[Advertising]]+tblData[[#This Row],[Promotions]]</f>
        <v>-86</v>
      </c>
      <c r="AJ1379" s="74">
        <f>tblData[[#This Row],[Outbound Logistics]]+tblData[[#This Row],[Direct Selling]]</f>
        <v>-151</v>
      </c>
      <c r="AK1379" s="74">
        <f>tblData[[#This Row],[Gross Profit]]+tblData[[#This Row],[AP Spend]]+tblData[[#This Row],[Cost to Serve]]</f>
        <v>567</v>
      </c>
    </row>
    <row r="1380" spans="2:37" x14ac:dyDescent="0.25">
      <c r="B1380" s="71" t="s">
        <v>36</v>
      </c>
      <c r="C1380" s="71">
        <v>2026</v>
      </c>
      <c r="D1380" s="71">
        <v>1</v>
      </c>
      <c r="E1380" s="71" t="s">
        <v>37</v>
      </c>
      <c r="F1380" s="71" t="s">
        <v>41</v>
      </c>
      <c r="G1380" s="72">
        <v>160.6</v>
      </c>
      <c r="H1380" s="73">
        <v>1772</v>
      </c>
      <c r="I1380" s="73">
        <v>-347</v>
      </c>
      <c r="J1380" s="73">
        <v>-27</v>
      </c>
      <c r="K1380" s="73">
        <v>-427</v>
      </c>
      <c r="L1380" s="73">
        <v>-105</v>
      </c>
      <c r="M1380" s="73">
        <v>-66</v>
      </c>
      <c r="N1380" s="73">
        <v>-116</v>
      </c>
      <c r="O1380" s="73">
        <v>-69</v>
      </c>
      <c r="P1380" s="73">
        <v>-73</v>
      </c>
      <c r="Q1380" s="73">
        <v>-53</v>
      </c>
      <c r="R1380" s="73">
        <v>0</v>
      </c>
      <c r="S1380" s="73">
        <v>0</v>
      </c>
      <c r="T1380" s="73">
        <v>0</v>
      </c>
      <c r="U1380" s="73">
        <v>0</v>
      </c>
      <c r="V1380" s="73">
        <v>0</v>
      </c>
      <c r="W1380" s="73">
        <v>0</v>
      </c>
      <c r="X1380" s="73">
        <v>0</v>
      </c>
      <c r="Y1380" s="73">
        <v>0</v>
      </c>
      <c r="Z1380" s="73">
        <v>2668</v>
      </c>
      <c r="AA1380" s="73">
        <v>1889</v>
      </c>
      <c r="AB1380" s="73">
        <v>0</v>
      </c>
      <c r="AC1380" s="73">
        <v>0</v>
      </c>
      <c r="AD1380" s="73">
        <v>0</v>
      </c>
      <c r="AE1380" s="73">
        <v>0</v>
      </c>
      <c r="AF1380" s="74">
        <f>tblData[[#This Row],[Gross Sales]]+tblData[[#This Row],[Trade Discounts]]+tblData[[#This Row],[Returns]]</f>
        <v>1398</v>
      </c>
      <c r="AG1380" s="74">
        <f>tblData[[#This Row],[Material Cost]]+tblData[[#This Row],[Conversion Cost]]+tblData[[#This Row],[Inbound Freight]]</f>
        <v>-598</v>
      </c>
      <c r="AH1380" s="74">
        <f>tblData[[#This Row],[Net Revenue]]+tblData[[#This Row],[COGS]]</f>
        <v>800</v>
      </c>
      <c r="AI1380" s="74">
        <f>tblData[[#This Row],[Advertising]]+tblData[[#This Row],[Promotions]]</f>
        <v>-185</v>
      </c>
      <c r="AJ1380" s="74">
        <f>tblData[[#This Row],[Outbound Logistics]]+tblData[[#This Row],[Direct Selling]]</f>
        <v>-126</v>
      </c>
      <c r="AK1380" s="74">
        <f>tblData[[#This Row],[Gross Profit]]+tblData[[#This Row],[AP Spend]]+tblData[[#This Row],[Cost to Serve]]</f>
        <v>489</v>
      </c>
    </row>
    <row r="1381" spans="2:37" x14ac:dyDescent="0.25">
      <c r="B1381" s="71" t="s">
        <v>36</v>
      </c>
      <c r="C1381" s="71">
        <v>2026</v>
      </c>
      <c r="D1381" s="71">
        <v>1</v>
      </c>
      <c r="E1381" s="71" t="s">
        <v>37</v>
      </c>
      <c r="F1381" s="71" t="s">
        <v>42</v>
      </c>
      <c r="G1381" s="72">
        <v>190.5</v>
      </c>
      <c r="H1381" s="73">
        <v>1138</v>
      </c>
      <c r="I1381" s="73">
        <v>-223</v>
      </c>
      <c r="J1381" s="73">
        <v>-17</v>
      </c>
      <c r="K1381" s="73">
        <v>-366</v>
      </c>
      <c r="L1381" s="73">
        <v>-90</v>
      </c>
      <c r="M1381" s="73">
        <v>-56</v>
      </c>
      <c r="N1381" s="73">
        <v>-23</v>
      </c>
      <c r="O1381" s="73">
        <v>-13</v>
      </c>
      <c r="P1381" s="73">
        <v>-47</v>
      </c>
      <c r="Q1381" s="73">
        <v>-34</v>
      </c>
      <c r="R1381" s="73">
        <v>0</v>
      </c>
      <c r="S1381" s="73">
        <v>0</v>
      </c>
      <c r="T1381" s="73">
        <v>0</v>
      </c>
      <c r="U1381" s="73">
        <v>0</v>
      </c>
      <c r="V1381" s="73">
        <v>0</v>
      </c>
      <c r="W1381" s="73">
        <v>0</v>
      </c>
      <c r="X1381" s="73">
        <v>0</v>
      </c>
      <c r="Y1381" s="73">
        <v>0</v>
      </c>
      <c r="Z1381" s="73">
        <v>1714</v>
      </c>
      <c r="AA1381" s="73">
        <v>2107</v>
      </c>
      <c r="AB1381" s="73">
        <v>0</v>
      </c>
      <c r="AC1381" s="73">
        <v>0</v>
      </c>
      <c r="AD1381" s="73">
        <v>0</v>
      </c>
      <c r="AE1381" s="73">
        <v>0</v>
      </c>
      <c r="AF1381" s="74">
        <f>tblData[[#This Row],[Gross Sales]]+tblData[[#This Row],[Trade Discounts]]+tblData[[#This Row],[Returns]]</f>
        <v>898</v>
      </c>
      <c r="AG1381" s="74">
        <f>tblData[[#This Row],[Material Cost]]+tblData[[#This Row],[Conversion Cost]]+tblData[[#This Row],[Inbound Freight]]</f>
        <v>-512</v>
      </c>
      <c r="AH1381" s="74">
        <f>tblData[[#This Row],[Net Revenue]]+tblData[[#This Row],[COGS]]</f>
        <v>386</v>
      </c>
      <c r="AI1381" s="74">
        <f>tblData[[#This Row],[Advertising]]+tblData[[#This Row],[Promotions]]</f>
        <v>-36</v>
      </c>
      <c r="AJ1381" s="74">
        <f>tblData[[#This Row],[Outbound Logistics]]+tblData[[#This Row],[Direct Selling]]</f>
        <v>-81</v>
      </c>
      <c r="AK1381" s="74">
        <f>tblData[[#This Row],[Gross Profit]]+tblData[[#This Row],[AP Spend]]+tblData[[#This Row],[Cost to Serve]]</f>
        <v>269</v>
      </c>
    </row>
    <row r="1382" spans="2:37" x14ac:dyDescent="0.25">
      <c r="B1382" s="71" t="s">
        <v>36</v>
      </c>
      <c r="C1382" s="71">
        <v>2026</v>
      </c>
      <c r="D1382" s="71">
        <v>1</v>
      </c>
      <c r="E1382" s="71" t="s">
        <v>37</v>
      </c>
      <c r="F1382" s="71" t="s">
        <v>43</v>
      </c>
      <c r="G1382" s="72">
        <v>35.799999999999997</v>
      </c>
      <c r="H1382" s="73">
        <v>644</v>
      </c>
      <c r="I1382" s="73">
        <v>-126</v>
      </c>
      <c r="J1382" s="73">
        <v>-10</v>
      </c>
      <c r="K1382" s="73">
        <v>-179</v>
      </c>
      <c r="L1382" s="73">
        <v>-44</v>
      </c>
      <c r="M1382" s="73">
        <v>-27</v>
      </c>
      <c r="N1382" s="73">
        <v>-63</v>
      </c>
      <c r="O1382" s="73">
        <v>-37</v>
      </c>
      <c r="P1382" s="73">
        <v>-27</v>
      </c>
      <c r="Q1382" s="73">
        <v>-19</v>
      </c>
      <c r="R1382" s="73">
        <v>0</v>
      </c>
      <c r="S1382" s="73">
        <v>0</v>
      </c>
      <c r="T1382" s="73">
        <v>0</v>
      </c>
      <c r="U1382" s="73">
        <v>0</v>
      </c>
      <c r="V1382" s="73">
        <v>0</v>
      </c>
      <c r="W1382" s="73">
        <v>0</v>
      </c>
      <c r="X1382" s="73">
        <v>0</v>
      </c>
      <c r="Y1382" s="73">
        <v>0</v>
      </c>
      <c r="Z1382" s="73">
        <v>969</v>
      </c>
      <c r="AA1382" s="73">
        <v>1037</v>
      </c>
      <c r="AB1382" s="73">
        <v>0</v>
      </c>
      <c r="AC1382" s="73">
        <v>0</v>
      </c>
      <c r="AD1382" s="73">
        <v>0</v>
      </c>
      <c r="AE1382" s="73">
        <v>0</v>
      </c>
      <c r="AF1382" s="74">
        <f>tblData[[#This Row],[Gross Sales]]+tblData[[#This Row],[Trade Discounts]]+tblData[[#This Row],[Returns]]</f>
        <v>508</v>
      </c>
      <c r="AG1382" s="74">
        <f>tblData[[#This Row],[Material Cost]]+tblData[[#This Row],[Conversion Cost]]+tblData[[#This Row],[Inbound Freight]]</f>
        <v>-250</v>
      </c>
      <c r="AH1382" s="74">
        <f>tblData[[#This Row],[Net Revenue]]+tblData[[#This Row],[COGS]]</f>
        <v>258</v>
      </c>
      <c r="AI1382" s="74">
        <f>tblData[[#This Row],[Advertising]]+tblData[[#This Row],[Promotions]]</f>
        <v>-100</v>
      </c>
      <c r="AJ1382" s="74">
        <f>tblData[[#This Row],[Outbound Logistics]]+tblData[[#This Row],[Direct Selling]]</f>
        <v>-46</v>
      </c>
      <c r="AK1382" s="74">
        <f>tblData[[#This Row],[Gross Profit]]+tblData[[#This Row],[AP Spend]]+tblData[[#This Row],[Cost to Serve]]</f>
        <v>112</v>
      </c>
    </row>
    <row r="1383" spans="2:37" x14ac:dyDescent="0.25">
      <c r="B1383" s="71" t="s">
        <v>36</v>
      </c>
      <c r="C1383" s="71">
        <v>2026</v>
      </c>
      <c r="D1383" s="71">
        <v>1</v>
      </c>
      <c r="E1383" s="71" t="s">
        <v>44</v>
      </c>
      <c r="F1383" s="71" t="s">
        <v>38</v>
      </c>
      <c r="G1383" s="72">
        <v>202.5</v>
      </c>
      <c r="H1383" s="73">
        <v>2863</v>
      </c>
      <c r="I1383" s="73">
        <v>-464</v>
      </c>
      <c r="J1383" s="73">
        <v>-34</v>
      </c>
      <c r="K1383" s="73">
        <v>-628</v>
      </c>
      <c r="L1383" s="73">
        <v>-155</v>
      </c>
      <c r="M1383" s="73">
        <v>-96</v>
      </c>
      <c r="N1383" s="73">
        <v>-152</v>
      </c>
      <c r="O1383" s="73">
        <v>-90</v>
      </c>
      <c r="P1383" s="73">
        <v>-118</v>
      </c>
      <c r="Q1383" s="73">
        <v>-86</v>
      </c>
      <c r="R1383" s="73">
        <v>0</v>
      </c>
      <c r="S1383" s="73">
        <v>0</v>
      </c>
      <c r="T1383" s="73">
        <v>0</v>
      </c>
      <c r="U1383" s="73">
        <v>0</v>
      </c>
      <c r="V1383" s="73">
        <v>0</v>
      </c>
      <c r="W1383" s="73">
        <v>0</v>
      </c>
      <c r="X1383" s="73">
        <v>0</v>
      </c>
      <c r="Y1383" s="73">
        <v>0</v>
      </c>
      <c r="Z1383" s="73">
        <v>4123</v>
      </c>
      <c r="AA1383" s="73">
        <v>2919</v>
      </c>
      <c r="AB1383" s="73">
        <v>0</v>
      </c>
      <c r="AC1383" s="73">
        <v>0</v>
      </c>
      <c r="AD1383" s="73">
        <v>0</v>
      </c>
      <c r="AE1383" s="73">
        <v>0</v>
      </c>
      <c r="AF1383" s="74">
        <f>tblData[[#This Row],[Gross Sales]]+tblData[[#This Row],[Trade Discounts]]+tblData[[#This Row],[Returns]]</f>
        <v>2365</v>
      </c>
      <c r="AG1383" s="74">
        <f>tblData[[#This Row],[Material Cost]]+tblData[[#This Row],[Conversion Cost]]+tblData[[#This Row],[Inbound Freight]]</f>
        <v>-879</v>
      </c>
      <c r="AH1383" s="74">
        <f>tblData[[#This Row],[Net Revenue]]+tblData[[#This Row],[COGS]]</f>
        <v>1486</v>
      </c>
      <c r="AI1383" s="74">
        <f>tblData[[#This Row],[Advertising]]+tblData[[#This Row],[Promotions]]</f>
        <v>-242</v>
      </c>
      <c r="AJ1383" s="74">
        <f>tblData[[#This Row],[Outbound Logistics]]+tblData[[#This Row],[Direct Selling]]</f>
        <v>-204</v>
      </c>
      <c r="AK1383" s="74">
        <f>tblData[[#This Row],[Gross Profit]]+tblData[[#This Row],[AP Spend]]+tblData[[#This Row],[Cost to Serve]]</f>
        <v>1040</v>
      </c>
    </row>
    <row r="1384" spans="2:37" x14ac:dyDescent="0.25">
      <c r="B1384" s="71" t="s">
        <v>36</v>
      </c>
      <c r="C1384" s="71">
        <v>2026</v>
      </c>
      <c r="D1384" s="71">
        <v>1</v>
      </c>
      <c r="E1384" s="71" t="s">
        <v>44</v>
      </c>
      <c r="F1384" s="71" t="s">
        <v>39</v>
      </c>
      <c r="G1384" s="72">
        <v>263.2</v>
      </c>
      <c r="H1384" s="73">
        <v>2383</v>
      </c>
      <c r="I1384" s="73">
        <v>-386</v>
      </c>
      <c r="J1384" s="73">
        <v>-29</v>
      </c>
      <c r="K1384" s="73">
        <v>-627</v>
      </c>
      <c r="L1384" s="73">
        <v>-154</v>
      </c>
      <c r="M1384" s="73">
        <v>-96</v>
      </c>
      <c r="N1384" s="73">
        <v>-87</v>
      </c>
      <c r="O1384" s="73">
        <v>-51</v>
      </c>
      <c r="P1384" s="73">
        <v>-98</v>
      </c>
      <c r="Q1384" s="73">
        <v>-71</v>
      </c>
      <c r="R1384" s="73">
        <v>0</v>
      </c>
      <c r="S1384" s="73">
        <v>0</v>
      </c>
      <c r="T1384" s="73">
        <v>0</v>
      </c>
      <c r="U1384" s="73">
        <v>0</v>
      </c>
      <c r="V1384" s="73">
        <v>0</v>
      </c>
      <c r="W1384" s="73">
        <v>0</v>
      </c>
      <c r="X1384" s="73">
        <v>0</v>
      </c>
      <c r="Y1384" s="73">
        <v>0</v>
      </c>
      <c r="Z1384" s="73">
        <v>3431</v>
      </c>
      <c r="AA1384" s="73">
        <v>2482</v>
      </c>
      <c r="AB1384" s="73">
        <v>0</v>
      </c>
      <c r="AC1384" s="73">
        <v>0</v>
      </c>
      <c r="AD1384" s="73">
        <v>0</v>
      </c>
      <c r="AE1384" s="73">
        <v>0</v>
      </c>
      <c r="AF1384" s="74">
        <f>tblData[[#This Row],[Gross Sales]]+tblData[[#This Row],[Trade Discounts]]+tblData[[#This Row],[Returns]]</f>
        <v>1968</v>
      </c>
      <c r="AG1384" s="74">
        <f>tblData[[#This Row],[Material Cost]]+tblData[[#This Row],[Conversion Cost]]+tblData[[#This Row],[Inbound Freight]]</f>
        <v>-877</v>
      </c>
      <c r="AH1384" s="74">
        <f>tblData[[#This Row],[Net Revenue]]+tblData[[#This Row],[COGS]]</f>
        <v>1091</v>
      </c>
      <c r="AI1384" s="74">
        <f>tblData[[#This Row],[Advertising]]+tblData[[#This Row],[Promotions]]</f>
        <v>-138</v>
      </c>
      <c r="AJ1384" s="74">
        <f>tblData[[#This Row],[Outbound Logistics]]+tblData[[#This Row],[Direct Selling]]</f>
        <v>-169</v>
      </c>
      <c r="AK1384" s="74">
        <f>tblData[[#This Row],[Gross Profit]]+tblData[[#This Row],[AP Spend]]+tblData[[#This Row],[Cost to Serve]]</f>
        <v>784</v>
      </c>
    </row>
    <row r="1385" spans="2:37" x14ac:dyDescent="0.25">
      <c r="B1385" s="71" t="s">
        <v>36</v>
      </c>
      <c r="C1385" s="71">
        <v>2026</v>
      </c>
      <c r="D1385" s="71">
        <v>1</v>
      </c>
      <c r="E1385" s="71" t="s">
        <v>44</v>
      </c>
      <c r="F1385" s="71" t="s">
        <v>40</v>
      </c>
      <c r="G1385" s="72">
        <v>249.5</v>
      </c>
      <c r="H1385" s="73">
        <v>1753</v>
      </c>
      <c r="I1385" s="73">
        <v>-284</v>
      </c>
      <c r="J1385" s="73">
        <v>-21</v>
      </c>
      <c r="K1385" s="73">
        <v>-512</v>
      </c>
      <c r="L1385" s="73">
        <v>-126</v>
      </c>
      <c r="M1385" s="73">
        <v>-79</v>
      </c>
      <c r="N1385" s="73">
        <v>-43</v>
      </c>
      <c r="O1385" s="73">
        <v>-26</v>
      </c>
      <c r="P1385" s="73">
        <v>-72</v>
      </c>
      <c r="Q1385" s="73">
        <v>-53</v>
      </c>
      <c r="R1385" s="73">
        <v>0</v>
      </c>
      <c r="S1385" s="73">
        <v>0</v>
      </c>
      <c r="T1385" s="73">
        <v>0</v>
      </c>
      <c r="U1385" s="73">
        <v>0</v>
      </c>
      <c r="V1385" s="73">
        <v>0</v>
      </c>
      <c r="W1385" s="73">
        <v>0</v>
      </c>
      <c r="X1385" s="73">
        <v>0</v>
      </c>
      <c r="Y1385" s="73">
        <v>0</v>
      </c>
      <c r="Z1385" s="73">
        <v>2525</v>
      </c>
      <c r="AA1385" s="73">
        <v>1911</v>
      </c>
      <c r="AB1385" s="73">
        <v>0</v>
      </c>
      <c r="AC1385" s="73">
        <v>0</v>
      </c>
      <c r="AD1385" s="73">
        <v>0</v>
      </c>
      <c r="AE1385" s="73">
        <v>0</v>
      </c>
      <c r="AF1385" s="74">
        <f>tblData[[#This Row],[Gross Sales]]+tblData[[#This Row],[Trade Discounts]]+tblData[[#This Row],[Returns]]</f>
        <v>1448</v>
      </c>
      <c r="AG1385" s="74">
        <f>tblData[[#This Row],[Material Cost]]+tblData[[#This Row],[Conversion Cost]]+tblData[[#This Row],[Inbound Freight]]</f>
        <v>-717</v>
      </c>
      <c r="AH1385" s="74">
        <f>tblData[[#This Row],[Net Revenue]]+tblData[[#This Row],[COGS]]</f>
        <v>731</v>
      </c>
      <c r="AI1385" s="74">
        <f>tblData[[#This Row],[Advertising]]+tblData[[#This Row],[Promotions]]</f>
        <v>-69</v>
      </c>
      <c r="AJ1385" s="74">
        <f>tblData[[#This Row],[Outbound Logistics]]+tblData[[#This Row],[Direct Selling]]</f>
        <v>-125</v>
      </c>
      <c r="AK1385" s="74">
        <f>tblData[[#This Row],[Gross Profit]]+tblData[[#This Row],[AP Spend]]+tblData[[#This Row],[Cost to Serve]]</f>
        <v>537</v>
      </c>
    </row>
    <row r="1386" spans="2:37" x14ac:dyDescent="0.25">
      <c r="B1386" s="71" t="s">
        <v>36</v>
      </c>
      <c r="C1386" s="71">
        <v>2026</v>
      </c>
      <c r="D1386" s="71">
        <v>1</v>
      </c>
      <c r="E1386" s="71" t="s">
        <v>44</v>
      </c>
      <c r="F1386" s="71" t="s">
        <v>41</v>
      </c>
      <c r="G1386" s="72">
        <v>131.80000000000001</v>
      </c>
      <c r="H1386" s="73">
        <v>1460</v>
      </c>
      <c r="I1386" s="73">
        <v>-236</v>
      </c>
      <c r="J1386" s="73">
        <v>-18</v>
      </c>
      <c r="K1386" s="73">
        <v>-352</v>
      </c>
      <c r="L1386" s="73">
        <v>-87</v>
      </c>
      <c r="M1386" s="73">
        <v>-54</v>
      </c>
      <c r="N1386" s="73">
        <v>-93</v>
      </c>
      <c r="O1386" s="73">
        <v>-55</v>
      </c>
      <c r="P1386" s="73">
        <v>-60</v>
      </c>
      <c r="Q1386" s="73">
        <v>-44</v>
      </c>
      <c r="R1386" s="73">
        <v>0</v>
      </c>
      <c r="S1386" s="73">
        <v>0</v>
      </c>
      <c r="T1386" s="73">
        <v>0</v>
      </c>
      <c r="U1386" s="73">
        <v>0</v>
      </c>
      <c r="V1386" s="73">
        <v>0</v>
      </c>
      <c r="W1386" s="73">
        <v>0</v>
      </c>
      <c r="X1386" s="73">
        <v>0</v>
      </c>
      <c r="Y1386" s="73">
        <v>0</v>
      </c>
      <c r="Z1386" s="73">
        <v>2102</v>
      </c>
      <c r="AA1386" s="73">
        <v>1556</v>
      </c>
      <c r="AB1386" s="73">
        <v>0</v>
      </c>
      <c r="AC1386" s="73">
        <v>0</v>
      </c>
      <c r="AD1386" s="73">
        <v>0</v>
      </c>
      <c r="AE1386" s="73">
        <v>0</v>
      </c>
      <c r="AF1386" s="74">
        <f>tblData[[#This Row],[Gross Sales]]+tblData[[#This Row],[Trade Discounts]]+tblData[[#This Row],[Returns]]</f>
        <v>1206</v>
      </c>
      <c r="AG1386" s="74">
        <f>tblData[[#This Row],[Material Cost]]+tblData[[#This Row],[Conversion Cost]]+tblData[[#This Row],[Inbound Freight]]</f>
        <v>-493</v>
      </c>
      <c r="AH1386" s="74">
        <f>tblData[[#This Row],[Net Revenue]]+tblData[[#This Row],[COGS]]</f>
        <v>713</v>
      </c>
      <c r="AI1386" s="74">
        <f>tblData[[#This Row],[Advertising]]+tblData[[#This Row],[Promotions]]</f>
        <v>-148</v>
      </c>
      <c r="AJ1386" s="74">
        <f>tblData[[#This Row],[Outbound Logistics]]+tblData[[#This Row],[Direct Selling]]</f>
        <v>-104</v>
      </c>
      <c r="AK1386" s="74">
        <f>tblData[[#This Row],[Gross Profit]]+tblData[[#This Row],[AP Spend]]+tblData[[#This Row],[Cost to Serve]]</f>
        <v>461</v>
      </c>
    </row>
    <row r="1387" spans="2:37" x14ac:dyDescent="0.25">
      <c r="B1387" s="71" t="s">
        <v>36</v>
      </c>
      <c r="C1387" s="71">
        <v>2026</v>
      </c>
      <c r="D1387" s="71">
        <v>1</v>
      </c>
      <c r="E1387" s="71" t="s">
        <v>44</v>
      </c>
      <c r="F1387" s="71" t="s">
        <v>42</v>
      </c>
      <c r="G1387" s="72">
        <v>156.9</v>
      </c>
      <c r="H1387" s="73">
        <v>942</v>
      </c>
      <c r="I1387" s="73">
        <v>-153</v>
      </c>
      <c r="J1387" s="73">
        <v>-11</v>
      </c>
      <c r="K1387" s="73">
        <v>-303</v>
      </c>
      <c r="L1387" s="73">
        <v>-75</v>
      </c>
      <c r="M1387" s="73">
        <v>-46</v>
      </c>
      <c r="N1387" s="73">
        <v>-18</v>
      </c>
      <c r="O1387" s="73">
        <v>-11</v>
      </c>
      <c r="P1387" s="73">
        <v>-39</v>
      </c>
      <c r="Q1387" s="73">
        <v>-28</v>
      </c>
      <c r="R1387" s="73">
        <v>0</v>
      </c>
      <c r="S1387" s="73">
        <v>0</v>
      </c>
      <c r="T1387" s="73">
        <v>0</v>
      </c>
      <c r="U1387" s="73">
        <v>0</v>
      </c>
      <c r="V1387" s="73">
        <v>0</v>
      </c>
      <c r="W1387" s="73">
        <v>0</v>
      </c>
      <c r="X1387" s="73">
        <v>0</v>
      </c>
      <c r="Y1387" s="73">
        <v>0</v>
      </c>
      <c r="Z1387" s="73">
        <v>1356</v>
      </c>
      <c r="AA1387" s="73">
        <v>1742</v>
      </c>
      <c r="AB1387" s="73">
        <v>0</v>
      </c>
      <c r="AC1387" s="73">
        <v>0</v>
      </c>
      <c r="AD1387" s="73">
        <v>0</v>
      </c>
      <c r="AE1387" s="73">
        <v>0</v>
      </c>
      <c r="AF1387" s="74">
        <f>tblData[[#This Row],[Gross Sales]]+tblData[[#This Row],[Trade Discounts]]+tblData[[#This Row],[Returns]]</f>
        <v>778</v>
      </c>
      <c r="AG1387" s="74">
        <f>tblData[[#This Row],[Material Cost]]+tblData[[#This Row],[Conversion Cost]]+tblData[[#This Row],[Inbound Freight]]</f>
        <v>-424</v>
      </c>
      <c r="AH1387" s="74">
        <f>tblData[[#This Row],[Net Revenue]]+tblData[[#This Row],[COGS]]</f>
        <v>354</v>
      </c>
      <c r="AI1387" s="74">
        <f>tblData[[#This Row],[Advertising]]+tblData[[#This Row],[Promotions]]</f>
        <v>-29</v>
      </c>
      <c r="AJ1387" s="74">
        <f>tblData[[#This Row],[Outbound Logistics]]+tblData[[#This Row],[Direct Selling]]</f>
        <v>-67</v>
      </c>
      <c r="AK1387" s="74">
        <f>tblData[[#This Row],[Gross Profit]]+tblData[[#This Row],[AP Spend]]+tblData[[#This Row],[Cost to Serve]]</f>
        <v>258</v>
      </c>
    </row>
    <row r="1388" spans="2:37" x14ac:dyDescent="0.25">
      <c r="B1388" s="71" t="s">
        <v>36</v>
      </c>
      <c r="C1388" s="71">
        <v>2026</v>
      </c>
      <c r="D1388" s="71">
        <v>1</v>
      </c>
      <c r="E1388" s="71" t="s">
        <v>44</v>
      </c>
      <c r="F1388" s="71" t="s">
        <v>43</v>
      </c>
      <c r="G1388" s="72">
        <v>30.2</v>
      </c>
      <c r="H1388" s="73">
        <v>546</v>
      </c>
      <c r="I1388" s="73">
        <v>-88</v>
      </c>
      <c r="J1388" s="73">
        <v>-7</v>
      </c>
      <c r="K1388" s="73">
        <v>-152</v>
      </c>
      <c r="L1388" s="73">
        <v>-37</v>
      </c>
      <c r="M1388" s="73">
        <v>-23</v>
      </c>
      <c r="N1388" s="73">
        <v>-51</v>
      </c>
      <c r="O1388" s="73">
        <v>-30</v>
      </c>
      <c r="P1388" s="73">
        <v>-22</v>
      </c>
      <c r="Q1388" s="73">
        <v>-16</v>
      </c>
      <c r="R1388" s="73">
        <v>0</v>
      </c>
      <c r="S1388" s="73">
        <v>0</v>
      </c>
      <c r="T1388" s="73">
        <v>0</v>
      </c>
      <c r="U1388" s="73">
        <v>0</v>
      </c>
      <c r="V1388" s="73">
        <v>0</v>
      </c>
      <c r="W1388" s="73">
        <v>0</v>
      </c>
      <c r="X1388" s="73">
        <v>0</v>
      </c>
      <c r="Y1388" s="73">
        <v>0</v>
      </c>
      <c r="Z1388" s="73">
        <v>786</v>
      </c>
      <c r="AA1388" s="73">
        <v>880</v>
      </c>
      <c r="AB1388" s="73">
        <v>0</v>
      </c>
      <c r="AC1388" s="73">
        <v>0</v>
      </c>
      <c r="AD1388" s="73">
        <v>0</v>
      </c>
      <c r="AE1388" s="73">
        <v>0</v>
      </c>
      <c r="AF1388" s="74">
        <f>tblData[[#This Row],[Gross Sales]]+tblData[[#This Row],[Trade Discounts]]+tblData[[#This Row],[Returns]]</f>
        <v>451</v>
      </c>
      <c r="AG1388" s="74">
        <f>tblData[[#This Row],[Material Cost]]+tblData[[#This Row],[Conversion Cost]]+tblData[[#This Row],[Inbound Freight]]</f>
        <v>-212</v>
      </c>
      <c r="AH1388" s="74">
        <f>tblData[[#This Row],[Net Revenue]]+tblData[[#This Row],[COGS]]</f>
        <v>239</v>
      </c>
      <c r="AI1388" s="74">
        <f>tblData[[#This Row],[Advertising]]+tblData[[#This Row],[Promotions]]</f>
        <v>-81</v>
      </c>
      <c r="AJ1388" s="74">
        <f>tblData[[#This Row],[Outbound Logistics]]+tblData[[#This Row],[Direct Selling]]</f>
        <v>-38</v>
      </c>
      <c r="AK1388" s="74">
        <f>tblData[[#This Row],[Gross Profit]]+tblData[[#This Row],[AP Spend]]+tblData[[#This Row],[Cost to Serve]]</f>
        <v>120</v>
      </c>
    </row>
    <row r="1389" spans="2:37" x14ac:dyDescent="0.25">
      <c r="B1389" s="71" t="s">
        <v>36</v>
      </c>
      <c r="C1389" s="71">
        <v>2026</v>
      </c>
      <c r="D1389" s="71">
        <v>1</v>
      </c>
      <c r="E1389" s="71" t="s">
        <v>45</v>
      </c>
      <c r="F1389" s="71" t="s">
        <v>38</v>
      </c>
      <c r="G1389" s="72">
        <v>115.3</v>
      </c>
      <c r="H1389" s="73">
        <v>1611</v>
      </c>
      <c r="I1389" s="73">
        <v>-374</v>
      </c>
      <c r="J1389" s="73">
        <v>-16</v>
      </c>
      <c r="K1389" s="73">
        <v>-353</v>
      </c>
      <c r="L1389" s="73">
        <v>-87</v>
      </c>
      <c r="M1389" s="73">
        <v>-54</v>
      </c>
      <c r="N1389" s="73">
        <v>-89</v>
      </c>
      <c r="O1389" s="73">
        <v>-52</v>
      </c>
      <c r="P1389" s="73">
        <v>-58</v>
      </c>
      <c r="Q1389" s="73">
        <v>-32</v>
      </c>
      <c r="R1389" s="73">
        <v>0</v>
      </c>
      <c r="S1389" s="73">
        <v>0</v>
      </c>
      <c r="T1389" s="73">
        <v>0</v>
      </c>
      <c r="U1389" s="73">
        <v>0</v>
      </c>
      <c r="V1389" s="73">
        <v>0</v>
      </c>
      <c r="W1389" s="73">
        <v>0</v>
      </c>
      <c r="X1389" s="73">
        <v>0</v>
      </c>
      <c r="Y1389" s="73">
        <v>0</v>
      </c>
      <c r="Z1389" s="73">
        <v>1928</v>
      </c>
      <c r="AA1389" s="73">
        <v>1642</v>
      </c>
      <c r="AB1389" s="73">
        <v>0</v>
      </c>
      <c r="AC1389" s="73">
        <v>0</v>
      </c>
      <c r="AD1389" s="73">
        <v>0</v>
      </c>
      <c r="AE1389" s="73">
        <v>0</v>
      </c>
      <c r="AF1389" s="74">
        <f>tblData[[#This Row],[Gross Sales]]+tblData[[#This Row],[Trade Discounts]]+tblData[[#This Row],[Returns]]</f>
        <v>1221</v>
      </c>
      <c r="AG1389" s="74">
        <f>tblData[[#This Row],[Material Cost]]+tblData[[#This Row],[Conversion Cost]]+tblData[[#This Row],[Inbound Freight]]</f>
        <v>-494</v>
      </c>
      <c r="AH1389" s="74">
        <f>tblData[[#This Row],[Net Revenue]]+tblData[[#This Row],[COGS]]</f>
        <v>727</v>
      </c>
      <c r="AI1389" s="74">
        <f>tblData[[#This Row],[Advertising]]+tblData[[#This Row],[Promotions]]</f>
        <v>-141</v>
      </c>
      <c r="AJ1389" s="74">
        <f>tblData[[#This Row],[Outbound Logistics]]+tblData[[#This Row],[Direct Selling]]</f>
        <v>-90</v>
      </c>
      <c r="AK1389" s="74">
        <f>tblData[[#This Row],[Gross Profit]]+tblData[[#This Row],[AP Spend]]+tblData[[#This Row],[Cost to Serve]]</f>
        <v>496</v>
      </c>
    </row>
    <row r="1390" spans="2:37" x14ac:dyDescent="0.25">
      <c r="B1390" s="71" t="s">
        <v>36</v>
      </c>
      <c r="C1390" s="71">
        <v>2026</v>
      </c>
      <c r="D1390" s="71">
        <v>1</v>
      </c>
      <c r="E1390" s="71" t="s">
        <v>45</v>
      </c>
      <c r="F1390" s="71" t="s">
        <v>39</v>
      </c>
      <c r="G1390" s="72">
        <v>148.69999999999999</v>
      </c>
      <c r="H1390" s="73">
        <v>1330</v>
      </c>
      <c r="I1390" s="73">
        <v>-309</v>
      </c>
      <c r="J1390" s="73">
        <v>-13</v>
      </c>
      <c r="K1390" s="73">
        <v>-350</v>
      </c>
      <c r="L1390" s="73">
        <v>-86</v>
      </c>
      <c r="M1390" s="73">
        <v>-54</v>
      </c>
      <c r="N1390" s="73">
        <v>-51</v>
      </c>
      <c r="O1390" s="73">
        <v>-30</v>
      </c>
      <c r="P1390" s="73">
        <v>-48</v>
      </c>
      <c r="Q1390" s="73">
        <v>-27</v>
      </c>
      <c r="R1390" s="73">
        <v>0</v>
      </c>
      <c r="S1390" s="73">
        <v>0</v>
      </c>
      <c r="T1390" s="73">
        <v>0</v>
      </c>
      <c r="U1390" s="73">
        <v>0</v>
      </c>
      <c r="V1390" s="73">
        <v>0</v>
      </c>
      <c r="W1390" s="73">
        <v>0</v>
      </c>
      <c r="X1390" s="73">
        <v>0</v>
      </c>
      <c r="Y1390" s="73">
        <v>0</v>
      </c>
      <c r="Z1390" s="73">
        <v>1592</v>
      </c>
      <c r="AA1390" s="73">
        <v>1386</v>
      </c>
      <c r="AB1390" s="73">
        <v>0</v>
      </c>
      <c r="AC1390" s="73">
        <v>0</v>
      </c>
      <c r="AD1390" s="73">
        <v>0</v>
      </c>
      <c r="AE1390" s="73">
        <v>0</v>
      </c>
      <c r="AF1390" s="74">
        <f>tblData[[#This Row],[Gross Sales]]+tblData[[#This Row],[Trade Discounts]]+tblData[[#This Row],[Returns]]</f>
        <v>1008</v>
      </c>
      <c r="AG1390" s="74">
        <f>tblData[[#This Row],[Material Cost]]+tblData[[#This Row],[Conversion Cost]]+tblData[[#This Row],[Inbound Freight]]</f>
        <v>-490</v>
      </c>
      <c r="AH1390" s="74">
        <f>tblData[[#This Row],[Net Revenue]]+tblData[[#This Row],[COGS]]</f>
        <v>518</v>
      </c>
      <c r="AI1390" s="74">
        <f>tblData[[#This Row],[Advertising]]+tblData[[#This Row],[Promotions]]</f>
        <v>-81</v>
      </c>
      <c r="AJ1390" s="74">
        <f>tblData[[#This Row],[Outbound Logistics]]+tblData[[#This Row],[Direct Selling]]</f>
        <v>-75</v>
      </c>
      <c r="AK1390" s="74">
        <f>tblData[[#This Row],[Gross Profit]]+tblData[[#This Row],[AP Spend]]+tblData[[#This Row],[Cost to Serve]]</f>
        <v>362</v>
      </c>
    </row>
    <row r="1391" spans="2:37" x14ac:dyDescent="0.25">
      <c r="B1391" s="71" t="s">
        <v>36</v>
      </c>
      <c r="C1391" s="71">
        <v>2026</v>
      </c>
      <c r="D1391" s="71">
        <v>1</v>
      </c>
      <c r="E1391" s="71" t="s">
        <v>45</v>
      </c>
      <c r="F1391" s="71" t="s">
        <v>40</v>
      </c>
      <c r="G1391" s="72">
        <v>143.9</v>
      </c>
      <c r="H1391" s="73">
        <v>1000</v>
      </c>
      <c r="I1391" s="73">
        <v>-232</v>
      </c>
      <c r="J1391" s="73">
        <v>-10</v>
      </c>
      <c r="K1391" s="73">
        <v>-292</v>
      </c>
      <c r="L1391" s="73">
        <v>-72</v>
      </c>
      <c r="M1391" s="73">
        <v>-45</v>
      </c>
      <c r="N1391" s="73">
        <v>-25</v>
      </c>
      <c r="O1391" s="73">
        <v>-15</v>
      </c>
      <c r="P1391" s="73">
        <v>-36</v>
      </c>
      <c r="Q1391" s="73">
        <v>-20</v>
      </c>
      <c r="R1391" s="73">
        <v>0</v>
      </c>
      <c r="S1391" s="73">
        <v>0</v>
      </c>
      <c r="T1391" s="73">
        <v>0</v>
      </c>
      <c r="U1391" s="73">
        <v>0</v>
      </c>
      <c r="V1391" s="73">
        <v>0</v>
      </c>
      <c r="W1391" s="73">
        <v>0</v>
      </c>
      <c r="X1391" s="73">
        <v>0</v>
      </c>
      <c r="Y1391" s="73">
        <v>0</v>
      </c>
      <c r="Z1391" s="73">
        <v>1196</v>
      </c>
      <c r="AA1391" s="73">
        <v>1090</v>
      </c>
      <c r="AB1391" s="73">
        <v>0</v>
      </c>
      <c r="AC1391" s="73">
        <v>0</v>
      </c>
      <c r="AD1391" s="73">
        <v>0</v>
      </c>
      <c r="AE1391" s="73">
        <v>0</v>
      </c>
      <c r="AF1391" s="74">
        <f>tblData[[#This Row],[Gross Sales]]+tblData[[#This Row],[Trade Discounts]]+tblData[[#This Row],[Returns]]</f>
        <v>758</v>
      </c>
      <c r="AG1391" s="74">
        <f>tblData[[#This Row],[Material Cost]]+tblData[[#This Row],[Conversion Cost]]+tblData[[#This Row],[Inbound Freight]]</f>
        <v>-409</v>
      </c>
      <c r="AH1391" s="74">
        <f>tblData[[#This Row],[Net Revenue]]+tblData[[#This Row],[COGS]]</f>
        <v>349</v>
      </c>
      <c r="AI1391" s="74">
        <f>tblData[[#This Row],[Advertising]]+tblData[[#This Row],[Promotions]]</f>
        <v>-40</v>
      </c>
      <c r="AJ1391" s="74">
        <f>tblData[[#This Row],[Outbound Logistics]]+tblData[[#This Row],[Direct Selling]]</f>
        <v>-56</v>
      </c>
      <c r="AK1391" s="74">
        <f>tblData[[#This Row],[Gross Profit]]+tblData[[#This Row],[AP Spend]]+tblData[[#This Row],[Cost to Serve]]</f>
        <v>253</v>
      </c>
    </row>
    <row r="1392" spans="2:37" x14ac:dyDescent="0.25">
      <c r="B1392" s="71" t="s">
        <v>36</v>
      </c>
      <c r="C1392" s="71">
        <v>2026</v>
      </c>
      <c r="D1392" s="71">
        <v>1</v>
      </c>
      <c r="E1392" s="71" t="s">
        <v>45</v>
      </c>
      <c r="F1392" s="71" t="s">
        <v>41</v>
      </c>
      <c r="G1392" s="72">
        <v>72</v>
      </c>
      <c r="H1392" s="73">
        <v>788</v>
      </c>
      <c r="I1392" s="73">
        <v>-183</v>
      </c>
      <c r="J1392" s="73">
        <v>-8</v>
      </c>
      <c r="K1392" s="73">
        <v>-190</v>
      </c>
      <c r="L1392" s="73">
        <v>-47</v>
      </c>
      <c r="M1392" s="73">
        <v>-29</v>
      </c>
      <c r="N1392" s="73">
        <v>-54</v>
      </c>
      <c r="O1392" s="73">
        <v>-32</v>
      </c>
      <c r="P1392" s="73">
        <v>-28</v>
      </c>
      <c r="Q1392" s="73">
        <v>-16</v>
      </c>
      <c r="R1392" s="73">
        <v>0</v>
      </c>
      <c r="S1392" s="73">
        <v>0</v>
      </c>
      <c r="T1392" s="73">
        <v>0</v>
      </c>
      <c r="U1392" s="73">
        <v>0</v>
      </c>
      <c r="V1392" s="73">
        <v>0</v>
      </c>
      <c r="W1392" s="73">
        <v>0</v>
      </c>
      <c r="X1392" s="73">
        <v>0</v>
      </c>
      <c r="Y1392" s="73">
        <v>0</v>
      </c>
      <c r="Z1392" s="73">
        <v>944</v>
      </c>
      <c r="AA1392" s="73">
        <v>840</v>
      </c>
      <c r="AB1392" s="73">
        <v>0</v>
      </c>
      <c r="AC1392" s="73">
        <v>0</v>
      </c>
      <c r="AD1392" s="73">
        <v>0</v>
      </c>
      <c r="AE1392" s="73">
        <v>0</v>
      </c>
      <c r="AF1392" s="74">
        <f>tblData[[#This Row],[Gross Sales]]+tblData[[#This Row],[Trade Discounts]]+tblData[[#This Row],[Returns]]</f>
        <v>597</v>
      </c>
      <c r="AG1392" s="74">
        <f>tblData[[#This Row],[Material Cost]]+tblData[[#This Row],[Conversion Cost]]+tblData[[#This Row],[Inbound Freight]]</f>
        <v>-266</v>
      </c>
      <c r="AH1392" s="74">
        <f>tblData[[#This Row],[Net Revenue]]+tblData[[#This Row],[COGS]]</f>
        <v>331</v>
      </c>
      <c r="AI1392" s="74">
        <f>tblData[[#This Row],[Advertising]]+tblData[[#This Row],[Promotions]]</f>
        <v>-86</v>
      </c>
      <c r="AJ1392" s="74">
        <f>tblData[[#This Row],[Outbound Logistics]]+tblData[[#This Row],[Direct Selling]]</f>
        <v>-44</v>
      </c>
      <c r="AK1392" s="74">
        <f>tblData[[#This Row],[Gross Profit]]+tblData[[#This Row],[AP Spend]]+tblData[[#This Row],[Cost to Serve]]</f>
        <v>201</v>
      </c>
    </row>
    <row r="1393" spans="2:37" x14ac:dyDescent="0.25">
      <c r="B1393" s="71" t="s">
        <v>36</v>
      </c>
      <c r="C1393" s="71">
        <v>2026</v>
      </c>
      <c r="D1393" s="71">
        <v>1</v>
      </c>
      <c r="E1393" s="71" t="s">
        <v>45</v>
      </c>
      <c r="F1393" s="71" t="s">
        <v>42</v>
      </c>
      <c r="G1393" s="72">
        <v>87.9</v>
      </c>
      <c r="H1393" s="73">
        <v>521</v>
      </c>
      <c r="I1393" s="73">
        <v>-121</v>
      </c>
      <c r="J1393" s="73">
        <v>-5</v>
      </c>
      <c r="K1393" s="73">
        <v>-168</v>
      </c>
      <c r="L1393" s="73">
        <v>-41</v>
      </c>
      <c r="M1393" s="73">
        <v>-26</v>
      </c>
      <c r="N1393" s="73">
        <v>-11</v>
      </c>
      <c r="O1393" s="73">
        <v>-6</v>
      </c>
      <c r="P1393" s="73">
        <v>-19</v>
      </c>
      <c r="Q1393" s="73">
        <v>-10</v>
      </c>
      <c r="R1393" s="73">
        <v>0</v>
      </c>
      <c r="S1393" s="73">
        <v>0</v>
      </c>
      <c r="T1393" s="73">
        <v>0</v>
      </c>
      <c r="U1393" s="73">
        <v>0</v>
      </c>
      <c r="V1393" s="73">
        <v>0</v>
      </c>
      <c r="W1393" s="73">
        <v>0</v>
      </c>
      <c r="X1393" s="73">
        <v>0</v>
      </c>
      <c r="Y1393" s="73">
        <v>0</v>
      </c>
      <c r="Z1393" s="73">
        <v>624</v>
      </c>
      <c r="AA1393" s="73">
        <v>965</v>
      </c>
      <c r="AB1393" s="73">
        <v>0</v>
      </c>
      <c r="AC1393" s="73">
        <v>0</v>
      </c>
      <c r="AD1393" s="73">
        <v>0</v>
      </c>
      <c r="AE1393" s="73">
        <v>0</v>
      </c>
      <c r="AF1393" s="74">
        <f>tblData[[#This Row],[Gross Sales]]+tblData[[#This Row],[Trade Discounts]]+tblData[[#This Row],[Returns]]</f>
        <v>395</v>
      </c>
      <c r="AG1393" s="74">
        <f>tblData[[#This Row],[Material Cost]]+tblData[[#This Row],[Conversion Cost]]+tblData[[#This Row],[Inbound Freight]]</f>
        <v>-235</v>
      </c>
      <c r="AH1393" s="74">
        <f>tblData[[#This Row],[Net Revenue]]+tblData[[#This Row],[COGS]]</f>
        <v>160</v>
      </c>
      <c r="AI1393" s="74">
        <f>tblData[[#This Row],[Advertising]]+tblData[[#This Row],[Promotions]]</f>
        <v>-17</v>
      </c>
      <c r="AJ1393" s="74">
        <f>tblData[[#This Row],[Outbound Logistics]]+tblData[[#This Row],[Direct Selling]]</f>
        <v>-29</v>
      </c>
      <c r="AK1393" s="74">
        <f>tblData[[#This Row],[Gross Profit]]+tblData[[#This Row],[AP Spend]]+tblData[[#This Row],[Cost to Serve]]</f>
        <v>114</v>
      </c>
    </row>
    <row r="1394" spans="2:37" x14ac:dyDescent="0.25">
      <c r="B1394" s="71" t="s">
        <v>36</v>
      </c>
      <c r="C1394" s="71">
        <v>2026</v>
      </c>
      <c r="D1394" s="71">
        <v>1</v>
      </c>
      <c r="E1394" s="71" t="s">
        <v>45</v>
      </c>
      <c r="F1394" s="71" t="s">
        <v>43</v>
      </c>
      <c r="G1394" s="72">
        <v>16.7</v>
      </c>
      <c r="H1394" s="73">
        <v>298</v>
      </c>
      <c r="I1394" s="73">
        <v>-69</v>
      </c>
      <c r="J1394" s="73">
        <v>-3</v>
      </c>
      <c r="K1394" s="73">
        <v>-83</v>
      </c>
      <c r="L1394" s="73">
        <v>-20</v>
      </c>
      <c r="M1394" s="73">
        <v>-13</v>
      </c>
      <c r="N1394" s="73">
        <v>-30</v>
      </c>
      <c r="O1394" s="73">
        <v>-17</v>
      </c>
      <c r="P1394" s="73">
        <v>-11</v>
      </c>
      <c r="Q1394" s="73">
        <v>-6</v>
      </c>
      <c r="R1394" s="73">
        <v>0</v>
      </c>
      <c r="S1394" s="73">
        <v>0</v>
      </c>
      <c r="T1394" s="73">
        <v>0</v>
      </c>
      <c r="U1394" s="73">
        <v>0</v>
      </c>
      <c r="V1394" s="73">
        <v>0</v>
      </c>
      <c r="W1394" s="73">
        <v>0</v>
      </c>
      <c r="X1394" s="73">
        <v>0</v>
      </c>
      <c r="Y1394" s="73">
        <v>0</v>
      </c>
      <c r="Z1394" s="73">
        <v>357</v>
      </c>
      <c r="AA1394" s="73">
        <v>481</v>
      </c>
      <c r="AB1394" s="73">
        <v>0</v>
      </c>
      <c r="AC1394" s="73">
        <v>0</v>
      </c>
      <c r="AD1394" s="73">
        <v>0</v>
      </c>
      <c r="AE1394" s="73">
        <v>0</v>
      </c>
      <c r="AF1394" s="74">
        <f>tblData[[#This Row],[Gross Sales]]+tblData[[#This Row],[Trade Discounts]]+tblData[[#This Row],[Returns]]</f>
        <v>226</v>
      </c>
      <c r="AG1394" s="74">
        <f>tblData[[#This Row],[Material Cost]]+tblData[[#This Row],[Conversion Cost]]+tblData[[#This Row],[Inbound Freight]]</f>
        <v>-116</v>
      </c>
      <c r="AH1394" s="74">
        <f>tblData[[#This Row],[Net Revenue]]+tblData[[#This Row],[COGS]]</f>
        <v>110</v>
      </c>
      <c r="AI1394" s="74">
        <f>tblData[[#This Row],[Advertising]]+tblData[[#This Row],[Promotions]]</f>
        <v>-47</v>
      </c>
      <c r="AJ1394" s="74">
        <f>tblData[[#This Row],[Outbound Logistics]]+tblData[[#This Row],[Direct Selling]]</f>
        <v>-17</v>
      </c>
      <c r="AK1394" s="74">
        <f>tblData[[#This Row],[Gross Profit]]+tblData[[#This Row],[AP Spend]]+tblData[[#This Row],[Cost to Serve]]</f>
        <v>46</v>
      </c>
    </row>
    <row r="1395" spans="2:37" x14ac:dyDescent="0.25">
      <c r="B1395" s="71" t="s">
        <v>36</v>
      </c>
      <c r="C1395" s="71">
        <v>2026</v>
      </c>
      <c r="D1395" s="71">
        <v>1</v>
      </c>
      <c r="E1395" s="71" t="s">
        <v>46</v>
      </c>
      <c r="F1395" s="71" t="s">
        <v>38</v>
      </c>
      <c r="G1395" s="72">
        <v>150.80000000000001</v>
      </c>
      <c r="H1395" s="73">
        <v>2128</v>
      </c>
      <c r="I1395" s="73">
        <v>-230</v>
      </c>
      <c r="J1395" s="73">
        <v>-85</v>
      </c>
      <c r="K1395" s="73">
        <v>-467</v>
      </c>
      <c r="L1395" s="73">
        <v>-115</v>
      </c>
      <c r="M1395" s="73">
        <v>-72</v>
      </c>
      <c r="N1395" s="73">
        <v>-101</v>
      </c>
      <c r="O1395" s="73">
        <v>-60</v>
      </c>
      <c r="P1395" s="73">
        <v>-164</v>
      </c>
      <c r="Q1395" s="73">
        <v>-43</v>
      </c>
      <c r="R1395" s="73">
        <v>0</v>
      </c>
      <c r="S1395" s="73">
        <v>0</v>
      </c>
      <c r="T1395" s="73">
        <v>0</v>
      </c>
      <c r="U1395" s="73">
        <v>0</v>
      </c>
      <c r="V1395" s="73">
        <v>0</v>
      </c>
      <c r="W1395" s="73">
        <v>0</v>
      </c>
      <c r="X1395" s="73">
        <v>0</v>
      </c>
      <c r="Y1395" s="73">
        <v>0</v>
      </c>
      <c r="Z1395" s="73">
        <v>1670</v>
      </c>
      <c r="AA1395" s="73">
        <v>2170</v>
      </c>
      <c r="AB1395" s="73">
        <v>0</v>
      </c>
      <c r="AC1395" s="73">
        <v>0</v>
      </c>
      <c r="AD1395" s="73">
        <v>0</v>
      </c>
      <c r="AE1395" s="73">
        <v>0</v>
      </c>
      <c r="AF1395" s="74">
        <f>tblData[[#This Row],[Gross Sales]]+tblData[[#This Row],[Trade Discounts]]+tblData[[#This Row],[Returns]]</f>
        <v>1813</v>
      </c>
      <c r="AG1395" s="74">
        <f>tblData[[#This Row],[Material Cost]]+tblData[[#This Row],[Conversion Cost]]+tblData[[#This Row],[Inbound Freight]]</f>
        <v>-654</v>
      </c>
      <c r="AH1395" s="74">
        <f>tblData[[#This Row],[Net Revenue]]+tblData[[#This Row],[COGS]]</f>
        <v>1159</v>
      </c>
      <c r="AI1395" s="74">
        <f>tblData[[#This Row],[Advertising]]+tblData[[#This Row],[Promotions]]</f>
        <v>-161</v>
      </c>
      <c r="AJ1395" s="74">
        <f>tblData[[#This Row],[Outbound Logistics]]+tblData[[#This Row],[Direct Selling]]</f>
        <v>-207</v>
      </c>
      <c r="AK1395" s="74">
        <f>tblData[[#This Row],[Gross Profit]]+tblData[[#This Row],[AP Spend]]+tblData[[#This Row],[Cost to Serve]]</f>
        <v>791</v>
      </c>
    </row>
    <row r="1396" spans="2:37" x14ac:dyDescent="0.25">
      <c r="B1396" s="71" t="s">
        <v>36</v>
      </c>
      <c r="C1396" s="71">
        <v>2026</v>
      </c>
      <c r="D1396" s="71">
        <v>1</v>
      </c>
      <c r="E1396" s="71" t="s">
        <v>46</v>
      </c>
      <c r="F1396" s="71" t="s">
        <v>39</v>
      </c>
      <c r="G1396" s="72">
        <v>189.4</v>
      </c>
      <c r="H1396" s="73">
        <v>1711</v>
      </c>
      <c r="I1396" s="73">
        <v>-185</v>
      </c>
      <c r="J1396" s="73">
        <v>-68</v>
      </c>
      <c r="K1396" s="73">
        <v>-450</v>
      </c>
      <c r="L1396" s="73">
        <v>-111</v>
      </c>
      <c r="M1396" s="73">
        <v>-69</v>
      </c>
      <c r="N1396" s="73">
        <v>-58</v>
      </c>
      <c r="O1396" s="73">
        <v>-34</v>
      </c>
      <c r="P1396" s="73">
        <v>-132</v>
      </c>
      <c r="Q1396" s="73">
        <v>-34</v>
      </c>
      <c r="R1396" s="73">
        <v>0</v>
      </c>
      <c r="S1396" s="73">
        <v>0</v>
      </c>
      <c r="T1396" s="73">
        <v>0</v>
      </c>
      <c r="U1396" s="73">
        <v>0</v>
      </c>
      <c r="V1396" s="73">
        <v>0</v>
      </c>
      <c r="W1396" s="73">
        <v>0</v>
      </c>
      <c r="X1396" s="73">
        <v>0</v>
      </c>
      <c r="Y1396" s="73">
        <v>0</v>
      </c>
      <c r="Z1396" s="73">
        <v>1343</v>
      </c>
      <c r="AA1396" s="73">
        <v>1783</v>
      </c>
      <c r="AB1396" s="73">
        <v>0</v>
      </c>
      <c r="AC1396" s="73">
        <v>0</v>
      </c>
      <c r="AD1396" s="73">
        <v>0</v>
      </c>
      <c r="AE1396" s="73">
        <v>0</v>
      </c>
      <c r="AF1396" s="74">
        <f>tblData[[#This Row],[Gross Sales]]+tblData[[#This Row],[Trade Discounts]]+tblData[[#This Row],[Returns]]</f>
        <v>1458</v>
      </c>
      <c r="AG1396" s="74">
        <f>tblData[[#This Row],[Material Cost]]+tblData[[#This Row],[Conversion Cost]]+tblData[[#This Row],[Inbound Freight]]</f>
        <v>-630</v>
      </c>
      <c r="AH1396" s="74">
        <f>tblData[[#This Row],[Net Revenue]]+tblData[[#This Row],[COGS]]</f>
        <v>828</v>
      </c>
      <c r="AI1396" s="74">
        <f>tblData[[#This Row],[Advertising]]+tblData[[#This Row],[Promotions]]</f>
        <v>-92</v>
      </c>
      <c r="AJ1396" s="74">
        <f>tblData[[#This Row],[Outbound Logistics]]+tblData[[#This Row],[Direct Selling]]</f>
        <v>-166</v>
      </c>
      <c r="AK1396" s="74">
        <f>tblData[[#This Row],[Gross Profit]]+tblData[[#This Row],[AP Spend]]+tblData[[#This Row],[Cost to Serve]]</f>
        <v>570</v>
      </c>
    </row>
    <row r="1397" spans="2:37" x14ac:dyDescent="0.25">
      <c r="B1397" s="71" t="s">
        <v>36</v>
      </c>
      <c r="C1397" s="71">
        <v>2026</v>
      </c>
      <c r="D1397" s="71">
        <v>1</v>
      </c>
      <c r="E1397" s="71" t="s">
        <v>46</v>
      </c>
      <c r="F1397" s="71" t="s">
        <v>40</v>
      </c>
      <c r="G1397" s="72">
        <v>181.5</v>
      </c>
      <c r="H1397" s="73">
        <v>1273</v>
      </c>
      <c r="I1397" s="73">
        <v>-137</v>
      </c>
      <c r="J1397" s="73">
        <v>-51</v>
      </c>
      <c r="K1397" s="73">
        <v>-372</v>
      </c>
      <c r="L1397" s="73">
        <v>-92</v>
      </c>
      <c r="M1397" s="73">
        <v>-57</v>
      </c>
      <c r="N1397" s="73">
        <v>-29</v>
      </c>
      <c r="O1397" s="73">
        <v>-17</v>
      </c>
      <c r="P1397" s="73">
        <v>-98</v>
      </c>
      <c r="Q1397" s="73">
        <v>-25</v>
      </c>
      <c r="R1397" s="73">
        <v>0</v>
      </c>
      <c r="S1397" s="73">
        <v>0</v>
      </c>
      <c r="T1397" s="73">
        <v>0</v>
      </c>
      <c r="U1397" s="73">
        <v>0</v>
      </c>
      <c r="V1397" s="73">
        <v>0</v>
      </c>
      <c r="W1397" s="73">
        <v>0</v>
      </c>
      <c r="X1397" s="73">
        <v>0</v>
      </c>
      <c r="Y1397" s="73">
        <v>0</v>
      </c>
      <c r="Z1397" s="73">
        <v>999</v>
      </c>
      <c r="AA1397" s="73">
        <v>1388</v>
      </c>
      <c r="AB1397" s="73">
        <v>0</v>
      </c>
      <c r="AC1397" s="73">
        <v>0</v>
      </c>
      <c r="AD1397" s="73">
        <v>0</v>
      </c>
      <c r="AE1397" s="73">
        <v>0</v>
      </c>
      <c r="AF1397" s="74">
        <f>tblData[[#This Row],[Gross Sales]]+tblData[[#This Row],[Trade Discounts]]+tblData[[#This Row],[Returns]]</f>
        <v>1085</v>
      </c>
      <c r="AG1397" s="74">
        <f>tblData[[#This Row],[Material Cost]]+tblData[[#This Row],[Conversion Cost]]+tblData[[#This Row],[Inbound Freight]]</f>
        <v>-521</v>
      </c>
      <c r="AH1397" s="74">
        <f>tblData[[#This Row],[Net Revenue]]+tblData[[#This Row],[COGS]]</f>
        <v>564</v>
      </c>
      <c r="AI1397" s="74">
        <f>tblData[[#This Row],[Advertising]]+tblData[[#This Row],[Promotions]]</f>
        <v>-46</v>
      </c>
      <c r="AJ1397" s="74">
        <f>tblData[[#This Row],[Outbound Logistics]]+tblData[[#This Row],[Direct Selling]]</f>
        <v>-123</v>
      </c>
      <c r="AK1397" s="74">
        <f>tblData[[#This Row],[Gross Profit]]+tblData[[#This Row],[AP Spend]]+tblData[[#This Row],[Cost to Serve]]</f>
        <v>395</v>
      </c>
    </row>
    <row r="1398" spans="2:37" x14ac:dyDescent="0.25">
      <c r="B1398" s="71" t="s">
        <v>36</v>
      </c>
      <c r="C1398" s="71">
        <v>2026</v>
      </c>
      <c r="D1398" s="71">
        <v>1</v>
      </c>
      <c r="E1398" s="71" t="s">
        <v>46</v>
      </c>
      <c r="F1398" s="71" t="s">
        <v>41</v>
      </c>
      <c r="G1398" s="72">
        <v>93.1</v>
      </c>
      <c r="H1398" s="73">
        <v>1029</v>
      </c>
      <c r="I1398" s="73">
        <v>-111</v>
      </c>
      <c r="J1398" s="73">
        <v>-41</v>
      </c>
      <c r="K1398" s="73">
        <v>-248</v>
      </c>
      <c r="L1398" s="73">
        <v>-61</v>
      </c>
      <c r="M1398" s="73">
        <v>-38</v>
      </c>
      <c r="N1398" s="73">
        <v>-62</v>
      </c>
      <c r="O1398" s="73">
        <v>-37</v>
      </c>
      <c r="P1398" s="73">
        <v>-80</v>
      </c>
      <c r="Q1398" s="73">
        <v>-21</v>
      </c>
      <c r="R1398" s="73">
        <v>0</v>
      </c>
      <c r="S1398" s="73">
        <v>0</v>
      </c>
      <c r="T1398" s="73">
        <v>0</v>
      </c>
      <c r="U1398" s="73">
        <v>0</v>
      </c>
      <c r="V1398" s="73">
        <v>0</v>
      </c>
      <c r="W1398" s="73">
        <v>0</v>
      </c>
      <c r="X1398" s="73">
        <v>0</v>
      </c>
      <c r="Y1398" s="73">
        <v>0</v>
      </c>
      <c r="Z1398" s="73">
        <v>808</v>
      </c>
      <c r="AA1398" s="73">
        <v>1097</v>
      </c>
      <c r="AB1398" s="73">
        <v>0</v>
      </c>
      <c r="AC1398" s="73">
        <v>0</v>
      </c>
      <c r="AD1398" s="73">
        <v>0</v>
      </c>
      <c r="AE1398" s="73">
        <v>0</v>
      </c>
      <c r="AF1398" s="74">
        <f>tblData[[#This Row],[Gross Sales]]+tblData[[#This Row],[Trade Discounts]]+tblData[[#This Row],[Returns]]</f>
        <v>877</v>
      </c>
      <c r="AG1398" s="74">
        <f>tblData[[#This Row],[Material Cost]]+tblData[[#This Row],[Conversion Cost]]+tblData[[#This Row],[Inbound Freight]]</f>
        <v>-347</v>
      </c>
      <c r="AH1398" s="74">
        <f>tblData[[#This Row],[Net Revenue]]+tblData[[#This Row],[COGS]]</f>
        <v>530</v>
      </c>
      <c r="AI1398" s="74">
        <f>tblData[[#This Row],[Advertising]]+tblData[[#This Row],[Promotions]]</f>
        <v>-99</v>
      </c>
      <c r="AJ1398" s="74">
        <f>tblData[[#This Row],[Outbound Logistics]]+tblData[[#This Row],[Direct Selling]]</f>
        <v>-101</v>
      </c>
      <c r="AK1398" s="74">
        <f>tblData[[#This Row],[Gross Profit]]+tblData[[#This Row],[AP Spend]]+tblData[[#This Row],[Cost to Serve]]</f>
        <v>330</v>
      </c>
    </row>
    <row r="1399" spans="2:37" x14ac:dyDescent="0.25">
      <c r="B1399" s="71" t="s">
        <v>36</v>
      </c>
      <c r="C1399" s="71">
        <v>2026</v>
      </c>
      <c r="D1399" s="71">
        <v>1</v>
      </c>
      <c r="E1399" s="71" t="s">
        <v>46</v>
      </c>
      <c r="F1399" s="71" t="s">
        <v>42</v>
      </c>
      <c r="G1399" s="72">
        <v>112.3</v>
      </c>
      <c r="H1399" s="73">
        <v>673</v>
      </c>
      <c r="I1399" s="73">
        <v>-73</v>
      </c>
      <c r="J1399" s="73">
        <v>-27</v>
      </c>
      <c r="K1399" s="73">
        <v>-216</v>
      </c>
      <c r="L1399" s="73">
        <v>-53</v>
      </c>
      <c r="M1399" s="73">
        <v>-33</v>
      </c>
      <c r="N1399" s="73">
        <v>-12</v>
      </c>
      <c r="O1399" s="73">
        <v>-7</v>
      </c>
      <c r="P1399" s="73">
        <v>-52</v>
      </c>
      <c r="Q1399" s="73">
        <v>-13</v>
      </c>
      <c r="R1399" s="73">
        <v>0</v>
      </c>
      <c r="S1399" s="73">
        <v>0</v>
      </c>
      <c r="T1399" s="73">
        <v>0</v>
      </c>
      <c r="U1399" s="73">
        <v>0</v>
      </c>
      <c r="V1399" s="73">
        <v>0</v>
      </c>
      <c r="W1399" s="73">
        <v>0</v>
      </c>
      <c r="X1399" s="73">
        <v>0</v>
      </c>
      <c r="Y1399" s="73">
        <v>0</v>
      </c>
      <c r="Z1399" s="73">
        <v>528</v>
      </c>
      <c r="AA1399" s="73">
        <v>1245</v>
      </c>
      <c r="AB1399" s="73">
        <v>0</v>
      </c>
      <c r="AC1399" s="73">
        <v>0</v>
      </c>
      <c r="AD1399" s="73">
        <v>0</v>
      </c>
      <c r="AE1399" s="73">
        <v>0</v>
      </c>
      <c r="AF1399" s="74">
        <f>tblData[[#This Row],[Gross Sales]]+tblData[[#This Row],[Trade Discounts]]+tblData[[#This Row],[Returns]]</f>
        <v>573</v>
      </c>
      <c r="AG1399" s="74">
        <f>tblData[[#This Row],[Material Cost]]+tblData[[#This Row],[Conversion Cost]]+tblData[[#This Row],[Inbound Freight]]</f>
        <v>-302</v>
      </c>
      <c r="AH1399" s="74">
        <f>tblData[[#This Row],[Net Revenue]]+tblData[[#This Row],[COGS]]</f>
        <v>271</v>
      </c>
      <c r="AI1399" s="74">
        <f>tblData[[#This Row],[Advertising]]+tblData[[#This Row],[Promotions]]</f>
        <v>-19</v>
      </c>
      <c r="AJ1399" s="74">
        <f>tblData[[#This Row],[Outbound Logistics]]+tblData[[#This Row],[Direct Selling]]</f>
        <v>-65</v>
      </c>
      <c r="AK1399" s="74">
        <f>tblData[[#This Row],[Gross Profit]]+tblData[[#This Row],[AP Spend]]+tblData[[#This Row],[Cost to Serve]]</f>
        <v>187</v>
      </c>
    </row>
    <row r="1400" spans="2:37" x14ac:dyDescent="0.25">
      <c r="B1400" s="71" t="s">
        <v>36</v>
      </c>
      <c r="C1400" s="71">
        <v>2026</v>
      </c>
      <c r="D1400" s="71">
        <v>1</v>
      </c>
      <c r="E1400" s="71" t="s">
        <v>46</v>
      </c>
      <c r="F1400" s="71" t="s">
        <v>43</v>
      </c>
      <c r="G1400" s="72">
        <v>22.3</v>
      </c>
      <c r="H1400" s="73">
        <v>402</v>
      </c>
      <c r="I1400" s="73">
        <v>-43</v>
      </c>
      <c r="J1400" s="73">
        <v>-16</v>
      </c>
      <c r="K1400" s="73">
        <v>-112</v>
      </c>
      <c r="L1400" s="73">
        <v>-28</v>
      </c>
      <c r="M1400" s="73">
        <v>-17</v>
      </c>
      <c r="N1400" s="73">
        <v>-34</v>
      </c>
      <c r="O1400" s="73">
        <v>-20</v>
      </c>
      <c r="P1400" s="73">
        <v>-31</v>
      </c>
      <c r="Q1400" s="73">
        <v>-8</v>
      </c>
      <c r="R1400" s="73">
        <v>0</v>
      </c>
      <c r="S1400" s="73">
        <v>0</v>
      </c>
      <c r="T1400" s="73">
        <v>0</v>
      </c>
      <c r="U1400" s="73">
        <v>0</v>
      </c>
      <c r="V1400" s="73">
        <v>0</v>
      </c>
      <c r="W1400" s="73">
        <v>0</v>
      </c>
      <c r="X1400" s="73">
        <v>0</v>
      </c>
      <c r="Y1400" s="73">
        <v>0</v>
      </c>
      <c r="Z1400" s="73">
        <v>316</v>
      </c>
      <c r="AA1400" s="73">
        <v>648</v>
      </c>
      <c r="AB1400" s="73">
        <v>0</v>
      </c>
      <c r="AC1400" s="73">
        <v>0</v>
      </c>
      <c r="AD1400" s="73">
        <v>0</v>
      </c>
      <c r="AE1400" s="73">
        <v>0</v>
      </c>
      <c r="AF1400" s="74">
        <f>tblData[[#This Row],[Gross Sales]]+tblData[[#This Row],[Trade Discounts]]+tblData[[#This Row],[Returns]]</f>
        <v>343</v>
      </c>
      <c r="AG1400" s="74">
        <f>tblData[[#This Row],[Material Cost]]+tblData[[#This Row],[Conversion Cost]]+tblData[[#This Row],[Inbound Freight]]</f>
        <v>-157</v>
      </c>
      <c r="AH1400" s="74">
        <f>tblData[[#This Row],[Net Revenue]]+tblData[[#This Row],[COGS]]</f>
        <v>186</v>
      </c>
      <c r="AI1400" s="74">
        <f>tblData[[#This Row],[Advertising]]+tblData[[#This Row],[Promotions]]</f>
        <v>-54</v>
      </c>
      <c r="AJ1400" s="74">
        <f>tblData[[#This Row],[Outbound Logistics]]+tblData[[#This Row],[Direct Selling]]</f>
        <v>-39</v>
      </c>
      <c r="AK1400" s="74">
        <f>tblData[[#This Row],[Gross Profit]]+tblData[[#This Row],[AP Spend]]+tblData[[#This Row],[Cost to Serve]]</f>
        <v>93</v>
      </c>
    </row>
    <row r="1401" spans="2:37" x14ac:dyDescent="0.25">
      <c r="B1401" s="71" t="s">
        <v>36</v>
      </c>
      <c r="C1401" s="71">
        <v>2026</v>
      </c>
      <c r="D1401" s="71">
        <v>1</v>
      </c>
      <c r="E1401" s="71" t="s">
        <v>47</v>
      </c>
      <c r="F1401" s="71" t="s">
        <v>38</v>
      </c>
      <c r="G1401" s="72">
        <v>55.7</v>
      </c>
      <c r="H1401" s="73">
        <v>790</v>
      </c>
      <c r="I1401" s="73">
        <v>-24</v>
      </c>
      <c r="J1401" s="73">
        <v>-39</v>
      </c>
      <c r="K1401" s="73">
        <v>-173</v>
      </c>
      <c r="L1401" s="73">
        <v>-43</v>
      </c>
      <c r="M1401" s="73">
        <v>-27</v>
      </c>
      <c r="N1401" s="73">
        <v>-38</v>
      </c>
      <c r="O1401" s="73">
        <v>-22</v>
      </c>
      <c r="P1401" s="73">
        <v>-98</v>
      </c>
      <c r="Q1401" s="73">
        <v>-32</v>
      </c>
      <c r="R1401" s="73">
        <v>0</v>
      </c>
      <c r="S1401" s="73">
        <v>0</v>
      </c>
      <c r="T1401" s="73">
        <v>0</v>
      </c>
      <c r="U1401" s="73">
        <v>0</v>
      </c>
      <c r="V1401" s="73">
        <v>0</v>
      </c>
      <c r="W1401" s="73">
        <v>0</v>
      </c>
      <c r="X1401" s="73">
        <v>0</v>
      </c>
      <c r="Y1401" s="73">
        <v>0</v>
      </c>
      <c r="Z1401" s="73">
        <v>143</v>
      </c>
      <c r="AA1401" s="73">
        <v>805</v>
      </c>
      <c r="AB1401" s="73">
        <v>0</v>
      </c>
      <c r="AC1401" s="73">
        <v>0</v>
      </c>
      <c r="AD1401" s="73">
        <v>0</v>
      </c>
      <c r="AE1401" s="73">
        <v>0</v>
      </c>
      <c r="AF1401" s="74">
        <f>tblData[[#This Row],[Gross Sales]]+tblData[[#This Row],[Trade Discounts]]+tblData[[#This Row],[Returns]]</f>
        <v>727</v>
      </c>
      <c r="AG1401" s="74">
        <f>tblData[[#This Row],[Material Cost]]+tblData[[#This Row],[Conversion Cost]]+tblData[[#This Row],[Inbound Freight]]</f>
        <v>-243</v>
      </c>
      <c r="AH1401" s="74">
        <f>tblData[[#This Row],[Net Revenue]]+tblData[[#This Row],[COGS]]</f>
        <v>484</v>
      </c>
      <c r="AI1401" s="74">
        <f>tblData[[#This Row],[Advertising]]+tblData[[#This Row],[Promotions]]</f>
        <v>-60</v>
      </c>
      <c r="AJ1401" s="74">
        <f>tblData[[#This Row],[Outbound Logistics]]+tblData[[#This Row],[Direct Selling]]</f>
        <v>-130</v>
      </c>
      <c r="AK1401" s="74">
        <f>tblData[[#This Row],[Gross Profit]]+tblData[[#This Row],[AP Spend]]+tblData[[#This Row],[Cost to Serve]]</f>
        <v>294</v>
      </c>
    </row>
    <row r="1402" spans="2:37" x14ac:dyDescent="0.25">
      <c r="B1402" s="71" t="s">
        <v>36</v>
      </c>
      <c r="C1402" s="71">
        <v>2026</v>
      </c>
      <c r="D1402" s="71">
        <v>1</v>
      </c>
      <c r="E1402" s="71" t="s">
        <v>47</v>
      </c>
      <c r="F1402" s="71" t="s">
        <v>39</v>
      </c>
      <c r="G1402" s="72">
        <v>70.2</v>
      </c>
      <c r="H1402" s="73">
        <v>637</v>
      </c>
      <c r="I1402" s="73">
        <v>-19</v>
      </c>
      <c r="J1402" s="73">
        <v>-32</v>
      </c>
      <c r="K1402" s="73">
        <v>-168</v>
      </c>
      <c r="L1402" s="73">
        <v>-41</v>
      </c>
      <c r="M1402" s="73">
        <v>-26</v>
      </c>
      <c r="N1402" s="73">
        <v>-22</v>
      </c>
      <c r="O1402" s="73">
        <v>-13</v>
      </c>
      <c r="P1402" s="73">
        <v>-79</v>
      </c>
      <c r="Q1402" s="73">
        <v>-25</v>
      </c>
      <c r="R1402" s="73">
        <v>0</v>
      </c>
      <c r="S1402" s="73">
        <v>0</v>
      </c>
      <c r="T1402" s="73">
        <v>0</v>
      </c>
      <c r="U1402" s="73">
        <v>0</v>
      </c>
      <c r="V1402" s="73">
        <v>0</v>
      </c>
      <c r="W1402" s="73">
        <v>0</v>
      </c>
      <c r="X1402" s="73">
        <v>0</v>
      </c>
      <c r="Y1402" s="73">
        <v>0</v>
      </c>
      <c r="Z1402" s="73">
        <v>116</v>
      </c>
      <c r="AA1402" s="73">
        <v>664</v>
      </c>
      <c r="AB1402" s="73">
        <v>0</v>
      </c>
      <c r="AC1402" s="73">
        <v>0</v>
      </c>
      <c r="AD1402" s="73">
        <v>0</v>
      </c>
      <c r="AE1402" s="73">
        <v>0</v>
      </c>
      <c r="AF1402" s="74">
        <f>tblData[[#This Row],[Gross Sales]]+tblData[[#This Row],[Trade Discounts]]+tblData[[#This Row],[Returns]]</f>
        <v>586</v>
      </c>
      <c r="AG1402" s="74">
        <f>tblData[[#This Row],[Material Cost]]+tblData[[#This Row],[Conversion Cost]]+tblData[[#This Row],[Inbound Freight]]</f>
        <v>-235</v>
      </c>
      <c r="AH1402" s="74">
        <f>tblData[[#This Row],[Net Revenue]]+tblData[[#This Row],[COGS]]</f>
        <v>351</v>
      </c>
      <c r="AI1402" s="74">
        <f>tblData[[#This Row],[Advertising]]+tblData[[#This Row],[Promotions]]</f>
        <v>-35</v>
      </c>
      <c r="AJ1402" s="74">
        <f>tblData[[#This Row],[Outbound Logistics]]+tblData[[#This Row],[Direct Selling]]</f>
        <v>-104</v>
      </c>
      <c r="AK1402" s="74">
        <f>tblData[[#This Row],[Gross Profit]]+tblData[[#This Row],[AP Spend]]+tblData[[#This Row],[Cost to Serve]]</f>
        <v>212</v>
      </c>
    </row>
    <row r="1403" spans="2:37" x14ac:dyDescent="0.25">
      <c r="B1403" s="71" t="s">
        <v>36</v>
      </c>
      <c r="C1403" s="71">
        <v>2026</v>
      </c>
      <c r="D1403" s="71">
        <v>1</v>
      </c>
      <c r="E1403" s="71" t="s">
        <v>47</v>
      </c>
      <c r="F1403" s="71" t="s">
        <v>40</v>
      </c>
      <c r="G1403" s="72">
        <v>69.099999999999994</v>
      </c>
      <c r="H1403" s="73">
        <v>487</v>
      </c>
      <c r="I1403" s="73">
        <v>-15</v>
      </c>
      <c r="J1403" s="73">
        <v>-24</v>
      </c>
      <c r="K1403" s="73">
        <v>-142</v>
      </c>
      <c r="L1403" s="73">
        <v>-35</v>
      </c>
      <c r="M1403" s="73">
        <v>-22</v>
      </c>
      <c r="N1403" s="73">
        <v>-11</v>
      </c>
      <c r="O1403" s="73">
        <v>-6</v>
      </c>
      <c r="P1403" s="73">
        <v>-60</v>
      </c>
      <c r="Q1403" s="73">
        <v>-19</v>
      </c>
      <c r="R1403" s="73">
        <v>0</v>
      </c>
      <c r="S1403" s="73">
        <v>0</v>
      </c>
      <c r="T1403" s="73">
        <v>0</v>
      </c>
      <c r="U1403" s="73">
        <v>0</v>
      </c>
      <c r="V1403" s="73">
        <v>0</v>
      </c>
      <c r="W1403" s="73">
        <v>0</v>
      </c>
      <c r="X1403" s="73">
        <v>0</v>
      </c>
      <c r="Y1403" s="73">
        <v>0</v>
      </c>
      <c r="Z1403" s="73">
        <v>88</v>
      </c>
      <c r="AA1403" s="73">
        <v>530</v>
      </c>
      <c r="AB1403" s="73">
        <v>0</v>
      </c>
      <c r="AC1403" s="73">
        <v>0</v>
      </c>
      <c r="AD1403" s="73">
        <v>0</v>
      </c>
      <c r="AE1403" s="73">
        <v>0</v>
      </c>
      <c r="AF1403" s="74">
        <f>tblData[[#This Row],[Gross Sales]]+tblData[[#This Row],[Trade Discounts]]+tblData[[#This Row],[Returns]]</f>
        <v>448</v>
      </c>
      <c r="AG1403" s="74">
        <f>tblData[[#This Row],[Material Cost]]+tblData[[#This Row],[Conversion Cost]]+tblData[[#This Row],[Inbound Freight]]</f>
        <v>-199</v>
      </c>
      <c r="AH1403" s="74">
        <f>tblData[[#This Row],[Net Revenue]]+tblData[[#This Row],[COGS]]</f>
        <v>249</v>
      </c>
      <c r="AI1403" s="74">
        <f>tblData[[#This Row],[Advertising]]+tblData[[#This Row],[Promotions]]</f>
        <v>-17</v>
      </c>
      <c r="AJ1403" s="74">
        <f>tblData[[#This Row],[Outbound Logistics]]+tblData[[#This Row],[Direct Selling]]</f>
        <v>-79</v>
      </c>
      <c r="AK1403" s="74">
        <f>tblData[[#This Row],[Gross Profit]]+tblData[[#This Row],[AP Spend]]+tblData[[#This Row],[Cost to Serve]]</f>
        <v>153</v>
      </c>
    </row>
    <row r="1404" spans="2:37" x14ac:dyDescent="0.25">
      <c r="B1404" s="71" t="s">
        <v>36</v>
      </c>
      <c r="C1404" s="71">
        <v>2026</v>
      </c>
      <c r="D1404" s="71">
        <v>1</v>
      </c>
      <c r="E1404" s="71" t="s">
        <v>47</v>
      </c>
      <c r="F1404" s="71" t="s">
        <v>41</v>
      </c>
      <c r="G1404" s="72">
        <v>34.1</v>
      </c>
      <c r="H1404" s="73">
        <v>378</v>
      </c>
      <c r="I1404" s="73">
        <v>-11</v>
      </c>
      <c r="J1404" s="73">
        <v>-19</v>
      </c>
      <c r="K1404" s="73">
        <v>-91</v>
      </c>
      <c r="L1404" s="73">
        <v>-22</v>
      </c>
      <c r="M1404" s="73">
        <v>-14</v>
      </c>
      <c r="N1404" s="73">
        <v>-23</v>
      </c>
      <c r="O1404" s="73">
        <v>-14</v>
      </c>
      <c r="P1404" s="73">
        <v>-47</v>
      </c>
      <c r="Q1404" s="73">
        <v>-15</v>
      </c>
      <c r="R1404" s="73">
        <v>0</v>
      </c>
      <c r="S1404" s="73">
        <v>0</v>
      </c>
      <c r="T1404" s="73">
        <v>0</v>
      </c>
      <c r="U1404" s="73">
        <v>0</v>
      </c>
      <c r="V1404" s="73">
        <v>0</v>
      </c>
      <c r="W1404" s="73">
        <v>0</v>
      </c>
      <c r="X1404" s="73">
        <v>0</v>
      </c>
      <c r="Y1404" s="73">
        <v>0</v>
      </c>
      <c r="Z1404" s="73">
        <v>69</v>
      </c>
      <c r="AA1404" s="73">
        <v>403</v>
      </c>
      <c r="AB1404" s="73">
        <v>0</v>
      </c>
      <c r="AC1404" s="73">
        <v>0</v>
      </c>
      <c r="AD1404" s="73">
        <v>0</v>
      </c>
      <c r="AE1404" s="73">
        <v>0</v>
      </c>
      <c r="AF1404" s="74">
        <f>tblData[[#This Row],[Gross Sales]]+tblData[[#This Row],[Trade Discounts]]+tblData[[#This Row],[Returns]]</f>
        <v>348</v>
      </c>
      <c r="AG1404" s="74">
        <f>tblData[[#This Row],[Material Cost]]+tblData[[#This Row],[Conversion Cost]]+tblData[[#This Row],[Inbound Freight]]</f>
        <v>-127</v>
      </c>
      <c r="AH1404" s="74">
        <f>tblData[[#This Row],[Net Revenue]]+tblData[[#This Row],[COGS]]</f>
        <v>221</v>
      </c>
      <c r="AI1404" s="74">
        <f>tblData[[#This Row],[Advertising]]+tblData[[#This Row],[Promotions]]</f>
        <v>-37</v>
      </c>
      <c r="AJ1404" s="74">
        <f>tblData[[#This Row],[Outbound Logistics]]+tblData[[#This Row],[Direct Selling]]</f>
        <v>-62</v>
      </c>
      <c r="AK1404" s="74">
        <f>tblData[[#This Row],[Gross Profit]]+tblData[[#This Row],[AP Spend]]+tblData[[#This Row],[Cost to Serve]]</f>
        <v>122</v>
      </c>
    </row>
    <row r="1405" spans="2:37" x14ac:dyDescent="0.25">
      <c r="B1405" s="71" t="s">
        <v>36</v>
      </c>
      <c r="C1405" s="71">
        <v>2026</v>
      </c>
      <c r="D1405" s="71">
        <v>1</v>
      </c>
      <c r="E1405" s="71" t="s">
        <v>47</v>
      </c>
      <c r="F1405" s="71" t="s">
        <v>42</v>
      </c>
      <c r="G1405" s="72">
        <v>42.1</v>
      </c>
      <c r="H1405" s="73">
        <v>253</v>
      </c>
      <c r="I1405" s="73">
        <v>-8</v>
      </c>
      <c r="J1405" s="73">
        <v>-13</v>
      </c>
      <c r="K1405" s="73">
        <v>-81</v>
      </c>
      <c r="L1405" s="73">
        <v>-20</v>
      </c>
      <c r="M1405" s="73">
        <v>-12</v>
      </c>
      <c r="N1405" s="73">
        <v>-5</v>
      </c>
      <c r="O1405" s="73">
        <v>-3</v>
      </c>
      <c r="P1405" s="73">
        <v>-31</v>
      </c>
      <c r="Q1405" s="73">
        <v>-10</v>
      </c>
      <c r="R1405" s="73">
        <v>0</v>
      </c>
      <c r="S1405" s="73">
        <v>0</v>
      </c>
      <c r="T1405" s="73">
        <v>0</v>
      </c>
      <c r="U1405" s="73">
        <v>0</v>
      </c>
      <c r="V1405" s="73">
        <v>0</v>
      </c>
      <c r="W1405" s="73">
        <v>0</v>
      </c>
      <c r="X1405" s="73">
        <v>0</v>
      </c>
      <c r="Y1405" s="73">
        <v>0</v>
      </c>
      <c r="Z1405" s="73">
        <v>46</v>
      </c>
      <c r="AA1405" s="73">
        <v>468</v>
      </c>
      <c r="AB1405" s="73">
        <v>0</v>
      </c>
      <c r="AC1405" s="73">
        <v>0</v>
      </c>
      <c r="AD1405" s="73">
        <v>0</v>
      </c>
      <c r="AE1405" s="73">
        <v>0</v>
      </c>
      <c r="AF1405" s="74">
        <f>tblData[[#This Row],[Gross Sales]]+tblData[[#This Row],[Trade Discounts]]+tblData[[#This Row],[Returns]]</f>
        <v>232</v>
      </c>
      <c r="AG1405" s="74">
        <f>tblData[[#This Row],[Material Cost]]+tblData[[#This Row],[Conversion Cost]]+tblData[[#This Row],[Inbound Freight]]</f>
        <v>-113</v>
      </c>
      <c r="AH1405" s="74">
        <f>tblData[[#This Row],[Net Revenue]]+tblData[[#This Row],[COGS]]</f>
        <v>119</v>
      </c>
      <c r="AI1405" s="74">
        <f>tblData[[#This Row],[Advertising]]+tblData[[#This Row],[Promotions]]</f>
        <v>-8</v>
      </c>
      <c r="AJ1405" s="74">
        <f>tblData[[#This Row],[Outbound Logistics]]+tblData[[#This Row],[Direct Selling]]</f>
        <v>-41</v>
      </c>
      <c r="AK1405" s="74">
        <f>tblData[[#This Row],[Gross Profit]]+tblData[[#This Row],[AP Spend]]+tblData[[#This Row],[Cost to Serve]]</f>
        <v>70</v>
      </c>
    </row>
    <row r="1406" spans="2:37" x14ac:dyDescent="0.25">
      <c r="B1406" s="71" t="s">
        <v>36</v>
      </c>
      <c r="C1406" s="71">
        <v>2026</v>
      </c>
      <c r="D1406" s="71">
        <v>1</v>
      </c>
      <c r="E1406" s="71" t="s">
        <v>47</v>
      </c>
      <c r="F1406" s="71" t="s">
        <v>43</v>
      </c>
      <c r="G1406" s="72">
        <v>7.6</v>
      </c>
      <c r="H1406" s="73">
        <v>138</v>
      </c>
      <c r="I1406" s="73">
        <v>-4</v>
      </c>
      <c r="J1406" s="73">
        <v>-7</v>
      </c>
      <c r="K1406" s="73">
        <v>-38</v>
      </c>
      <c r="L1406" s="73">
        <v>-9</v>
      </c>
      <c r="M1406" s="73">
        <v>-6</v>
      </c>
      <c r="N1406" s="73">
        <v>-13</v>
      </c>
      <c r="O1406" s="73">
        <v>-7</v>
      </c>
      <c r="P1406" s="73">
        <v>-17</v>
      </c>
      <c r="Q1406" s="73">
        <v>-6</v>
      </c>
      <c r="R1406" s="73">
        <v>0</v>
      </c>
      <c r="S1406" s="73">
        <v>0</v>
      </c>
      <c r="T1406" s="73">
        <v>0</v>
      </c>
      <c r="U1406" s="73">
        <v>0</v>
      </c>
      <c r="V1406" s="73">
        <v>0</v>
      </c>
      <c r="W1406" s="73">
        <v>0</v>
      </c>
      <c r="X1406" s="73">
        <v>0</v>
      </c>
      <c r="Y1406" s="73">
        <v>0</v>
      </c>
      <c r="Z1406" s="73">
        <v>25</v>
      </c>
      <c r="AA1406" s="73">
        <v>223</v>
      </c>
      <c r="AB1406" s="73">
        <v>0</v>
      </c>
      <c r="AC1406" s="73">
        <v>0</v>
      </c>
      <c r="AD1406" s="73">
        <v>0</v>
      </c>
      <c r="AE1406" s="73">
        <v>0</v>
      </c>
      <c r="AF1406" s="74">
        <f>tblData[[#This Row],[Gross Sales]]+tblData[[#This Row],[Trade Discounts]]+tblData[[#This Row],[Returns]]</f>
        <v>127</v>
      </c>
      <c r="AG1406" s="74">
        <f>tblData[[#This Row],[Material Cost]]+tblData[[#This Row],[Conversion Cost]]+tblData[[#This Row],[Inbound Freight]]</f>
        <v>-53</v>
      </c>
      <c r="AH1406" s="74">
        <f>tblData[[#This Row],[Net Revenue]]+tblData[[#This Row],[COGS]]</f>
        <v>74</v>
      </c>
      <c r="AI1406" s="74">
        <f>tblData[[#This Row],[Advertising]]+tblData[[#This Row],[Promotions]]</f>
        <v>-20</v>
      </c>
      <c r="AJ1406" s="74">
        <f>tblData[[#This Row],[Outbound Logistics]]+tblData[[#This Row],[Direct Selling]]</f>
        <v>-23</v>
      </c>
      <c r="AK1406" s="74">
        <f>tblData[[#This Row],[Gross Profit]]+tblData[[#This Row],[AP Spend]]+tblData[[#This Row],[Cost to Serve]]</f>
        <v>31</v>
      </c>
    </row>
    <row r="1407" spans="2:37" x14ac:dyDescent="0.25">
      <c r="B1407" s="71" t="s">
        <v>36</v>
      </c>
      <c r="C1407" s="71">
        <v>2026</v>
      </c>
      <c r="D1407" s="71">
        <v>1</v>
      </c>
      <c r="E1407" s="71" t="s">
        <v>48</v>
      </c>
      <c r="F1407" s="71" t="s">
        <v>38</v>
      </c>
      <c r="G1407" s="72">
        <v>89.2</v>
      </c>
      <c r="H1407" s="73">
        <v>1257</v>
      </c>
      <c r="I1407" s="73">
        <v>-113</v>
      </c>
      <c r="J1407" s="73">
        <v>-13</v>
      </c>
      <c r="K1407" s="73">
        <v>-276</v>
      </c>
      <c r="L1407" s="73">
        <v>-68</v>
      </c>
      <c r="M1407" s="73">
        <v>-42</v>
      </c>
      <c r="N1407" s="73">
        <v>-63</v>
      </c>
      <c r="O1407" s="73">
        <v>-37</v>
      </c>
      <c r="P1407" s="73">
        <v>-39</v>
      </c>
      <c r="Q1407" s="73">
        <v>-19</v>
      </c>
      <c r="R1407" s="73">
        <v>0</v>
      </c>
      <c r="S1407" s="73">
        <v>0</v>
      </c>
      <c r="T1407" s="73">
        <v>0</v>
      </c>
      <c r="U1407" s="73">
        <v>0</v>
      </c>
      <c r="V1407" s="73">
        <v>0</v>
      </c>
      <c r="W1407" s="73">
        <v>0</v>
      </c>
      <c r="X1407" s="73">
        <v>0</v>
      </c>
      <c r="Y1407" s="73">
        <v>0</v>
      </c>
      <c r="Z1407" s="73">
        <v>2716</v>
      </c>
      <c r="AA1407" s="73">
        <v>1281</v>
      </c>
      <c r="AB1407" s="73">
        <v>0</v>
      </c>
      <c r="AC1407" s="73">
        <v>0</v>
      </c>
      <c r="AD1407" s="73">
        <v>0</v>
      </c>
      <c r="AE1407" s="73">
        <v>0</v>
      </c>
      <c r="AF1407" s="74">
        <f>tblData[[#This Row],[Gross Sales]]+tblData[[#This Row],[Trade Discounts]]+tblData[[#This Row],[Returns]]</f>
        <v>1131</v>
      </c>
      <c r="AG1407" s="74">
        <f>tblData[[#This Row],[Material Cost]]+tblData[[#This Row],[Conversion Cost]]+tblData[[#This Row],[Inbound Freight]]</f>
        <v>-386</v>
      </c>
      <c r="AH1407" s="74">
        <f>tblData[[#This Row],[Net Revenue]]+tblData[[#This Row],[COGS]]</f>
        <v>745</v>
      </c>
      <c r="AI1407" s="74">
        <f>tblData[[#This Row],[Advertising]]+tblData[[#This Row],[Promotions]]</f>
        <v>-100</v>
      </c>
      <c r="AJ1407" s="74">
        <f>tblData[[#This Row],[Outbound Logistics]]+tblData[[#This Row],[Direct Selling]]</f>
        <v>-58</v>
      </c>
      <c r="AK1407" s="74">
        <f>tblData[[#This Row],[Gross Profit]]+tblData[[#This Row],[AP Spend]]+tblData[[#This Row],[Cost to Serve]]</f>
        <v>587</v>
      </c>
    </row>
    <row r="1408" spans="2:37" x14ac:dyDescent="0.25">
      <c r="B1408" s="71" t="s">
        <v>36</v>
      </c>
      <c r="C1408" s="71">
        <v>2026</v>
      </c>
      <c r="D1408" s="71">
        <v>1</v>
      </c>
      <c r="E1408" s="71" t="s">
        <v>48</v>
      </c>
      <c r="F1408" s="71" t="s">
        <v>39</v>
      </c>
      <c r="G1408" s="72">
        <v>111.3</v>
      </c>
      <c r="H1408" s="73">
        <v>1003</v>
      </c>
      <c r="I1408" s="73">
        <v>-90</v>
      </c>
      <c r="J1408" s="73">
        <v>-10</v>
      </c>
      <c r="K1408" s="73">
        <v>-264</v>
      </c>
      <c r="L1408" s="73">
        <v>-65</v>
      </c>
      <c r="M1408" s="73">
        <v>-40</v>
      </c>
      <c r="N1408" s="73">
        <v>-36</v>
      </c>
      <c r="O1408" s="73">
        <v>-21</v>
      </c>
      <c r="P1408" s="73">
        <v>-31</v>
      </c>
      <c r="Q1408" s="73">
        <v>-15</v>
      </c>
      <c r="R1408" s="73">
        <v>0</v>
      </c>
      <c r="S1408" s="73">
        <v>0</v>
      </c>
      <c r="T1408" s="73">
        <v>0</v>
      </c>
      <c r="U1408" s="73">
        <v>0</v>
      </c>
      <c r="V1408" s="73">
        <v>0</v>
      </c>
      <c r="W1408" s="73">
        <v>0</v>
      </c>
      <c r="X1408" s="73">
        <v>0</v>
      </c>
      <c r="Y1408" s="73">
        <v>0</v>
      </c>
      <c r="Z1408" s="73">
        <v>2169</v>
      </c>
      <c r="AA1408" s="73">
        <v>1045</v>
      </c>
      <c r="AB1408" s="73">
        <v>0</v>
      </c>
      <c r="AC1408" s="73">
        <v>0</v>
      </c>
      <c r="AD1408" s="73">
        <v>0</v>
      </c>
      <c r="AE1408" s="73">
        <v>0</v>
      </c>
      <c r="AF1408" s="74">
        <f>tblData[[#This Row],[Gross Sales]]+tblData[[#This Row],[Trade Discounts]]+tblData[[#This Row],[Returns]]</f>
        <v>903</v>
      </c>
      <c r="AG1408" s="74">
        <f>tblData[[#This Row],[Material Cost]]+tblData[[#This Row],[Conversion Cost]]+tblData[[#This Row],[Inbound Freight]]</f>
        <v>-369</v>
      </c>
      <c r="AH1408" s="74">
        <f>tblData[[#This Row],[Net Revenue]]+tblData[[#This Row],[COGS]]</f>
        <v>534</v>
      </c>
      <c r="AI1408" s="74">
        <f>tblData[[#This Row],[Advertising]]+tblData[[#This Row],[Promotions]]</f>
        <v>-57</v>
      </c>
      <c r="AJ1408" s="74">
        <f>tblData[[#This Row],[Outbound Logistics]]+tblData[[#This Row],[Direct Selling]]</f>
        <v>-46</v>
      </c>
      <c r="AK1408" s="74">
        <f>tblData[[#This Row],[Gross Profit]]+tblData[[#This Row],[AP Spend]]+tblData[[#This Row],[Cost to Serve]]</f>
        <v>431</v>
      </c>
    </row>
    <row r="1409" spans="2:37" x14ac:dyDescent="0.25">
      <c r="B1409" s="71" t="s">
        <v>36</v>
      </c>
      <c r="C1409" s="71">
        <v>2026</v>
      </c>
      <c r="D1409" s="71">
        <v>1</v>
      </c>
      <c r="E1409" s="71" t="s">
        <v>48</v>
      </c>
      <c r="F1409" s="71" t="s">
        <v>40</v>
      </c>
      <c r="G1409" s="72">
        <v>105.1</v>
      </c>
      <c r="H1409" s="73">
        <v>736</v>
      </c>
      <c r="I1409" s="73">
        <v>-66</v>
      </c>
      <c r="J1409" s="73">
        <v>-7</v>
      </c>
      <c r="K1409" s="73">
        <v>-215</v>
      </c>
      <c r="L1409" s="73">
        <v>-53</v>
      </c>
      <c r="M1409" s="73">
        <v>-33</v>
      </c>
      <c r="N1409" s="73">
        <v>-18</v>
      </c>
      <c r="O1409" s="73">
        <v>-11</v>
      </c>
      <c r="P1409" s="73">
        <v>-23</v>
      </c>
      <c r="Q1409" s="73">
        <v>-11</v>
      </c>
      <c r="R1409" s="73">
        <v>0</v>
      </c>
      <c r="S1409" s="73">
        <v>0</v>
      </c>
      <c r="T1409" s="73">
        <v>0</v>
      </c>
      <c r="U1409" s="73">
        <v>0</v>
      </c>
      <c r="V1409" s="73">
        <v>0</v>
      </c>
      <c r="W1409" s="73">
        <v>0</v>
      </c>
      <c r="X1409" s="73">
        <v>0</v>
      </c>
      <c r="Y1409" s="73">
        <v>0</v>
      </c>
      <c r="Z1409" s="73">
        <v>1591</v>
      </c>
      <c r="AA1409" s="73">
        <v>802</v>
      </c>
      <c r="AB1409" s="73">
        <v>0</v>
      </c>
      <c r="AC1409" s="73">
        <v>0</v>
      </c>
      <c r="AD1409" s="73">
        <v>0</v>
      </c>
      <c r="AE1409" s="73">
        <v>0</v>
      </c>
      <c r="AF1409" s="74">
        <f>tblData[[#This Row],[Gross Sales]]+tblData[[#This Row],[Trade Discounts]]+tblData[[#This Row],[Returns]]</f>
        <v>663</v>
      </c>
      <c r="AG1409" s="74">
        <f>tblData[[#This Row],[Material Cost]]+tblData[[#This Row],[Conversion Cost]]+tblData[[#This Row],[Inbound Freight]]</f>
        <v>-301</v>
      </c>
      <c r="AH1409" s="74">
        <f>tblData[[#This Row],[Net Revenue]]+tblData[[#This Row],[COGS]]</f>
        <v>362</v>
      </c>
      <c r="AI1409" s="74">
        <f>tblData[[#This Row],[Advertising]]+tblData[[#This Row],[Promotions]]</f>
        <v>-29</v>
      </c>
      <c r="AJ1409" s="74">
        <f>tblData[[#This Row],[Outbound Logistics]]+tblData[[#This Row],[Direct Selling]]</f>
        <v>-34</v>
      </c>
      <c r="AK1409" s="74">
        <f>tblData[[#This Row],[Gross Profit]]+tblData[[#This Row],[AP Spend]]+tblData[[#This Row],[Cost to Serve]]</f>
        <v>299</v>
      </c>
    </row>
    <row r="1410" spans="2:37" x14ac:dyDescent="0.25">
      <c r="B1410" s="71" t="s">
        <v>36</v>
      </c>
      <c r="C1410" s="71">
        <v>2026</v>
      </c>
      <c r="D1410" s="71">
        <v>1</v>
      </c>
      <c r="E1410" s="71" t="s">
        <v>48</v>
      </c>
      <c r="F1410" s="71" t="s">
        <v>41</v>
      </c>
      <c r="G1410" s="72">
        <v>55.1</v>
      </c>
      <c r="H1410" s="73">
        <v>608</v>
      </c>
      <c r="I1410" s="73">
        <v>-55</v>
      </c>
      <c r="J1410" s="73">
        <v>-6</v>
      </c>
      <c r="K1410" s="73">
        <v>-147</v>
      </c>
      <c r="L1410" s="73">
        <v>-36</v>
      </c>
      <c r="M1410" s="73">
        <v>-22</v>
      </c>
      <c r="N1410" s="73">
        <v>-39</v>
      </c>
      <c r="O1410" s="73">
        <v>-23</v>
      </c>
      <c r="P1410" s="73">
        <v>-19</v>
      </c>
      <c r="Q1410" s="73">
        <v>-9</v>
      </c>
      <c r="R1410" s="73">
        <v>0</v>
      </c>
      <c r="S1410" s="73">
        <v>0</v>
      </c>
      <c r="T1410" s="73">
        <v>0</v>
      </c>
      <c r="U1410" s="73">
        <v>0</v>
      </c>
      <c r="V1410" s="73">
        <v>0</v>
      </c>
      <c r="W1410" s="73">
        <v>0</v>
      </c>
      <c r="X1410" s="73">
        <v>0</v>
      </c>
      <c r="Y1410" s="73">
        <v>0</v>
      </c>
      <c r="Z1410" s="73">
        <v>1313</v>
      </c>
      <c r="AA1410" s="73">
        <v>648</v>
      </c>
      <c r="AB1410" s="73">
        <v>0</v>
      </c>
      <c r="AC1410" s="73">
        <v>0</v>
      </c>
      <c r="AD1410" s="73">
        <v>0</v>
      </c>
      <c r="AE1410" s="73">
        <v>0</v>
      </c>
      <c r="AF1410" s="74">
        <f>tblData[[#This Row],[Gross Sales]]+tblData[[#This Row],[Trade Discounts]]+tblData[[#This Row],[Returns]]</f>
        <v>547</v>
      </c>
      <c r="AG1410" s="74">
        <f>tblData[[#This Row],[Material Cost]]+tblData[[#This Row],[Conversion Cost]]+tblData[[#This Row],[Inbound Freight]]</f>
        <v>-205</v>
      </c>
      <c r="AH1410" s="74">
        <f>tblData[[#This Row],[Net Revenue]]+tblData[[#This Row],[COGS]]</f>
        <v>342</v>
      </c>
      <c r="AI1410" s="74">
        <f>tblData[[#This Row],[Advertising]]+tblData[[#This Row],[Promotions]]</f>
        <v>-62</v>
      </c>
      <c r="AJ1410" s="74">
        <f>tblData[[#This Row],[Outbound Logistics]]+tblData[[#This Row],[Direct Selling]]</f>
        <v>-28</v>
      </c>
      <c r="AK1410" s="74">
        <f>tblData[[#This Row],[Gross Profit]]+tblData[[#This Row],[AP Spend]]+tblData[[#This Row],[Cost to Serve]]</f>
        <v>252</v>
      </c>
    </row>
    <row r="1411" spans="2:37" x14ac:dyDescent="0.25">
      <c r="B1411" s="71" t="s">
        <v>36</v>
      </c>
      <c r="C1411" s="71">
        <v>2026</v>
      </c>
      <c r="D1411" s="71">
        <v>1</v>
      </c>
      <c r="E1411" s="71" t="s">
        <v>48</v>
      </c>
      <c r="F1411" s="71" t="s">
        <v>42</v>
      </c>
      <c r="G1411" s="72">
        <v>65.3</v>
      </c>
      <c r="H1411" s="73">
        <v>390</v>
      </c>
      <c r="I1411" s="73">
        <v>-35</v>
      </c>
      <c r="J1411" s="73">
        <v>-4</v>
      </c>
      <c r="K1411" s="73">
        <v>-126</v>
      </c>
      <c r="L1411" s="73">
        <v>-31</v>
      </c>
      <c r="M1411" s="73">
        <v>-19</v>
      </c>
      <c r="N1411" s="73">
        <v>-8</v>
      </c>
      <c r="O1411" s="73">
        <v>-4</v>
      </c>
      <c r="P1411" s="73">
        <v>-12</v>
      </c>
      <c r="Q1411" s="73">
        <v>-6</v>
      </c>
      <c r="R1411" s="73">
        <v>0</v>
      </c>
      <c r="S1411" s="73">
        <v>0</v>
      </c>
      <c r="T1411" s="73">
        <v>0</v>
      </c>
      <c r="U1411" s="73">
        <v>0</v>
      </c>
      <c r="V1411" s="73">
        <v>0</v>
      </c>
      <c r="W1411" s="73">
        <v>0</v>
      </c>
      <c r="X1411" s="73">
        <v>0</v>
      </c>
      <c r="Y1411" s="73">
        <v>0</v>
      </c>
      <c r="Z1411" s="73">
        <v>844</v>
      </c>
      <c r="AA1411" s="73">
        <v>722</v>
      </c>
      <c r="AB1411" s="73">
        <v>0</v>
      </c>
      <c r="AC1411" s="73">
        <v>0</v>
      </c>
      <c r="AD1411" s="73">
        <v>0</v>
      </c>
      <c r="AE1411" s="73">
        <v>0</v>
      </c>
      <c r="AF1411" s="74">
        <f>tblData[[#This Row],[Gross Sales]]+tblData[[#This Row],[Trade Discounts]]+tblData[[#This Row],[Returns]]</f>
        <v>351</v>
      </c>
      <c r="AG1411" s="74">
        <f>tblData[[#This Row],[Material Cost]]+tblData[[#This Row],[Conversion Cost]]+tblData[[#This Row],[Inbound Freight]]</f>
        <v>-176</v>
      </c>
      <c r="AH1411" s="74">
        <f>tblData[[#This Row],[Net Revenue]]+tblData[[#This Row],[COGS]]</f>
        <v>175</v>
      </c>
      <c r="AI1411" s="74">
        <f>tblData[[#This Row],[Advertising]]+tblData[[#This Row],[Promotions]]</f>
        <v>-12</v>
      </c>
      <c r="AJ1411" s="74">
        <f>tblData[[#This Row],[Outbound Logistics]]+tblData[[#This Row],[Direct Selling]]</f>
        <v>-18</v>
      </c>
      <c r="AK1411" s="74">
        <f>tblData[[#This Row],[Gross Profit]]+tblData[[#This Row],[AP Spend]]+tblData[[#This Row],[Cost to Serve]]</f>
        <v>145</v>
      </c>
    </row>
    <row r="1412" spans="2:37" x14ac:dyDescent="0.25">
      <c r="B1412" s="71" t="s">
        <v>36</v>
      </c>
      <c r="C1412" s="71">
        <v>2026</v>
      </c>
      <c r="D1412" s="71">
        <v>1</v>
      </c>
      <c r="E1412" s="71" t="s">
        <v>48</v>
      </c>
      <c r="F1412" s="71" t="s">
        <v>43</v>
      </c>
      <c r="G1412" s="72">
        <v>12.3</v>
      </c>
      <c r="H1412" s="73">
        <v>222</v>
      </c>
      <c r="I1412" s="73">
        <v>-20</v>
      </c>
      <c r="J1412" s="73">
        <v>-2</v>
      </c>
      <c r="K1412" s="73">
        <v>-62</v>
      </c>
      <c r="L1412" s="73">
        <v>-15</v>
      </c>
      <c r="M1412" s="73">
        <v>-9</v>
      </c>
      <c r="N1412" s="73">
        <v>-21</v>
      </c>
      <c r="O1412" s="73">
        <v>-12</v>
      </c>
      <c r="P1412" s="73">
        <v>-7</v>
      </c>
      <c r="Q1412" s="73">
        <v>-3</v>
      </c>
      <c r="R1412" s="73">
        <v>0</v>
      </c>
      <c r="S1412" s="73">
        <v>0</v>
      </c>
      <c r="T1412" s="73">
        <v>0</v>
      </c>
      <c r="U1412" s="73">
        <v>0</v>
      </c>
      <c r="V1412" s="73">
        <v>0</v>
      </c>
      <c r="W1412" s="73">
        <v>0</v>
      </c>
      <c r="X1412" s="73">
        <v>0</v>
      </c>
      <c r="Y1412" s="73">
        <v>0</v>
      </c>
      <c r="Z1412" s="73">
        <v>480</v>
      </c>
      <c r="AA1412" s="73">
        <v>358</v>
      </c>
      <c r="AB1412" s="73">
        <v>0</v>
      </c>
      <c r="AC1412" s="73">
        <v>0</v>
      </c>
      <c r="AD1412" s="73">
        <v>0</v>
      </c>
      <c r="AE1412" s="73">
        <v>0</v>
      </c>
      <c r="AF1412" s="74">
        <f>tblData[[#This Row],[Gross Sales]]+tblData[[#This Row],[Trade Discounts]]+tblData[[#This Row],[Returns]]</f>
        <v>200</v>
      </c>
      <c r="AG1412" s="74">
        <f>tblData[[#This Row],[Material Cost]]+tblData[[#This Row],[Conversion Cost]]+tblData[[#This Row],[Inbound Freight]]</f>
        <v>-86</v>
      </c>
      <c r="AH1412" s="74">
        <f>tblData[[#This Row],[Net Revenue]]+tblData[[#This Row],[COGS]]</f>
        <v>114</v>
      </c>
      <c r="AI1412" s="74">
        <f>tblData[[#This Row],[Advertising]]+tblData[[#This Row],[Promotions]]</f>
        <v>-33</v>
      </c>
      <c r="AJ1412" s="74">
        <f>tblData[[#This Row],[Outbound Logistics]]+tblData[[#This Row],[Direct Selling]]</f>
        <v>-10</v>
      </c>
      <c r="AK1412" s="74">
        <f>tblData[[#This Row],[Gross Profit]]+tblData[[#This Row],[AP Spend]]+tblData[[#This Row],[Cost to Serve]]</f>
        <v>71</v>
      </c>
    </row>
    <row r="1413" spans="2:37" x14ac:dyDescent="0.25">
      <c r="B1413" s="71" t="s">
        <v>36</v>
      </c>
      <c r="C1413" s="71">
        <v>2026</v>
      </c>
      <c r="D1413" s="71">
        <v>1</v>
      </c>
      <c r="E1413" s="71" t="s">
        <v>49</v>
      </c>
      <c r="F1413" s="71" t="s">
        <v>49</v>
      </c>
      <c r="G1413" s="72">
        <v>0</v>
      </c>
      <c r="H1413" s="73">
        <v>0</v>
      </c>
      <c r="I1413" s="73">
        <v>0</v>
      </c>
      <c r="J1413" s="73">
        <v>0</v>
      </c>
      <c r="K1413" s="73">
        <v>0</v>
      </c>
      <c r="L1413" s="73">
        <v>0</v>
      </c>
      <c r="M1413" s="73">
        <v>0</v>
      </c>
      <c r="N1413" s="73">
        <v>0</v>
      </c>
      <c r="O1413" s="73">
        <v>0</v>
      </c>
      <c r="P1413" s="73">
        <v>0</v>
      </c>
      <c r="Q1413" s="73">
        <v>0</v>
      </c>
      <c r="R1413" s="73">
        <v>-4237</v>
      </c>
      <c r="S1413" s="73">
        <v>-1000</v>
      </c>
      <c r="T1413" s="73">
        <v>-1280</v>
      </c>
      <c r="U1413" s="73">
        <v>-1085</v>
      </c>
      <c r="V1413" s="73">
        <v>-1480</v>
      </c>
      <c r="W1413" s="73">
        <v>-712</v>
      </c>
      <c r="X1413" s="73">
        <v>-829</v>
      </c>
      <c r="Y1413" s="73">
        <v>-1134</v>
      </c>
      <c r="Z1413" s="73">
        <v>0</v>
      </c>
      <c r="AA1413" s="73">
        <v>0</v>
      </c>
      <c r="AB1413" s="73">
        <v>27784</v>
      </c>
      <c r="AC1413" s="73">
        <v>62078</v>
      </c>
      <c r="AD1413" s="73">
        <v>190000</v>
      </c>
      <c r="AE1413" s="73">
        <v>1173</v>
      </c>
      <c r="AF1413" s="74">
        <f>tblData[[#This Row],[Gross Sales]]+tblData[[#This Row],[Trade Discounts]]+tblData[[#This Row],[Returns]]</f>
        <v>0</v>
      </c>
      <c r="AG1413" s="74">
        <f>tblData[[#This Row],[Material Cost]]+tblData[[#This Row],[Conversion Cost]]+tblData[[#This Row],[Inbound Freight]]</f>
        <v>0</v>
      </c>
      <c r="AH1413" s="74">
        <f>tblData[[#This Row],[Net Revenue]]+tblData[[#This Row],[COGS]]</f>
        <v>0</v>
      </c>
      <c r="AI1413" s="74">
        <f>tblData[[#This Row],[Advertising]]+tblData[[#This Row],[Promotions]]</f>
        <v>0</v>
      </c>
      <c r="AJ1413" s="74">
        <f>tblData[[#This Row],[Outbound Logistics]]+tblData[[#This Row],[Direct Selling]]</f>
        <v>0</v>
      </c>
      <c r="AK1413" s="74">
        <f>tblData[[#This Row],[Gross Profit]]+tblData[[#This Row],[AP Spend]]+tblData[[#This Row],[Cost to Serve]]</f>
        <v>0</v>
      </c>
    </row>
    <row r="1414" spans="2:37" x14ac:dyDescent="0.25">
      <c r="B1414" s="71" t="s">
        <v>36</v>
      </c>
      <c r="C1414" s="71">
        <v>2026</v>
      </c>
      <c r="D1414" s="71">
        <v>2</v>
      </c>
      <c r="E1414" s="71" t="s">
        <v>37</v>
      </c>
      <c r="F1414" s="71" t="s">
        <v>38</v>
      </c>
      <c r="G1414" s="72">
        <v>257.89999999999998</v>
      </c>
      <c r="H1414" s="73">
        <v>3632</v>
      </c>
      <c r="I1414" s="73">
        <v>-712</v>
      </c>
      <c r="J1414" s="73">
        <v>-54</v>
      </c>
      <c r="K1414" s="73">
        <v>-796</v>
      </c>
      <c r="L1414" s="73">
        <v>-196</v>
      </c>
      <c r="M1414" s="73">
        <v>-122</v>
      </c>
      <c r="N1414" s="73">
        <v>-196</v>
      </c>
      <c r="O1414" s="73">
        <v>-116</v>
      </c>
      <c r="P1414" s="73">
        <v>-150</v>
      </c>
      <c r="Q1414" s="73">
        <v>-109</v>
      </c>
      <c r="R1414" s="73">
        <v>0</v>
      </c>
      <c r="S1414" s="73">
        <v>0</v>
      </c>
      <c r="T1414" s="73">
        <v>0</v>
      </c>
      <c r="U1414" s="73">
        <v>0</v>
      </c>
      <c r="V1414" s="73">
        <v>0</v>
      </c>
      <c r="W1414" s="73">
        <v>0</v>
      </c>
      <c r="X1414" s="73">
        <v>0</v>
      </c>
      <c r="Y1414" s="73">
        <v>0</v>
      </c>
      <c r="Z1414" s="73">
        <v>5352</v>
      </c>
      <c r="AA1414" s="73">
        <v>3625</v>
      </c>
      <c r="AB1414" s="73">
        <v>0</v>
      </c>
      <c r="AC1414" s="73">
        <v>0</v>
      </c>
      <c r="AD1414" s="73">
        <v>0</v>
      </c>
      <c r="AE1414" s="73">
        <v>0</v>
      </c>
      <c r="AF1414" s="74">
        <f>tblData[[#This Row],[Gross Sales]]+tblData[[#This Row],[Trade Discounts]]+tblData[[#This Row],[Returns]]</f>
        <v>2866</v>
      </c>
      <c r="AG1414" s="74">
        <f>tblData[[#This Row],[Material Cost]]+tblData[[#This Row],[Conversion Cost]]+tblData[[#This Row],[Inbound Freight]]</f>
        <v>-1114</v>
      </c>
      <c r="AH1414" s="74">
        <f>tblData[[#This Row],[Net Revenue]]+tblData[[#This Row],[COGS]]</f>
        <v>1752</v>
      </c>
      <c r="AI1414" s="74">
        <f>tblData[[#This Row],[Advertising]]+tblData[[#This Row],[Promotions]]</f>
        <v>-312</v>
      </c>
      <c r="AJ1414" s="74">
        <f>tblData[[#This Row],[Outbound Logistics]]+tblData[[#This Row],[Direct Selling]]</f>
        <v>-259</v>
      </c>
      <c r="AK1414" s="74">
        <f>tblData[[#This Row],[Gross Profit]]+tblData[[#This Row],[AP Spend]]+tblData[[#This Row],[Cost to Serve]]</f>
        <v>1181</v>
      </c>
    </row>
    <row r="1415" spans="2:37" x14ac:dyDescent="0.25">
      <c r="B1415" s="71" t="s">
        <v>36</v>
      </c>
      <c r="C1415" s="71">
        <v>2026</v>
      </c>
      <c r="D1415" s="71">
        <v>2</v>
      </c>
      <c r="E1415" s="71" t="s">
        <v>37</v>
      </c>
      <c r="F1415" s="71" t="s">
        <v>39</v>
      </c>
      <c r="G1415" s="72">
        <v>328.3</v>
      </c>
      <c r="H1415" s="73">
        <v>2961</v>
      </c>
      <c r="I1415" s="73">
        <v>-580</v>
      </c>
      <c r="J1415" s="73">
        <v>-44</v>
      </c>
      <c r="K1415" s="73">
        <v>-779</v>
      </c>
      <c r="L1415" s="73">
        <v>-192</v>
      </c>
      <c r="M1415" s="73">
        <v>-119</v>
      </c>
      <c r="N1415" s="73">
        <v>-112</v>
      </c>
      <c r="O1415" s="73">
        <v>-66</v>
      </c>
      <c r="P1415" s="73">
        <v>-122</v>
      </c>
      <c r="Q1415" s="73">
        <v>-89</v>
      </c>
      <c r="R1415" s="73">
        <v>0</v>
      </c>
      <c r="S1415" s="73">
        <v>0</v>
      </c>
      <c r="T1415" s="73">
        <v>0</v>
      </c>
      <c r="U1415" s="73">
        <v>0</v>
      </c>
      <c r="V1415" s="73">
        <v>0</v>
      </c>
      <c r="W1415" s="73">
        <v>0</v>
      </c>
      <c r="X1415" s="73">
        <v>0</v>
      </c>
      <c r="Y1415" s="73">
        <v>0</v>
      </c>
      <c r="Z1415" s="73">
        <v>4417</v>
      </c>
      <c r="AA1415" s="73">
        <v>3057</v>
      </c>
      <c r="AB1415" s="73">
        <v>0</v>
      </c>
      <c r="AC1415" s="73">
        <v>0</v>
      </c>
      <c r="AD1415" s="73">
        <v>0</v>
      </c>
      <c r="AE1415" s="73">
        <v>0</v>
      </c>
      <c r="AF1415" s="74">
        <f>tblData[[#This Row],[Gross Sales]]+tblData[[#This Row],[Trade Discounts]]+tblData[[#This Row],[Returns]]</f>
        <v>2337</v>
      </c>
      <c r="AG1415" s="74">
        <f>tblData[[#This Row],[Material Cost]]+tblData[[#This Row],[Conversion Cost]]+tblData[[#This Row],[Inbound Freight]]</f>
        <v>-1090</v>
      </c>
      <c r="AH1415" s="74">
        <f>tblData[[#This Row],[Net Revenue]]+tblData[[#This Row],[COGS]]</f>
        <v>1247</v>
      </c>
      <c r="AI1415" s="74">
        <f>tblData[[#This Row],[Advertising]]+tblData[[#This Row],[Promotions]]</f>
        <v>-178</v>
      </c>
      <c r="AJ1415" s="74">
        <f>tblData[[#This Row],[Outbound Logistics]]+tblData[[#This Row],[Direct Selling]]</f>
        <v>-211</v>
      </c>
      <c r="AK1415" s="74">
        <f>tblData[[#This Row],[Gross Profit]]+tblData[[#This Row],[AP Spend]]+tblData[[#This Row],[Cost to Serve]]</f>
        <v>858</v>
      </c>
    </row>
    <row r="1416" spans="2:37" x14ac:dyDescent="0.25">
      <c r="B1416" s="71" t="s">
        <v>36</v>
      </c>
      <c r="C1416" s="71">
        <v>2026</v>
      </c>
      <c r="D1416" s="71">
        <v>2</v>
      </c>
      <c r="E1416" s="71" t="s">
        <v>37</v>
      </c>
      <c r="F1416" s="71" t="s">
        <v>40</v>
      </c>
      <c r="G1416" s="72">
        <v>309</v>
      </c>
      <c r="H1416" s="73">
        <v>2163</v>
      </c>
      <c r="I1416" s="73">
        <v>-424</v>
      </c>
      <c r="J1416" s="73">
        <v>-32</v>
      </c>
      <c r="K1416" s="73">
        <v>-632</v>
      </c>
      <c r="L1416" s="73">
        <v>-156</v>
      </c>
      <c r="M1416" s="73">
        <v>-97</v>
      </c>
      <c r="N1416" s="73">
        <v>-56</v>
      </c>
      <c r="O1416" s="73">
        <v>-33</v>
      </c>
      <c r="P1416" s="73">
        <v>-89</v>
      </c>
      <c r="Q1416" s="73">
        <v>-65</v>
      </c>
      <c r="R1416" s="73">
        <v>0</v>
      </c>
      <c r="S1416" s="73">
        <v>0</v>
      </c>
      <c r="T1416" s="73">
        <v>0</v>
      </c>
      <c r="U1416" s="73">
        <v>0</v>
      </c>
      <c r="V1416" s="73">
        <v>0</v>
      </c>
      <c r="W1416" s="73">
        <v>0</v>
      </c>
      <c r="X1416" s="73">
        <v>0</v>
      </c>
      <c r="Y1416" s="73">
        <v>0</v>
      </c>
      <c r="Z1416" s="73">
        <v>3223</v>
      </c>
      <c r="AA1416" s="73">
        <v>2334</v>
      </c>
      <c r="AB1416" s="73">
        <v>0</v>
      </c>
      <c r="AC1416" s="73">
        <v>0</v>
      </c>
      <c r="AD1416" s="73">
        <v>0</v>
      </c>
      <c r="AE1416" s="73">
        <v>0</v>
      </c>
      <c r="AF1416" s="74">
        <f>tblData[[#This Row],[Gross Sales]]+tblData[[#This Row],[Trade Discounts]]+tblData[[#This Row],[Returns]]</f>
        <v>1707</v>
      </c>
      <c r="AG1416" s="74">
        <f>tblData[[#This Row],[Material Cost]]+tblData[[#This Row],[Conversion Cost]]+tblData[[#This Row],[Inbound Freight]]</f>
        <v>-885</v>
      </c>
      <c r="AH1416" s="74">
        <f>tblData[[#This Row],[Net Revenue]]+tblData[[#This Row],[COGS]]</f>
        <v>822</v>
      </c>
      <c r="AI1416" s="74">
        <f>tblData[[#This Row],[Advertising]]+tblData[[#This Row],[Promotions]]</f>
        <v>-89</v>
      </c>
      <c r="AJ1416" s="74">
        <f>tblData[[#This Row],[Outbound Logistics]]+tblData[[#This Row],[Direct Selling]]</f>
        <v>-154</v>
      </c>
      <c r="AK1416" s="74">
        <f>tblData[[#This Row],[Gross Profit]]+tblData[[#This Row],[AP Spend]]+tblData[[#This Row],[Cost to Serve]]</f>
        <v>579</v>
      </c>
    </row>
    <row r="1417" spans="2:37" x14ac:dyDescent="0.25">
      <c r="B1417" s="71" t="s">
        <v>36</v>
      </c>
      <c r="C1417" s="71">
        <v>2026</v>
      </c>
      <c r="D1417" s="71">
        <v>2</v>
      </c>
      <c r="E1417" s="71" t="s">
        <v>37</v>
      </c>
      <c r="F1417" s="71" t="s">
        <v>41</v>
      </c>
      <c r="G1417" s="72">
        <v>159.4</v>
      </c>
      <c r="H1417" s="73">
        <v>1758</v>
      </c>
      <c r="I1417" s="73">
        <v>-345</v>
      </c>
      <c r="J1417" s="73">
        <v>-26</v>
      </c>
      <c r="K1417" s="73">
        <v>-424</v>
      </c>
      <c r="L1417" s="73">
        <v>-104</v>
      </c>
      <c r="M1417" s="73">
        <v>-65</v>
      </c>
      <c r="N1417" s="73">
        <v>-120</v>
      </c>
      <c r="O1417" s="73">
        <v>-71</v>
      </c>
      <c r="P1417" s="73">
        <v>-72</v>
      </c>
      <c r="Q1417" s="73">
        <v>-53</v>
      </c>
      <c r="R1417" s="73">
        <v>0</v>
      </c>
      <c r="S1417" s="73">
        <v>0</v>
      </c>
      <c r="T1417" s="73">
        <v>0</v>
      </c>
      <c r="U1417" s="73">
        <v>0</v>
      </c>
      <c r="V1417" s="73">
        <v>0</v>
      </c>
      <c r="W1417" s="73">
        <v>0</v>
      </c>
      <c r="X1417" s="73">
        <v>0</v>
      </c>
      <c r="Y1417" s="73">
        <v>0</v>
      </c>
      <c r="Z1417" s="73">
        <v>2658</v>
      </c>
      <c r="AA1417" s="73">
        <v>1882</v>
      </c>
      <c r="AB1417" s="73">
        <v>0</v>
      </c>
      <c r="AC1417" s="73">
        <v>0</v>
      </c>
      <c r="AD1417" s="73">
        <v>0</v>
      </c>
      <c r="AE1417" s="73">
        <v>0</v>
      </c>
      <c r="AF1417" s="74">
        <f>tblData[[#This Row],[Gross Sales]]+tblData[[#This Row],[Trade Discounts]]+tblData[[#This Row],[Returns]]</f>
        <v>1387</v>
      </c>
      <c r="AG1417" s="74">
        <f>tblData[[#This Row],[Material Cost]]+tblData[[#This Row],[Conversion Cost]]+tblData[[#This Row],[Inbound Freight]]</f>
        <v>-593</v>
      </c>
      <c r="AH1417" s="74">
        <f>tblData[[#This Row],[Net Revenue]]+tblData[[#This Row],[COGS]]</f>
        <v>794</v>
      </c>
      <c r="AI1417" s="74">
        <f>tblData[[#This Row],[Advertising]]+tblData[[#This Row],[Promotions]]</f>
        <v>-191</v>
      </c>
      <c r="AJ1417" s="74">
        <f>tblData[[#This Row],[Outbound Logistics]]+tblData[[#This Row],[Direct Selling]]</f>
        <v>-125</v>
      </c>
      <c r="AK1417" s="74">
        <f>tblData[[#This Row],[Gross Profit]]+tblData[[#This Row],[AP Spend]]+tblData[[#This Row],[Cost to Serve]]</f>
        <v>478</v>
      </c>
    </row>
    <row r="1418" spans="2:37" x14ac:dyDescent="0.25">
      <c r="B1418" s="71" t="s">
        <v>36</v>
      </c>
      <c r="C1418" s="71">
        <v>2026</v>
      </c>
      <c r="D1418" s="71">
        <v>2</v>
      </c>
      <c r="E1418" s="71" t="s">
        <v>37</v>
      </c>
      <c r="F1418" s="71" t="s">
        <v>42</v>
      </c>
      <c r="G1418" s="72">
        <v>187.8</v>
      </c>
      <c r="H1418" s="73">
        <v>1122</v>
      </c>
      <c r="I1418" s="73">
        <v>-220</v>
      </c>
      <c r="J1418" s="73">
        <v>-17</v>
      </c>
      <c r="K1418" s="73">
        <v>-361</v>
      </c>
      <c r="L1418" s="73">
        <v>-89</v>
      </c>
      <c r="M1418" s="73">
        <v>-55</v>
      </c>
      <c r="N1418" s="73">
        <v>-23</v>
      </c>
      <c r="O1418" s="73">
        <v>-14</v>
      </c>
      <c r="P1418" s="73">
        <v>-46</v>
      </c>
      <c r="Q1418" s="73">
        <v>-34</v>
      </c>
      <c r="R1418" s="73">
        <v>0</v>
      </c>
      <c r="S1418" s="73">
        <v>0</v>
      </c>
      <c r="T1418" s="73">
        <v>0</v>
      </c>
      <c r="U1418" s="73">
        <v>0</v>
      </c>
      <c r="V1418" s="73">
        <v>0</v>
      </c>
      <c r="W1418" s="73">
        <v>0</v>
      </c>
      <c r="X1418" s="73">
        <v>0</v>
      </c>
      <c r="Y1418" s="73">
        <v>0</v>
      </c>
      <c r="Z1418" s="73">
        <v>1702</v>
      </c>
      <c r="AA1418" s="73">
        <v>2092</v>
      </c>
      <c r="AB1418" s="73">
        <v>0</v>
      </c>
      <c r="AC1418" s="73">
        <v>0</v>
      </c>
      <c r="AD1418" s="73">
        <v>0</v>
      </c>
      <c r="AE1418" s="73">
        <v>0</v>
      </c>
      <c r="AF1418" s="74">
        <f>tblData[[#This Row],[Gross Sales]]+tblData[[#This Row],[Trade Discounts]]+tblData[[#This Row],[Returns]]</f>
        <v>885</v>
      </c>
      <c r="AG1418" s="74">
        <f>tblData[[#This Row],[Material Cost]]+tblData[[#This Row],[Conversion Cost]]+tblData[[#This Row],[Inbound Freight]]</f>
        <v>-505</v>
      </c>
      <c r="AH1418" s="74">
        <f>tblData[[#This Row],[Net Revenue]]+tblData[[#This Row],[COGS]]</f>
        <v>380</v>
      </c>
      <c r="AI1418" s="74">
        <f>tblData[[#This Row],[Advertising]]+tblData[[#This Row],[Promotions]]</f>
        <v>-37</v>
      </c>
      <c r="AJ1418" s="74">
        <f>tblData[[#This Row],[Outbound Logistics]]+tblData[[#This Row],[Direct Selling]]</f>
        <v>-80</v>
      </c>
      <c r="AK1418" s="74">
        <f>tblData[[#This Row],[Gross Profit]]+tblData[[#This Row],[AP Spend]]+tblData[[#This Row],[Cost to Serve]]</f>
        <v>263</v>
      </c>
    </row>
    <row r="1419" spans="2:37" x14ac:dyDescent="0.25">
      <c r="B1419" s="71" t="s">
        <v>36</v>
      </c>
      <c r="C1419" s="71">
        <v>2026</v>
      </c>
      <c r="D1419" s="71">
        <v>2</v>
      </c>
      <c r="E1419" s="71" t="s">
        <v>37</v>
      </c>
      <c r="F1419" s="71" t="s">
        <v>43</v>
      </c>
      <c r="G1419" s="72">
        <v>33.799999999999997</v>
      </c>
      <c r="H1419" s="73">
        <v>608</v>
      </c>
      <c r="I1419" s="73">
        <v>-119</v>
      </c>
      <c r="J1419" s="73">
        <v>-9</v>
      </c>
      <c r="K1419" s="73">
        <v>-169</v>
      </c>
      <c r="L1419" s="73">
        <v>-42</v>
      </c>
      <c r="M1419" s="73">
        <v>-26</v>
      </c>
      <c r="N1419" s="73">
        <v>-65</v>
      </c>
      <c r="O1419" s="73">
        <v>-39</v>
      </c>
      <c r="P1419" s="73">
        <v>-25</v>
      </c>
      <c r="Q1419" s="73">
        <v>-18</v>
      </c>
      <c r="R1419" s="73">
        <v>0</v>
      </c>
      <c r="S1419" s="73">
        <v>0</v>
      </c>
      <c r="T1419" s="73">
        <v>0</v>
      </c>
      <c r="U1419" s="73">
        <v>0</v>
      </c>
      <c r="V1419" s="73">
        <v>0</v>
      </c>
      <c r="W1419" s="73">
        <v>0</v>
      </c>
      <c r="X1419" s="73">
        <v>0</v>
      </c>
      <c r="Y1419" s="73">
        <v>0</v>
      </c>
      <c r="Z1419" s="73">
        <v>942</v>
      </c>
      <c r="AA1419" s="73">
        <v>1008</v>
      </c>
      <c r="AB1419" s="73">
        <v>0</v>
      </c>
      <c r="AC1419" s="73">
        <v>0</v>
      </c>
      <c r="AD1419" s="73">
        <v>0</v>
      </c>
      <c r="AE1419" s="73">
        <v>0</v>
      </c>
      <c r="AF1419" s="74">
        <f>tblData[[#This Row],[Gross Sales]]+tblData[[#This Row],[Trade Discounts]]+tblData[[#This Row],[Returns]]</f>
        <v>480</v>
      </c>
      <c r="AG1419" s="74">
        <f>tblData[[#This Row],[Material Cost]]+tblData[[#This Row],[Conversion Cost]]+tblData[[#This Row],[Inbound Freight]]</f>
        <v>-237</v>
      </c>
      <c r="AH1419" s="74">
        <f>tblData[[#This Row],[Net Revenue]]+tblData[[#This Row],[COGS]]</f>
        <v>243</v>
      </c>
      <c r="AI1419" s="74">
        <f>tblData[[#This Row],[Advertising]]+tblData[[#This Row],[Promotions]]</f>
        <v>-104</v>
      </c>
      <c r="AJ1419" s="74">
        <f>tblData[[#This Row],[Outbound Logistics]]+tblData[[#This Row],[Direct Selling]]</f>
        <v>-43</v>
      </c>
      <c r="AK1419" s="74">
        <f>tblData[[#This Row],[Gross Profit]]+tblData[[#This Row],[AP Spend]]+tblData[[#This Row],[Cost to Serve]]</f>
        <v>96</v>
      </c>
    </row>
    <row r="1420" spans="2:37" x14ac:dyDescent="0.25">
      <c r="B1420" s="71" t="s">
        <v>36</v>
      </c>
      <c r="C1420" s="71">
        <v>2026</v>
      </c>
      <c r="D1420" s="71">
        <v>2</v>
      </c>
      <c r="E1420" s="71" t="s">
        <v>44</v>
      </c>
      <c r="F1420" s="71" t="s">
        <v>38</v>
      </c>
      <c r="G1420" s="72">
        <v>208.4</v>
      </c>
      <c r="H1420" s="73">
        <v>2946</v>
      </c>
      <c r="I1420" s="73">
        <v>-477</v>
      </c>
      <c r="J1420" s="73">
        <v>-35</v>
      </c>
      <c r="K1420" s="73">
        <v>-646</v>
      </c>
      <c r="L1420" s="73">
        <v>-159</v>
      </c>
      <c r="M1420" s="73">
        <v>-99</v>
      </c>
      <c r="N1420" s="73">
        <v>-157</v>
      </c>
      <c r="O1420" s="73">
        <v>-92</v>
      </c>
      <c r="P1420" s="73">
        <v>-121</v>
      </c>
      <c r="Q1420" s="73">
        <v>-88</v>
      </c>
      <c r="R1420" s="73">
        <v>0</v>
      </c>
      <c r="S1420" s="73">
        <v>0</v>
      </c>
      <c r="T1420" s="73">
        <v>0</v>
      </c>
      <c r="U1420" s="73">
        <v>0</v>
      </c>
      <c r="V1420" s="73">
        <v>0</v>
      </c>
      <c r="W1420" s="73">
        <v>0</v>
      </c>
      <c r="X1420" s="73">
        <v>0</v>
      </c>
      <c r="Y1420" s="73">
        <v>0</v>
      </c>
      <c r="Z1420" s="73">
        <v>4183</v>
      </c>
      <c r="AA1420" s="73">
        <v>2961</v>
      </c>
      <c r="AB1420" s="73">
        <v>0</v>
      </c>
      <c r="AC1420" s="73">
        <v>0</v>
      </c>
      <c r="AD1420" s="73">
        <v>0</v>
      </c>
      <c r="AE1420" s="73">
        <v>0</v>
      </c>
      <c r="AF1420" s="74">
        <f>tblData[[#This Row],[Gross Sales]]+tblData[[#This Row],[Trade Discounts]]+tblData[[#This Row],[Returns]]</f>
        <v>2434</v>
      </c>
      <c r="AG1420" s="74">
        <f>tblData[[#This Row],[Material Cost]]+tblData[[#This Row],[Conversion Cost]]+tblData[[#This Row],[Inbound Freight]]</f>
        <v>-904</v>
      </c>
      <c r="AH1420" s="74">
        <f>tblData[[#This Row],[Net Revenue]]+tblData[[#This Row],[COGS]]</f>
        <v>1530</v>
      </c>
      <c r="AI1420" s="74">
        <f>tblData[[#This Row],[Advertising]]+tblData[[#This Row],[Promotions]]</f>
        <v>-249</v>
      </c>
      <c r="AJ1420" s="74">
        <f>tblData[[#This Row],[Outbound Logistics]]+tblData[[#This Row],[Direct Selling]]</f>
        <v>-209</v>
      </c>
      <c r="AK1420" s="74">
        <f>tblData[[#This Row],[Gross Profit]]+tblData[[#This Row],[AP Spend]]+tblData[[#This Row],[Cost to Serve]]</f>
        <v>1072</v>
      </c>
    </row>
    <row r="1421" spans="2:37" x14ac:dyDescent="0.25">
      <c r="B1421" s="71" t="s">
        <v>36</v>
      </c>
      <c r="C1421" s="71">
        <v>2026</v>
      </c>
      <c r="D1421" s="71">
        <v>2</v>
      </c>
      <c r="E1421" s="71" t="s">
        <v>44</v>
      </c>
      <c r="F1421" s="71" t="s">
        <v>39</v>
      </c>
      <c r="G1421" s="72">
        <v>273.7</v>
      </c>
      <c r="H1421" s="73">
        <v>2478</v>
      </c>
      <c r="I1421" s="73">
        <v>-401</v>
      </c>
      <c r="J1421" s="73">
        <v>-30</v>
      </c>
      <c r="K1421" s="73">
        <v>-652</v>
      </c>
      <c r="L1421" s="73">
        <v>-161</v>
      </c>
      <c r="M1421" s="73">
        <v>-100</v>
      </c>
      <c r="N1421" s="73">
        <v>-89</v>
      </c>
      <c r="O1421" s="73">
        <v>-53</v>
      </c>
      <c r="P1421" s="73">
        <v>-102</v>
      </c>
      <c r="Q1421" s="73">
        <v>-74</v>
      </c>
      <c r="R1421" s="73">
        <v>0</v>
      </c>
      <c r="S1421" s="73">
        <v>0</v>
      </c>
      <c r="T1421" s="73">
        <v>0</v>
      </c>
      <c r="U1421" s="73">
        <v>0</v>
      </c>
      <c r="V1421" s="73">
        <v>0</v>
      </c>
      <c r="W1421" s="73">
        <v>0</v>
      </c>
      <c r="X1421" s="73">
        <v>0</v>
      </c>
      <c r="Y1421" s="73">
        <v>0</v>
      </c>
      <c r="Z1421" s="73">
        <v>3500</v>
      </c>
      <c r="AA1421" s="73">
        <v>2532</v>
      </c>
      <c r="AB1421" s="73">
        <v>0</v>
      </c>
      <c r="AC1421" s="73">
        <v>0</v>
      </c>
      <c r="AD1421" s="73">
        <v>0</v>
      </c>
      <c r="AE1421" s="73">
        <v>0</v>
      </c>
      <c r="AF1421" s="74">
        <f>tblData[[#This Row],[Gross Sales]]+tblData[[#This Row],[Trade Discounts]]+tblData[[#This Row],[Returns]]</f>
        <v>2047</v>
      </c>
      <c r="AG1421" s="74">
        <f>tblData[[#This Row],[Material Cost]]+tblData[[#This Row],[Conversion Cost]]+tblData[[#This Row],[Inbound Freight]]</f>
        <v>-913</v>
      </c>
      <c r="AH1421" s="74">
        <f>tblData[[#This Row],[Net Revenue]]+tblData[[#This Row],[COGS]]</f>
        <v>1134</v>
      </c>
      <c r="AI1421" s="74">
        <f>tblData[[#This Row],[Advertising]]+tblData[[#This Row],[Promotions]]</f>
        <v>-142</v>
      </c>
      <c r="AJ1421" s="74">
        <f>tblData[[#This Row],[Outbound Logistics]]+tblData[[#This Row],[Direct Selling]]</f>
        <v>-176</v>
      </c>
      <c r="AK1421" s="74">
        <f>tblData[[#This Row],[Gross Profit]]+tblData[[#This Row],[AP Spend]]+tblData[[#This Row],[Cost to Serve]]</f>
        <v>816</v>
      </c>
    </row>
    <row r="1422" spans="2:37" x14ac:dyDescent="0.25">
      <c r="B1422" s="71" t="s">
        <v>36</v>
      </c>
      <c r="C1422" s="71">
        <v>2026</v>
      </c>
      <c r="D1422" s="71">
        <v>2</v>
      </c>
      <c r="E1422" s="71" t="s">
        <v>44</v>
      </c>
      <c r="F1422" s="71" t="s">
        <v>40</v>
      </c>
      <c r="G1422" s="72">
        <v>266.60000000000002</v>
      </c>
      <c r="H1422" s="73">
        <v>1874</v>
      </c>
      <c r="I1422" s="73">
        <v>-304</v>
      </c>
      <c r="J1422" s="73">
        <v>-22</v>
      </c>
      <c r="K1422" s="73">
        <v>-548</v>
      </c>
      <c r="L1422" s="73">
        <v>-135</v>
      </c>
      <c r="M1422" s="73">
        <v>-84</v>
      </c>
      <c r="N1422" s="73">
        <v>-45</v>
      </c>
      <c r="O1422" s="73">
        <v>-26</v>
      </c>
      <c r="P1422" s="73">
        <v>-77</v>
      </c>
      <c r="Q1422" s="73">
        <v>-56</v>
      </c>
      <c r="R1422" s="73">
        <v>0</v>
      </c>
      <c r="S1422" s="73">
        <v>0</v>
      </c>
      <c r="T1422" s="73">
        <v>0</v>
      </c>
      <c r="U1422" s="73">
        <v>0</v>
      </c>
      <c r="V1422" s="73">
        <v>0</v>
      </c>
      <c r="W1422" s="73">
        <v>0</v>
      </c>
      <c r="X1422" s="73">
        <v>0</v>
      </c>
      <c r="Y1422" s="73">
        <v>0</v>
      </c>
      <c r="Z1422" s="73">
        <v>2612</v>
      </c>
      <c r="AA1422" s="73">
        <v>1977</v>
      </c>
      <c r="AB1422" s="73">
        <v>0</v>
      </c>
      <c r="AC1422" s="73">
        <v>0</v>
      </c>
      <c r="AD1422" s="73">
        <v>0</v>
      </c>
      <c r="AE1422" s="73">
        <v>0</v>
      </c>
      <c r="AF1422" s="74">
        <f>tblData[[#This Row],[Gross Sales]]+tblData[[#This Row],[Trade Discounts]]+tblData[[#This Row],[Returns]]</f>
        <v>1548</v>
      </c>
      <c r="AG1422" s="74">
        <f>tblData[[#This Row],[Material Cost]]+tblData[[#This Row],[Conversion Cost]]+tblData[[#This Row],[Inbound Freight]]</f>
        <v>-767</v>
      </c>
      <c r="AH1422" s="74">
        <f>tblData[[#This Row],[Net Revenue]]+tblData[[#This Row],[COGS]]</f>
        <v>781</v>
      </c>
      <c r="AI1422" s="74">
        <f>tblData[[#This Row],[Advertising]]+tblData[[#This Row],[Promotions]]</f>
        <v>-71</v>
      </c>
      <c r="AJ1422" s="74">
        <f>tblData[[#This Row],[Outbound Logistics]]+tblData[[#This Row],[Direct Selling]]</f>
        <v>-133</v>
      </c>
      <c r="AK1422" s="74">
        <f>tblData[[#This Row],[Gross Profit]]+tblData[[#This Row],[AP Spend]]+tblData[[#This Row],[Cost to Serve]]</f>
        <v>577</v>
      </c>
    </row>
    <row r="1423" spans="2:37" x14ac:dyDescent="0.25">
      <c r="B1423" s="71" t="s">
        <v>36</v>
      </c>
      <c r="C1423" s="71">
        <v>2026</v>
      </c>
      <c r="D1423" s="71">
        <v>2</v>
      </c>
      <c r="E1423" s="71" t="s">
        <v>44</v>
      </c>
      <c r="F1423" s="71" t="s">
        <v>41</v>
      </c>
      <c r="G1423" s="72">
        <v>136</v>
      </c>
      <c r="H1423" s="73">
        <v>1506</v>
      </c>
      <c r="I1423" s="73">
        <v>-244</v>
      </c>
      <c r="J1423" s="73">
        <v>-18</v>
      </c>
      <c r="K1423" s="73">
        <v>-363</v>
      </c>
      <c r="L1423" s="73">
        <v>-89</v>
      </c>
      <c r="M1423" s="73">
        <v>-56</v>
      </c>
      <c r="N1423" s="73">
        <v>-96</v>
      </c>
      <c r="O1423" s="73">
        <v>-57</v>
      </c>
      <c r="P1423" s="73">
        <v>-62</v>
      </c>
      <c r="Q1423" s="73">
        <v>-45</v>
      </c>
      <c r="R1423" s="73">
        <v>0</v>
      </c>
      <c r="S1423" s="73">
        <v>0</v>
      </c>
      <c r="T1423" s="73">
        <v>0</v>
      </c>
      <c r="U1423" s="73">
        <v>0</v>
      </c>
      <c r="V1423" s="73">
        <v>0</v>
      </c>
      <c r="W1423" s="73">
        <v>0</v>
      </c>
      <c r="X1423" s="73">
        <v>0</v>
      </c>
      <c r="Y1423" s="73">
        <v>0</v>
      </c>
      <c r="Z1423" s="73">
        <v>2136</v>
      </c>
      <c r="AA1423" s="73">
        <v>1581</v>
      </c>
      <c r="AB1423" s="73">
        <v>0</v>
      </c>
      <c r="AC1423" s="73">
        <v>0</v>
      </c>
      <c r="AD1423" s="73">
        <v>0</v>
      </c>
      <c r="AE1423" s="73">
        <v>0</v>
      </c>
      <c r="AF1423" s="74">
        <f>tblData[[#This Row],[Gross Sales]]+tblData[[#This Row],[Trade Discounts]]+tblData[[#This Row],[Returns]]</f>
        <v>1244</v>
      </c>
      <c r="AG1423" s="74">
        <f>tblData[[#This Row],[Material Cost]]+tblData[[#This Row],[Conversion Cost]]+tblData[[#This Row],[Inbound Freight]]</f>
        <v>-508</v>
      </c>
      <c r="AH1423" s="74">
        <f>tblData[[#This Row],[Net Revenue]]+tblData[[#This Row],[COGS]]</f>
        <v>736</v>
      </c>
      <c r="AI1423" s="74">
        <f>tblData[[#This Row],[Advertising]]+tblData[[#This Row],[Promotions]]</f>
        <v>-153</v>
      </c>
      <c r="AJ1423" s="74">
        <f>tblData[[#This Row],[Outbound Logistics]]+tblData[[#This Row],[Direct Selling]]</f>
        <v>-107</v>
      </c>
      <c r="AK1423" s="74">
        <f>tblData[[#This Row],[Gross Profit]]+tblData[[#This Row],[AP Spend]]+tblData[[#This Row],[Cost to Serve]]</f>
        <v>476</v>
      </c>
    </row>
    <row r="1424" spans="2:37" x14ac:dyDescent="0.25">
      <c r="B1424" s="71" t="s">
        <v>36</v>
      </c>
      <c r="C1424" s="71">
        <v>2026</v>
      </c>
      <c r="D1424" s="71">
        <v>2</v>
      </c>
      <c r="E1424" s="71" t="s">
        <v>44</v>
      </c>
      <c r="F1424" s="71" t="s">
        <v>42</v>
      </c>
      <c r="G1424" s="72">
        <v>158.69999999999999</v>
      </c>
      <c r="H1424" s="73">
        <v>952</v>
      </c>
      <c r="I1424" s="73">
        <v>-154</v>
      </c>
      <c r="J1424" s="73">
        <v>-11</v>
      </c>
      <c r="K1424" s="73">
        <v>-306</v>
      </c>
      <c r="L1424" s="73">
        <v>-75</v>
      </c>
      <c r="M1424" s="73">
        <v>-47</v>
      </c>
      <c r="N1424" s="73">
        <v>-19</v>
      </c>
      <c r="O1424" s="73">
        <v>-11</v>
      </c>
      <c r="P1424" s="73">
        <v>-39</v>
      </c>
      <c r="Q1424" s="73">
        <v>-29</v>
      </c>
      <c r="R1424" s="73">
        <v>0</v>
      </c>
      <c r="S1424" s="73">
        <v>0</v>
      </c>
      <c r="T1424" s="73">
        <v>0</v>
      </c>
      <c r="U1424" s="73">
        <v>0</v>
      </c>
      <c r="V1424" s="73">
        <v>0</v>
      </c>
      <c r="W1424" s="73">
        <v>0</v>
      </c>
      <c r="X1424" s="73">
        <v>0</v>
      </c>
      <c r="Y1424" s="73">
        <v>0</v>
      </c>
      <c r="Z1424" s="73">
        <v>1364</v>
      </c>
      <c r="AA1424" s="73">
        <v>1752</v>
      </c>
      <c r="AB1424" s="73">
        <v>0</v>
      </c>
      <c r="AC1424" s="73">
        <v>0</v>
      </c>
      <c r="AD1424" s="73">
        <v>0</v>
      </c>
      <c r="AE1424" s="73">
        <v>0</v>
      </c>
      <c r="AF1424" s="74">
        <f>tblData[[#This Row],[Gross Sales]]+tblData[[#This Row],[Trade Discounts]]+tblData[[#This Row],[Returns]]</f>
        <v>787</v>
      </c>
      <c r="AG1424" s="74">
        <f>tblData[[#This Row],[Material Cost]]+tblData[[#This Row],[Conversion Cost]]+tblData[[#This Row],[Inbound Freight]]</f>
        <v>-428</v>
      </c>
      <c r="AH1424" s="74">
        <f>tblData[[#This Row],[Net Revenue]]+tblData[[#This Row],[COGS]]</f>
        <v>359</v>
      </c>
      <c r="AI1424" s="74">
        <f>tblData[[#This Row],[Advertising]]+tblData[[#This Row],[Promotions]]</f>
        <v>-30</v>
      </c>
      <c r="AJ1424" s="74">
        <f>tblData[[#This Row],[Outbound Logistics]]+tblData[[#This Row],[Direct Selling]]</f>
        <v>-68</v>
      </c>
      <c r="AK1424" s="74">
        <f>tblData[[#This Row],[Gross Profit]]+tblData[[#This Row],[AP Spend]]+tblData[[#This Row],[Cost to Serve]]</f>
        <v>261</v>
      </c>
    </row>
    <row r="1425" spans="2:37" x14ac:dyDescent="0.25">
      <c r="B1425" s="71" t="s">
        <v>36</v>
      </c>
      <c r="C1425" s="71">
        <v>2026</v>
      </c>
      <c r="D1425" s="71">
        <v>2</v>
      </c>
      <c r="E1425" s="71" t="s">
        <v>44</v>
      </c>
      <c r="F1425" s="71" t="s">
        <v>43</v>
      </c>
      <c r="G1425" s="72">
        <v>29.6</v>
      </c>
      <c r="H1425" s="73">
        <v>536</v>
      </c>
      <c r="I1425" s="73">
        <v>-87</v>
      </c>
      <c r="J1425" s="73">
        <v>-6</v>
      </c>
      <c r="K1425" s="73">
        <v>-149</v>
      </c>
      <c r="L1425" s="73">
        <v>-37</v>
      </c>
      <c r="M1425" s="73">
        <v>-23</v>
      </c>
      <c r="N1425" s="73">
        <v>-52</v>
      </c>
      <c r="O1425" s="73">
        <v>-31</v>
      </c>
      <c r="P1425" s="73">
        <v>-22</v>
      </c>
      <c r="Q1425" s="73">
        <v>-16</v>
      </c>
      <c r="R1425" s="73">
        <v>0</v>
      </c>
      <c r="S1425" s="73">
        <v>0</v>
      </c>
      <c r="T1425" s="73">
        <v>0</v>
      </c>
      <c r="U1425" s="73">
        <v>0</v>
      </c>
      <c r="V1425" s="73">
        <v>0</v>
      </c>
      <c r="W1425" s="73">
        <v>0</v>
      </c>
      <c r="X1425" s="73">
        <v>0</v>
      </c>
      <c r="Y1425" s="73">
        <v>0</v>
      </c>
      <c r="Z1425" s="73">
        <v>779</v>
      </c>
      <c r="AA1425" s="73">
        <v>871</v>
      </c>
      <c r="AB1425" s="73">
        <v>0</v>
      </c>
      <c r="AC1425" s="73">
        <v>0</v>
      </c>
      <c r="AD1425" s="73">
        <v>0</v>
      </c>
      <c r="AE1425" s="73">
        <v>0</v>
      </c>
      <c r="AF1425" s="74">
        <f>tblData[[#This Row],[Gross Sales]]+tblData[[#This Row],[Trade Discounts]]+tblData[[#This Row],[Returns]]</f>
        <v>443</v>
      </c>
      <c r="AG1425" s="74">
        <f>tblData[[#This Row],[Material Cost]]+tblData[[#This Row],[Conversion Cost]]+tblData[[#This Row],[Inbound Freight]]</f>
        <v>-209</v>
      </c>
      <c r="AH1425" s="74">
        <f>tblData[[#This Row],[Net Revenue]]+tblData[[#This Row],[COGS]]</f>
        <v>234</v>
      </c>
      <c r="AI1425" s="74">
        <f>tblData[[#This Row],[Advertising]]+tblData[[#This Row],[Promotions]]</f>
        <v>-83</v>
      </c>
      <c r="AJ1425" s="74">
        <f>tblData[[#This Row],[Outbound Logistics]]+tblData[[#This Row],[Direct Selling]]</f>
        <v>-38</v>
      </c>
      <c r="AK1425" s="74">
        <f>tblData[[#This Row],[Gross Profit]]+tblData[[#This Row],[AP Spend]]+tblData[[#This Row],[Cost to Serve]]</f>
        <v>113</v>
      </c>
    </row>
    <row r="1426" spans="2:37" x14ac:dyDescent="0.25">
      <c r="B1426" s="71" t="s">
        <v>36</v>
      </c>
      <c r="C1426" s="71">
        <v>2026</v>
      </c>
      <c r="D1426" s="71">
        <v>2</v>
      </c>
      <c r="E1426" s="71" t="s">
        <v>45</v>
      </c>
      <c r="F1426" s="71" t="s">
        <v>38</v>
      </c>
      <c r="G1426" s="72">
        <v>126.7</v>
      </c>
      <c r="H1426" s="73">
        <v>1771</v>
      </c>
      <c r="I1426" s="73">
        <v>-411</v>
      </c>
      <c r="J1426" s="73">
        <v>-18</v>
      </c>
      <c r="K1426" s="73">
        <v>-388</v>
      </c>
      <c r="L1426" s="73">
        <v>-96</v>
      </c>
      <c r="M1426" s="73">
        <v>-59</v>
      </c>
      <c r="N1426" s="73">
        <v>-91</v>
      </c>
      <c r="O1426" s="73">
        <v>-54</v>
      </c>
      <c r="P1426" s="73">
        <v>-64</v>
      </c>
      <c r="Q1426" s="73">
        <v>-35</v>
      </c>
      <c r="R1426" s="73">
        <v>0</v>
      </c>
      <c r="S1426" s="73">
        <v>0</v>
      </c>
      <c r="T1426" s="73">
        <v>0</v>
      </c>
      <c r="U1426" s="73">
        <v>0</v>
      </c>
      <c r="V1426" s="73">
        <v>0</v>
      </c>
      <c r="W1426" s="73">
        <v>0</v>
      </c>
      <c r="X1426" s="73">
        <v>0</v>
      </c>
      <c r="Y1426" s="73">
        <v>0</v>
      </c>
      <c r="Z1426" s="73">
        <v>2023</v>
      </c>
      <c r="AA1426" s="73">
        <v>1724</v>
      </c>
      <c r="AB1426" s="73">
        <v>0</v>
      </c>
      <c r="AC1426" s="73">
        <v>0</v>
      </c>
      <c r="AD1426" s="73">
        <v>0</v>
      </c>
      <c r="AE1426" s="73">
        <v>0</v>
      </c>
      <c r="AF1426" s="74">
        <f>tblData[[#This Row],[Gross Sales]]+tblData[[#This Row],[Trade Discounts]]+tblData[[#This Row],[Returns]]</f>
        <v>1342</v>
      </c>
      <c r="AG1426" s="74">
        <f>tblData[[#This Row],[Material Cost]]+tblData[[#This Row],[Conversion Cost]]+tblData[[#This Row],[Inbound Freight]]</f>
        <v>-543</v>
      </c>
      <c r="AH1426" s="74">
        <f>tblData[[#This Row],[Net Revenue]]+tblData[[#This Row],[COGS]]</f>
        <v>799</v>
      </c>
      <c r="AI1426" s="74">
        <f>tblData[[#This Row],[Advertising]]+tblData[[#This Row],[Promotions]]</f>
        <v>-145</v>
      </c>
      <c r="AJ1426" s="74">
        <f>tblData[[#This Row],[Outbound Logistics]]+tblData[[#This Row],[Direct Selling]]</f>
        <v>-99</v>
      </c>
      <c r="AK1426" s="74">
        <f>tblData[[#This Row],[Gross Profit]]+tblData[[#This Row],[AP Spend]]+tblData[[#This Row],[Cost to Serve]]</f>
        <v>555</v>
      </c>
    </row>
    <row r="1427" spans="2:37" x14ac:dyDescent="0.25">
      <c r="B1427" s="71" t="s">
        <v>36</v>
      </c>
      <c r="C1427" s="71">
        <v>2026</v>
      </c>
      <c r="D1427" s="71">
        <v>2</v>
      </c>
      <c r="E1427" s="71" t="s">
        <v>45</v>
      </c>
      <c r="F1427" s="71" t="s">
        <v>39</v>
      </c>
      <c r="G1427" s="72">
        <v>159.6</v>
      </c>
      <c r="H1427" s="73">
        <v>1428</v>
      </c>
      <c r="I1427" s="73">
        <v>-331</v>
      </c>
      <c r="J1427" s="73">
        <v>-14</v>
      </c>
      <c r="K1427" s="73">
        <v>-376</v>
      </c>
      <c r="L1427" s="73">
        <v>-93</v>
      </c>
      <c r="M1427" s="73">
        <v>-58</v>
      </c>
      <c r="N1427" s="73">
        <v>-52</v>
      </c>
      <c r="O1427" s="73">
        <v>-31</v>
      </c>
      <c r="P1427" s="73">
        <v>-51</v>
      </c>
      <c r="Q1427" s="73">
        <v>-29</v>
      </c>
      <c r="R1427" s="73">
        <v>0</v>
      </c>
      <c r="S1427" s="73">
        <v>0</v>
      </c>
      <c r="T1427" s="73">
        <v>0</v>
      </c>
      <c r="U1427" s="73">
        <v>0</v>
      </c>
      <c r="V1427" s="73">
        <v>0</v>
      </c>
      <c r="W1427" s="73">
        <v>0</v>
      </c>
      <c r="X1427" s="73">
        <v>0</v>
      </c>
      <c r="Y1427" s="73">
        <v>0</v>
      </c>
      <c r="Z1427" s="73">
        <v>1651</v>
      </c>
      <c r="AA1427" s="73">
        <v>1437</v>
      </c>
      <c r="AB1427" s="73">
        <v>0</v>
      </c>
      <c r="AC1427" s="73">
        <v>0</v>
      </c>
      <c r="AD1427" s="73">
        <v>0</v>
      </c>
      <c r="AE1427" s="73">
        <v>0</v>
      </c>
      <c r="AF1427" s="74">
        <f>tblData[[#This Row],[Gross Sales]]+tblData[[#This Row],[Trade Discounts]]+tblData[[#This Row],[Returns]]</f>
        <v>1083</v>
      </c>
      <c r="AG1427" s="74">
        <f>tblData[[#This Row],[Material Cost]]+tblData[[#This Row],[Conversion Cost]]+tblData[[#This Row],[Inbound Freight]]</f>
        <v>-527</v>
      </c>
      <c r="AH1427" s="74">
        <f>tblData[[#This Row],[Net Revenue]]+tblData[[#This Row],[COGS]]</f>
        <v>556</v>
      </c>
      <c r="AI1427" s="74">
        <f>tblData[[#This Row],[Advertising]]+tblData[[#This Row],[Promotions]]</f>
        <v>-83</v>
      </c>
      <c r="AJ1427" s="74">
        <f>tblData[[#This Row],[Outbound Logistics]]+tblData[[#This Row],[Direct Selling]]</f>
        <v>-80</v>
      </c>
      <c r="AK1427" s="74">
        <f>tblData[[#This Row],[Gross Profit]]+tblData[[#This Row],[AP Spend]]+tblData[[#This Row],[Cost to Serve]]</f>
        <v>393</v>
      </c>
    </row>
    <row r="1428" spans="2:37" x14ac:dyDescent="0.25">
      <c r="B1428" s="71" t="s">
        <v>36</v>
      </c>
      <c r="C1428" s="71">
        <v>2026</v>
      </c>
      <c r="D1428" s="71">
        <v>2</v>
      </c>
      <c r="E1428" s="71" t="s">
        <v>45</v>
      </c>
      <c r="F1428" s="71" t="s">
        <v>40</v>
      </c>
      <c r="G1428" s="72">
        <v>152.9</v>
      </c>
      <c r="H1428" s="73">
        <v>1062</v>
      </c>
      <c r="I1428" s="73">
        <v>-246</v>
      </c>
      <c r="J1428" s="73">
        <v>-11</v>
      </c>
      <c r="K1428" s="73">
        <v>-310</v>
      </c>
      <c r="L1428" s="73">
        <v>-76</v>
      </c>
      <c r="M1428" s="73">
        <v>-48</v>
      </c>
      <c r="N1428" s="73">
        <v>-26</v>
      </c>
      <c r="O1428" s="73">
        <v>-15</v>
      </c>
      <c r="P1428" s="73">
        <v>-38</v>
      </c>
      <c r="Q1428" s="73">
        <v>-21</v>
      </c>
      <c r="R1428" s="73">
        <v>0</v>
      </c>
      <c r="S1428" s="73">
        <v>0</v>
      </c>
      <c r="T1428" s="73">
        <v>0</v>
      </c>
      <c r="U1428" s="73">
        <v>0</v>
      </c>
      <c r="V1428" s="73">
        <v>0</v>
      </c>
      <c r="W1428" s="73">
        <v>0</v>
      </c>
      <c r="X1428" s="73">
        <v>0</v>
      </c>
      <c r="Y1428" s="73">
        <v>0</v>
      </c>
      <c r="Z1428" s="73">
        <v>1234</v>
      </c>
      <c r="AA1428" s="73">
        <v>1123</v>
      </c>
      <c r="AB1428" s="73">
        <v>0</v>
      </c>
      <c r="AC1428" s="73">
        <v>0</v>
      </c>
      <c r="AD1428" s="73">
        <v>0</v>
      </c>
      <c r="AE1428" s="73">
        <v>0</v>
      </c>
      <c r="AF1428" s="74">
        <f>tblData[[#This Row],[Gross Sales]]+tblData[[#This Row],[Trade Discounts]]+tblData[[#This Row],[Returns]]</f>
        <v>805</v>
      </c>
      <c r="AG1428" s="74">
        <f>tblData[[#This Row],[Material Cost]]+tblData[[#This Row],[Conversion Cost]]+tblData[[#This Row],[Inbound Freight]]</f>
        <v>-434</v>
      </c>
      <c r="AH1428" s="74">
        <f>tblData[[#This Row],[Net Revenue]]+tblData[[#This Row],[COGS]]</f>
        <v>371</v>
      </c>
      <c r="AI1428" s="74">
        <f>tblData[[#This Row],[Advertising]]+tblData[[#This Row],[Promotions]]</f>
        <v>-41</v>
      </c>
      <c r="AJ1428" s="74">
        <f>tblData[[#This Row],[Outbound Logistics]]+tblData[[#This Row],[Direct Selling]]</f>
        <v>-59</v>
      </c>
      <c r="AK1428" s="74">
        <f>tblData[[#This Row],[Gross Profit]]+tblData[[#This Row],[AP Spend]]+tblData[[#This Row],[Cost to Serve]]</f>
        <v>271</v>
      </c>
    </row>
    <row r="1429" spans="2:37" x14ac:dyDescent="0.25">
      <c r="B1429" s="71" t="s">
        <v>36</v>
      </c>
      <c r="C1429" s="71">
        <v>2026</v>
      </c>
      <c r="D1429" s="71">
        <v>2</v>
      </c>
      <c r="E1429" s="71" t="s">
        <v>45</v>
      </c>
      <c r="F1429" s="71" t="s">
        <v>41</v>
      </c>
      <c r="G1429" s="72">
        <v>75.8</v>
      </c>
      <c r="H1429" s="73">
        <v>830</v>
      </c>
      <c r="I1429" s="73">
        <v>-192</v>
      </c>
      <c r="J1429" s="73">
        <v>-8</v>
      </c>
      <c r="K1429" s="73">
        <v>-200</v>
      </c>
      <c r="L1429" s="73">
        <v>-49</v>
      </c>
      <c r="M1429" s="73">
        <v>-31</v>
      </c>
      <c r="N1429" s="73">
        <v>-56</v>
      </c>
      <c r="O1429" s="73">
        <v>-33</v>
      </c>
      <c r="P1429" s="73">
        <v>-30</v>
      </c>
      <c r="Q1429" s="73">
        <v>-17</v>
      </c>
      <c r="R1429" s="73">
        <v>0</v>
      </c>
      <c r="S1429" s="73">
        <v>0</v>
      </c>
      <c r="T1429" s="73">
        <v>0</v>
      </c>
      <c r="U1429" s="73">
        <v>0</v>
      </c>
      <c r="V1429" s="73">
        <v>0</v>
      </c>
      <c r="W1429" s="73">
        <v>0</v>
      </c>
      <c r="X1429" s="73">
        <v>0</v>
      </c>
      <c r="Y1429" s="73">
        <v>0</v>
      </c>
      <c r="Z1429" s="73">
        <v>968</v>
      </c>
      <c r="AA1429" s="73">
        <v>862</v>
      </c>
      <c r="AB1429" s="73">
        <v>0</v>
      </c>
      <c r="AC1429" s="73">
        <v>0</v>
      </c>
      <c r="AD1429" s="73">
        <v>0</v>
      </c>
      <c r="AE1429" s="73">
        <v>0</v>
      </c>
      <c r="AF1429" s="74">
        <f>tblData[[#This Row],[Gross Sales]]+tblData[[#This Row],[Trade Discounts]]+tblData[[#This Row],[Returns]]</f>
        <v>630</v>
      </c>
      <c r="AG1429" s="74">
        <f>tblData[[#This Row],[Material Cost]]+tblData[[#This Row],[Conversion Cost]]+tblData[[#This Row],[Inbound Freight]]</f>
        <v>-280</v>
      </c>
      <c r="AH1429" s="74">
        <f>tblData[[#This Row],[Net Revenue]]+tblData[[#This Row],[COGS]]</f>
        <v>350</v>
      </c>
      <c r="AI1429" s="74">
        <f>tblData[[#This Row],[Advertising]]+tblData[[#This Row],[Promotions]]</f>
        <v>-89</v>
      </c>
      <c r="AJ1429" s="74">
        <f>tblData[[#This Row],[Outbound Logistics]]+tblData[[#This Row],[Direct Selling]]</f>
        <v>-47</v>
      </c>
      <c r="AK1429" s="74">
        <f>tblData[[#This Row],[Gross Profit]]+tblData[[#This Row],[AP Spend]]+tblData[[#This Row],[Cost to Serve]]</f>
        <v>214</v>
      </c>
    </row>
    <row r="1430" spans="2:37" x14ac:dyDescent="0.25">
      <c r="B1430" s="71" t="s">
        <v>36</v>
      </c>
      <c r="C1430" s="71">
        <v>2026</v>
      </c>
      <c r="D1430" s="71">
        <v>2</v>
      </c>
      <c r="E1430" s="71" t="s">
        <v>45</v>
      </c>
      <c r="F1430" s="71" t="s">
        <v>42</v>
      </c>
      <c r="G1430" s="72">
        <v>90.2</v>
      </c>
      <c r="H1430" s="73">
        <v>535</v>
      </c>
      <c r="I1430" s="73">
        <v>-124</v>
      </c>
      <c r="J1430" s="73">
        <v>-5</v>
      </c>
      <c r="K1430" s="73">
        <v>-172</v>
      </c>
      <c r="L1430" s="73">
        <v>-42</v>
      </c>
      <c r="M1430" s="73">
        <v>-26</v>
      </c>
      <c r="N1430" s="73">
        <v>-11</v>
      </c>
      <c r="O1430" s="73">
        <v>-6</v>
      </c>
      <c r="P1430" s="73">
        <v>-19</v>
      </c>
      <c r="Q1430" s="73">
        <v>-11</v>
      </c>
      <c r="R1430" s="73">
        <v>0</v>
      </c>
      <c r="S1430" s="73">
        <v>0</v>
      </c>
      <c r="T1430" s="73">
        <v>0</v>
      </c>
      <c r="U1430" s="73">
        <v>0</v>
      </c>
      <c r="V1430" s="73">
        <v>0</v>
      </c>
      <c r="W1430" s="73">
        <v>0</v>
      </c>
      <c r="X1430" s="73">
        <v>0</v>
      </c>
      <c r="Y1430" s="73">
        <v>0</v>
      </c>
      <c r="Z1430" s="73">
        <v>632</v>
      </c>
      <c r="AA1430" s="73">
        <v>977</v>
      </c>
      <c r="AB1430" s="73">
        <v>0</v>
      </c>
      <c r="AC1430" s="73">
        <v>0</v>
      </c>
      <c r="AD1430" s="73">
        <v>0</v>
      </c>
      <c r="AE1430" s="73">
        <v>0</v>
      </c>
      <c r="AF1430" s="74">
        <f>tblData[[#This Row],[Gross Sales]]+tblData[[#This Row],[Trade Discounts]]+tblData[[#This Row],[Returns]]</f>
        <v>406</v>
      </c>
      <c r="AG1430" s="74">
        <f>tblData[[#This Row],[Material Cost]]+tblData[[#This Row],[Conversion Cost]]+tblData[[#This Row],[Inbound Freight]]</f>
        <v>-240</v>
      </c>
      <c r="AH1430" s="74">
        <f>tblData[[#This Row],[Net Revenue]]+tblData[[#This Row],[COGS]]</f>
        <v>166</v>
      </c>
      <c r="AI1430" s="74">
        <f>tblData[[#This Row],[Advertising]]+tblData[[#This Row],[Promotions]]</f>
        <v>-17</v>
      </c>
      <c r="AJ1430" s="74">
        <f>tblData[[#This Row],[Outbound Logistics]]+tblData[[#This Row],[Direct Selling]]</f>
        <v>-30</v>
      </c>
      <c r="AK1430" s="74">
        <f>tblData[[#This Row],[Gross Profit]]+tblData[[#This Row],[AP Spend]]+tblData[[#This Row],[Cost to Serve]]</f>
        <v>119</v>
      </c>
    </row>
    <row r="1431" spans="2:37" x14ac:dyDescent="0.25">
      <c r="B1431" s="71" t="s">
        <v>36</v>
      </c>
      <c r="C1431" s="71">
        <v>2026</v>
      </c>
      <c r="D1431" s="71">
        <v>2</v>
      </c>
      <c r="E1431" s="71" t="s">
        <v>45</v>
      </c>
      <c r="F1431" s="71" t="s">
        <v>43</v>
      </c>
      <c r="G1431" s="72">
        <v>16.8</v>
      </c>
      <c r="H1431" s="73">
        <v>301</v>
      </c>
      <c r="I1431" s="73">
        <v>-70</v>
      </c>
      <c r="J1431" s="73">
        <v>-3</v>
      </c>
      <c r="K1431" s="73">
        <v>-84</v>
      </c>
      <c r="L1431" s="73">
        <v>-21</v>
      </c>
      <c r="M1431" s="73">
        <v>-13</v>
      </c>
      <c r="N1431" s="73">
        <v>-30</v>
      </c>
      <c r="O1431" s="73">
        <v>-18</v>
      </c>
      <c r="P1431" s="73">
        <v>-11</v>
      </c>
      <c r="Q1431" s="73">
        <v>-6</v>
      </c>
      <c r="R1431" s="73">
        <v>0</v>
      </c>
      <c r="S1431" s="73">
        <v>0</v>
      </c>
      <c r="T1431" s="73">
        <v>0</v>
      </c>
      <c r="U1431" s="73">
        <v>0</v>
      </c>
      <c r="V1431" s="73">
        <v>0</v>
      </c>
      <c r="W1431" s="73">
        <v>0</v>
      </c>
      <c r="X1431" s="73">
        <v>0</v>
      </c>
      <c r="Y1431" s="73">
        <v>0</v>
      </c>
      <c r="Z1431" s="73">
        <v>358</v>
      </c>
      <c r="AA1431" s="73">
        <v>483</v>
      </c>
      <c r="AB1431" s="73">
        <v>0</v>
      </c>
      <c r="AC1431" s="73">
        <v>0</v>
      </c>
      <c r="AD1431" s="73">
        <v>0</v>
      </c>
      <c r="AE1431" s="73">
        <v>0</v>
      </c>
      <c r="AF1431" s="74">
        <f>tblData[[#This Row],[Gross Sales]]+tblData[[#This Row],[Trade Discounts]]+tblData[[#This Row],[Returns]]</f>
        <v>228</v>
      </c>
      <c r="AG1431" s="74">
        <f>tblData[[#This Row],[Material Cost]]+tblData[[#This Row],[Conversion Cost]]+tblData[[#This Row],[Inbound Freight]]</f>
        <v>-118</v>
      </c>
      <c r="AH1431" s="74">
        <f>tblData[[#This Row],[Net Revenue]]+tblData[[#This Row],[COGS]]</f>
        <v>110</v>
      </c>
      <c r="AI1431" s="74">
        <f>tblData[[#This Row],[Advertising]]+tblData[[#This Row],[Promotions]]</f>
        <v>-48</v>
      </c>
      <c r="AJ1431" s="74">
        <f>tblData[[#This Row],[Outbound Logistics]]+tblData[[#This Row],[Direct Selling]]</f>
        <v>-17</v>
      </c>
      <c r="AK1431" s="74">
        <f>tblData[[#This Row],[Gross Profit]]+tblData[[#This Row],[AP Spend]]+tblData[[#This Row],[Cost to Serve]]</f>
        <v>45</v>
      </c>
    </row>
    <row r="1432" spans="2:37" x14ac:dyDescent="0.25">
      <c r="B1432" s="71" t="s">
        <v>36</v>
      </c>
      <c r="C1432" s="71">
        <v>2026</v>
      </c>
      <c r="D1432" s="71">
        <v>2</v>
      </c>
      <c r="E1432" s="71" t="s">
        <v>46</v>
      </c>
      <c r="F1432" s="71" t="s">
        <v>38</v>
      </c>
      <c r="G1432" s="72">
        <v>154.5</v>
      </c>
      <c r="H1432" s="73">
        <v>2181</v>
      </c>
      <c r="I1432" s="73">
        <v>-236</v>
      </c>
      <c r="J1432" s="73">
        <v>-87</v>
      </c>
      <c r="K1432" s="73">
        <v>-478</v>
      </c>
      <c r="L1432" s="73">
        <v>-118</v>
      </c>
      <c r="M1432" s="73">
        <v>-73</v>
      </c>
      <c r="N1432" s="73">
        <v>-104</v>
      </c>
      <c r="O1432" s="73">
        <v>-62</v>
      </c>
      <c r="P1432" s="73">
        <v>-168</v>
      </c>
      <c r="Q1432" s="73">
        <v>-44</v>
      </c>
      <c r="R1432" s="73">
        <v>0</v>
      </c>
      <c r="S1432" s="73">
        <v>0</v>
      </c>
      <c r="T1432" s="73">
        <v>0</v>
      </c>
      <c r="U1432" s="73">
        <v>0</v>
      </c>
      <c r="V1432" s="73">
        <v>0</v>
      </c>
      <c r="W1432" s="73">
        <v>0</v>
      </c>
      <c r="X1432" s="73">
        <v>0</v>
      </c>
      <c r="Y1432" s="73">
        <v>0</v>
      </c>
      <c r="Z1432" s="73">
        <v>1691</v>
      </c>
      <c r="AA1432" s="73">
        <v>2196</v>
      </c>
      <c r="AB1432" s="73">
        <v>0</v>
      </c>
      <c r="AC1432" s="73">
        <v>0</v>
      </c>
      <c r="AD1432" s="73">
        <v>0</v>
      </c>
      <c r="AE1432" s="73">
        <v>0</v>
      </c>
      <c r="AF1432" s="74">
        <f>tblData[[#This Row],[Gross Sales]]+tblData[[#This Row],[Trade Discounts]]+tblData[[#This Row],[Returns]]</f>
        <v>1858</v>
      </c>
      <c r="AG1432" s="74">
        <f>tblData[[#This Row],[Material Cost]]+tblData[[#This Row],[Conversion Cost]]+tblData[[#This Row],[Inbound Freight]]</f>
        <v>-669</v>
      </c>
      <c r="AH1432" s="74">
        <f>tblData[[#This Row],[Net Revenue]]+tblData[[#This Row],[COGS]]</f>
        <v>1189</v>
      </c>
      <c r="AI1432" s="74">
        <f>tblData[[#This Row],[Advertising]]+tblData[[#This Row],[Promotions]]</f>
        <v>-166</v>
      </c>
      <c r="AJ1432" s="74">
        <f>tblData[[#This Row],[Outbound Logistics]]+tblData[[#This Row],[Direct Selling]]</f>
        <v>-212</v>
      </c>
      <c r="AK1432" s="74">
        <f>tblData[[#This Row],[Gross Profit]]+tblData[[#This Row],[AP Spend]]+tblData[[#This Row],[Cost to Serve]]</f>
        <v>811</v>
      </c>
    </row>
    <row r="1433" spans="2:37" x14ac:dyDescent="0.25">
      <c r="B1433" s="71" t="s">
        <v>36</v>
      </c>
      <c r="C1433" s="71">
        <v>2026</v>
      </c>
      <c r="D1433" s="71">
        <v>2</v>
      </c>
      <c r="E1433" s="71" t="s">
        <v>46</v>
      </c>
      <c r="F1433" s="71" t="s">
        <v>39</v>
      </c>
      <c r="G1433" s="72">
        <v>201</v>
      </c>
      <c r="H1433" s="73">
        <v>1816</v>
      </c>
      <c r="I1433" s="73">
        <v>-196</v>
      </c>
      <c r="J1433" s="73">
        <v>-73</v>
      </c>
      <c r="K1433" s="73">
        <v>-478</v>
      </c>
      <c r="L1433" s="73">
        <v>-118</v>
      </c>
      <c r="M1433" s="73">
        <v>-73</v>
      </c>
      <c r="N1433" s="73">
        <v>-60</v>
      </c>
      <c r="O1433" s="73">
        <v>-35</v>
      </c>
      <c r="P1433" s="73">
        <v>-140</v>
      </c>
      <c r="Q1433" s="73">
        <v>-36</v>
      </c>
      <c r="R1433" s="73">
        <v>0</v>
      </c>
      <c r="S1433" s="73">
        <v>0</v>
      </c>
      <c r="T1433" s="73">
        <v>0</v>
      </c>
      <c r="U1433" s="73">
        <v>0</v>
      </c>
      <c r="V1433" s="73">
        <v>0</v>
      </c>
      <c r="W1433" s="73">
        <v>0</v>
      </c>
      <c r="X1433" s="73">
        <v>0</v>
      </c>
      <c r="Y1433" s="73">
        <v>0</v>
      </c>
      <c r="Z1433" s="73">
        <v>1384</v>
      </c>
      <c r="AA1433" s="73">
        <v>1837</v>
      </c>
      <c r="AB1433" s="73">
        <v>0</v>
      </c>
      <c r="AC1433" s="73">
        <v>0</v>
      </c>
      <c r="AD1433" s="73">
        <v>0</v>
      </c>
      <c r="AE1433" s="73">
        <v>0</v>
      </c>
      <c r="AF1433" s="74">
        <f>tblData[[#This Row],[Gross Sales]]+tblData[[#This Row],[Trade Discounts]]+tblData[[#This Row],[Returns]]</f>
        <v>1547</v>
      </c>
      <c r="AG1433" s="74">
        <f>tblData[[#This Row],[Material Cost]]+tblData[[#This Row],[Conversion Cost]]+tblData[[#This Row],[Inbound Freight]]</f>
        <v>-669</v>
      </c>
      <c r="AH1433" s="74">
        <f>tblData[[#This Row],[Net Revenue]]+tblData[[#This Row],[COGS]]</f>
        <v>878</v>
      </c>
      <c r="AI1433" s="74">
        <f>tblData[[#This Row],[Advertising]]+tblData[[#This Row],[Promotions]]</f>
        <v>-95</v>
      </c>
      <c r="AJ1433" s="74">
        <f>tblData[[#This Row],[Outbound Logistics]]+tblData[[#This Row],[Direct Selling]]</f>
        <v>-176</v>
      </c>
      <c r="AK1433" s="74">
        <f>tblData[[#This Row],[Gross Profit]]+tblData[[#This Row],[AP Spend]]+tblData[[#This Row],[Cost to Serve]]</f>
        <v>607</v>
      </c>
    </row>
    <row r="1434" spans="2:37" x14ac:dyDescent="0.25">
      <c r="B1434" s="71" t="s">
        <v>36</v>
      </c>
      <c r="C1434" s="71">
        <v>2026</v>
      </c>
      <c r="D1434" s="71">
        <v>2</v>
      </c>
      <c r="E1434" s="71" t="s">
        <v>46</v>
      </c>
      <c r="F1434" s="71" t="s">
        <v>40</v>
      </c>
      <c r="G1434" s="72">
        <v>191.6</v>
      </c>
      <c r="H1434" s="73">
        <v>1344</v>
      </c>
      <c r="I1434" s="73">
        <v>-145</v>
      </c>
      <c r="J1434" s="73">
        <v>-54</v>
      </c>
      <c r="K1434" s="73">
        <v>-393</v>
      </c>
      <c r="L1434" s="73">
        <v>-97</v>
      </c>
      <c r="M1434" s="73">
        <v>-60</v>
      </c>
      <c r="N1434" s="73">
        <v>-30</v>
      </c>
      <c r="O1434" s="73">
        <v>-18</v>
      </c>
      <c r="P1434" s="73">
        <v>-104</v>
      </c>
      <c r="Q1434" s="73">
        <v>-27</v>
      </c>
      <c r="R1434" s="73">
        <v>0</v>
      </c>
      <c r="S1434" s="73">
        <v>0</v>
      </c>
      <c r="T1434" s="73">
        <v>0</v>
      </c>
      <c r="U1434" s="73">
        <v>0</v>
      </c>
      <c r="V1434" s="73">
        <v>0</v>
      </c>
      <c r="W1434" s="73">
        <v>0</v>
      </c>
      <c r="X1434" s="73">
        <v>0</v>
      </c>
      <c r="Y1434" s="73">
        <v>0</v>
      </c>
      <c r="Z1434" s="73">
        <v>1027</v>
      </c>
      <c r="AA1434" s="73">
        <v>1426</v>
      </c>
      <c r="AB1434" s="73">
        <v>0</v>
      </c>
      <c r="AC1434" s="73">
        <v>0</v>
      </c>
      <c r="AD1434" s="73">
        <v>0</v>
      </c>
      <c r="AE1434" s="73">
        <v>0</v>
      </c>
      <c r="AF1434" s="74">
        <f>tblData[[#This Row],[Gross Sales]]+tblData[[#This Row],[Trade Discounts]]+tblData[[#This Row],[Returns]]</f>
        <v>1145</v>
      </c>
      <c r="AG1434" s="74">
        <f>tblData[[#This Row],[Material Cost]]+tblData[[#This Row],[Conversion Cost]]+tblData[[#This Row],[Inbound Freight]]</f>
        <v>-550</v>
      </c>
      <c r="AH1434" s="74">
        <f>tblData[[#This Row],[Net Revenue]]+tblData[[#This Row],[COGS]]</f>
        <v>595</v>
      </c>
      <c r="AI1434" s="74">
        <f>tblData[[#This Row],[Advertising]]+tblData[[#This Row],[Promotions]]</f>
        <v>-48</v>
      </c>
      <c r="AJ1434" s="74">
        <f>tblData[[#This Row],[Outbound Logistics]]+tblData[[#This Row],[Direct Selling]]</f>
        <v>-131</v>
      </c>
      <c r="AK1434" s="74">
        <f>tblData[[#This Row],[Gross Profit]]+tblData[[#This Row],[AP Spend]]+tblData[[#This Row],[Cost to Serve]]</f>
        <v>416</v>
      </c>
    </row>
    <row r="1435" spans="2:37" x14ac:dyDescent="0.25">
      <c r="B1435" s="71" t="s">
        <v>36</v>
      </c>
      <c r="C1435" s="71">
        <v>2026</v>
      </c>
      <c r="D1435" s="71">
        <v>2</v>
      </c>
      <c r="E1435" s="71" t="s">
        <v>46</v>
      </c>
      <c r="F1435" s="71" t="s">
        <v>41</v>
      </c>
      <c r="G1435" s="72">
        <v>93.1</v>
      </c>
      <c r="H1435" s="73">
        <v>1029</v>
      </c>
      <c r="I1435" s="73">
        <v>-111</v>
      </c>
      <c r="J1435" s="73">
        <v>-41</v>
      </c>
      <c r="K1435" s="73">
        <v>-248</v>
      </c>
      <c r="L1435" s="73">
        <v>-61</v>
      </c>
      <c r="M1435" s="73">
        <v>-38</v>
      </c>
      <c r="N1435" s="73">
        <v>-64</v>
      </c>
      <c r="O1435" s="73">
        <v>-38</v>
      </c>
      <c r="P1435" s="73">
        <v>-80</v>
      </c>
      <c r="Q1435" s="73">
        <v>-21</v>
      </c>
      <c r="R1435" s="73">
        <v>0</v>
      </c>
      <c r="S1435" s="73">
        <v>0</v>
      </c>
      <c r="T1435" s="73">
        <v>0</v>
      </c>
      <c r="U1435" s="73">
        <v>0</v>
      </c>
      <c r="V1435" s="73">
        <v>0</v>
      </c>
      <c r="W1435" s="73">
        <v>0</v>
      </c>
      <c r="X1435" s="73">
        <v>0</v>
      </c>
      <c r="Y1435" s="73">
        <v>0</v>
      </c>
      <c r="Z1435" s="73">
        <v>808</v>
      </c>
      <c r="AA1435" s="73">
        <v>1097</v>
      </c>
      <c r="AB1435" s="73">
        <v>0</v>
      </c>
      <c r="AC1435" s="73">
        <v>0</v>
      </c>
      <c r="AD1435" s="73">
        <v>0</v>
      </c>
      <c r="AE1435" s="73">
        <v>0</v>
      </c>
      <c r="AF1435" s="74">
        <f>tblData[[#This Row],[Gross Sales]]+tblData[[#This Row],[Trade Discounts]]+tblData[[#This Row],[Returns]]</f>
        <v>877</v>
      </c>
      <c r="AG1435" s="74">
        <f>tblData[[#This Row],[Material Cost]]+tblData[[#This Row],[Conversion Cost]]+tblData[[#This Row],[Inbound Freight]]</f>
        <v>-347</v>
      </c>
      <c r="AH1435" s="74">
        <f>tblData[[#This Row],[Net Revenue]]+tblData[[#This Row],[COGS]]</f>
        <v>530</v>
      </c>
      <c r="AI1435" s="74">
        <f>tblData[[#This Row],[Advertising]]+tblData[[#This Row],[Promotions]]</f>
        <v>-102</v>
      </c>
      <c r="AJ1435" s="74">
        <f>tblData[[#This Row],[Outbound Logistics]]+tblData[[#This Row],[Direct Selling]]</f>
        <v>-101</v>
      </c>
      <c r="AK1435" s="74">
        <f>tblData[[#This Row],[Gross Profit]]+tblData[[#This Row],[AP Spend]]+tblData[[#This Row],[Cost to Serve]]</f>
        <v>327</v>
      </c>
    </row>
    <row r="1436" spans="2:37" x14ac:dyDescent="0.25">
      <c r="B1436" s="71" t="s">
        <v>36</v>
      </c>
      <c r="C1436" s="71">
        <v>2026</v>
      </c>
      <c r="D1436" s="71">
        <v>2</v>
      </c>
      <c r="E1436" s="71" t="s">
        <v>46</v>
      </c>
      <c r="F1436" s="71" t="s">
        <v>42</v>
      </c>
      <c r="G1436" s="72">
        <v>115.9</v>
      </c>
      <c r="H1436" s="73">
        <v>694</v>
      </c>
      <c r="I1436" s="73">
        <v>-75</v>
      </c>
      <c r="J1436" s="73">
        <v>-28</v>
      </c>
      <c r="K1436" s="73">
        <v>-223</v>
      </c>
      <c r="L1436" s="73">
        <v>-55</v>
      </c>
      <c r="M1436" s="73">
        <v>-34</v>
      </c>
      <c r="N1436" s="73">
        <v>-12</v>
      </c>
      <c r="O1436" s="73">
        <v>-7</v>
      </c>
      <c r="P1436" s="73">
        <v>-54</v>
      </c>
      <c r="Q1436" s="73">
        <v>-14</v>
      </c>
      <c r="R1436" s="73">
        <v>0</v>
      </c>
      <c r="S1436" s="73">
        <v>0</v>
      </c>
      <c r="T1436" s="73">
        <v>0</v>
      </c>
      <c r="U1436" s="73">
        <v>0</v>
      </c>
      <c r="V1436" s="73">
        <v>0</v>
      </c>
      <c r="W1436" s="73">
        <v>0</v>
      </c>
      <c r="X1436" s="73">
        <v>0</v>
      </c>
      <c r="Y1436" s="73">
        <v>0</v>
      </c>
      <c r="Z1436" s="73">
        <v>536</v>
      </c>
      <c r="AA1436" s="73">
        <v>1264</v>
      </c>
      <c r="AB1436" s="73">
        <v>0</v>
      </c>
      <c r="AC1436" s="73">
        <v>0</v>
      </c>
      <c r="AD1436" s="73">
        <v>0</v>
      </c>
      <c r="AE1436" s="73">
        <v>0</v>
      </c>
      <c r="AF1436" s="74">
        <f>tblData[[#This Row],[Gross Sales]]+tblData[[#This Row],[Trade Discounts]]+tblData[[#This Row],[Returns]]</f>
        <v>591</v>
      </c>
      <c r="AG1436" s="74">
        <f>tblData[[#This Row],[Material Cost]]+tblData[[#This Row],[Conversion Cost]]+tblData[[#This Row],[Inbound Freight]]</f>
        <v>-312</v>
      </c>
      <c r="AH1436" s="74">
        <f>tblData[[#This Row],[Net Revenue]]+tblData[[#This Row],[COGS]]</f>
        <v>279</v>
      </c>
      <c r="AI1436" s="74">
        <f>tblData[[#This Row],[Advertising]]+tblData[[#This Row],[Promotions]]</f>
        <v>-19</v>
      </c>
      <c r="AJ1436" s="74">
        <f>tblData[[#This Row],[Outbound Logistics]]+tblData[[#This Row],[Direct Selling]]</f>
        <v>-68</v>
      </c>
      <c r="AK1436" s="74">
        <f>tblData[[#This Row],[Gross Profit]]+tblData[[#This Row],[AP Spend]]+tblData[[#This Row],[Cost to Serve]]</f>
        <v>192</v>
      </c>
    </row>
    <row r="1437" spans="2:37" x14ac:dyDescent="0.25">
      <c r="B1437" s="71" t="s">
        <v>36</v>
      </c>
      <c r="C1437" s="71">
        <v>2026</v>
      </c>
      <c r="D1437" s="71">
        <v>2</v>
      </c>
      <c r="E1437" s="71" t="s">
        <v>46</v>
      </c>
      <c r="F1437" s="71" t="s">
        <v>43</v>
      </c>
      <c r="G1437" s="72">
        <v>21.9</v>
      </c>
      <c r="H1437" s="73">
        <v>394</v>
      </c>
      <c r="I1437" s="73">
        <v>-43</v>
      </c>
      <c r="J1437" s="73">
        <v>-16</v>
      </c>
      <c r="K1437" s="73">
        <v>-109</v>
      </c>
      <c r="L1437" s="73">
        <v>-27</v>
      </c>
      <c r="M1437" s="73">
        <v>-17</v>
      </c>
      <c r="N1437" s="73">
        <v>-35</v>
      </c>
      <c r="O1437" s="73">
        <v>-21</v>
      </c>
      <c r="P1437" s="73">
        <v>-30</v>
      </c>
      <c r="Q1437" s="73">
        <v>-8</v>
      </c>
      <c r="R1437" s="73">
        <v>0</v>
      </c>
      <c r="S1437" s="73">
        <v>0</v>
      </c>
      <c r="T1437" s="73">
        <v>0</v>
      </c>
      <c r="U1437" s="73">
        <v>0</v>
      </c>
      <c r="V1437" s="73">
        <v>0</v>
      </c>
      <c r="W1437" s="73">
        <v>0</v>
      </c>
      <c r="X1437" s="73">
        <v>0</v>
      </c>
      <c r="Y1437" s="73">
        <v>0</v>
      </c>
      <c r="Z1437" s="73">
        <v>312</v>
      </c>
      <c r="AA1437" s="73">
        <v>641</v>
      </c>
      <c r="AB1437" s="73">
        <v>0</v>
      </c>
      <c r="AC1437" s="73">
        <v>0</v>
      </c>
      <c r="AD1437" s="73">
        <v>0</v>
      </c>
      <c r="AE1437" s="73">
        <v>0</v>
      </c>
      <c r="AF1437" s="74">
        <f>tblData[[#This Row],[Gross Sales]]+tblData[[#This Row],[Trade Discounts]]+tblData[[#This Row],[Returns]]</f>
        <v>335</v>
      </c>
      <c r="AG1437" s="74">
        <f>tblData[[#This Row],[Material Cost]]+tblData[[#This Row],[Conversion Cost]]+tblData[[#This Row],[Inbound Freight]]</f>
        <v>-153</v>
      </c>
      <c r="AH1437" s="74">
        <f>tblData[[#This Row],[Net Revenue]]+tblData[[#This Row],[COGS]]</f>
        <v>182</v>
      </c>
      <c r="AI1437" s="74">
        <f>tblData[[#This Row],[Advertising]]+tblData[[#This Row],[Promotions]]</f>
        <v>-56</v>
      </c>
      <c r="AJ1437" s="74">
        <f>tblData[[#This Row],[Outbound Logistics]]+tblData[[#This Row],[Direct Selling]]</f>
        <v>-38</v>
      </c>
      <c r="AK1437" s="74">
        <f>tblData[[#This Row],[Gross Profit]]+tblData[[#This Row],[AP Spend]]+tblData[[#This Row],[Cost to Serve]]</f>
        <v>88</v>
      </c>
    </row>
    <row r="1438" spans="2:37" x14ac:dyDescent="0.25">
      <c r="B1438" s="71" t="s">
        <v>36</v>
      </c>
      <c r="C1438" s="71">
        <v>2026</v>
      </c>
      <c r="D1438" s="71">
        <v>2</v>
      </c>
      <c r="E1438" s="71" t="s">
        <v>47</v>
      </c>
      <c r="F1438" s="71" t="s">
        <v>38</v>
      </c>
      <c r="G1438" s="72">
        <v>56</v>
      </c>
      <c r="H1438" s="73">
        <v>793</v>
      </c>
      <c r="I1438" s="73">
        <v>-24</v>
      </c>
      <c r="J1438" s="73">
        <v>-40</v>
      </c>
      <c r="K1438" s="73">
        <v>-174</v>
      </c>
      <c r="L1438" s="73">
        <v>-43</v>
      </c>
      <c r="M1438" s="73">
        <v>-27</v>
      </c>
      <c r="N1438" s="73">
        <v>-39</v>
      </c>
      <c r="O1438" s="73">
        <v>-23</v>
      </c>
      <c r="P1438" s="73">
        <v>-98</v>
      </c>
      <c r="Q1438" s="73">
        <v>-32</v>
      </c>
      <c r="R1438" s="73">
        <v>0</v>
      </c>
      <c r="S1438" s="73">
        <v>0</v>
      </c>
      <c r="T1438" s="73">
        <v>0</v>
      </c>
      <c r="U1438" s="73">
        <v>0</v>
      </c>
      <c r="V1438" s="73">
        <v>0</v>
      </c>
      <c r="W1438" s="73">
        <v>0</v>
      </c>
      <c r="X1438" s="73">
        <v>0</v>
      </c>
      <c r="Y1438" s="73">
        <v>0</v>
      </c>
      <c r="Z1438" s="73">
        <v>144</v>
      </c>
      <c r="AA1438" s="73">
        <v>807</v>
      </c>
      <c r="AB1438" s="73">
        <v>0</v>
      </c>
      <c r="AC1438" s="73">
        <v>0</v>
      </c>
      <c r="AD1438" s="73">
        <v>0</v>
      </c>
      <c r="AE1438" s="73">
        <v>0</v>
      </c>
      <c r="AF1438" s="74">
        <f>tblData[[#This Row],[Gross Sales]]+tblData[[#This Row],[Trade Discounts]]+tblData[[#This Row],[Returns]]</f>
        <v>729</v>
      </c>
      <c r="AG1438" s="74">
        <f>tblData[[#This Row],[Material Cost]]+tblData[[#This Row],[Conversion Cost]]+tblData[[#This Row],[Inbound Freight]]</f>
        <v>-244</v>
      </c>
      <c r="AH1438" s="74">
        <f>tblData[[#This Row],[Net Revenue]]+tblData[[#This Row],[COGS]]</f>
        <v>485</v>
      </c>
      <c r="AI1438" s="74">
        <f>tblData[[#This Row],[Advertising]]+tblData[[#This Row],[Promotions]]</f>
        <v>-62</v>
      </c>
      <c r="AJ1438" s="74">
        <f>tblData[[#This Row],[Outbound Logistics]]+tblData[[#This Row],[Direct Selling]]</f>
        <v>-130</v>
      </c>
      <c r="AK1438" s="74">
        <f>tblData[[#This Row],[Gross Profit]]+tblData[[#This Row],[AP Spend]]+tblData[[#This Row],[Cost to Serve]]</f>
        <v>293</v>
      </c>
    </row>
    <row r="1439" spans="2:37" x14ac:dyDescent="0.25">
      <c r="B1439" s="71" t="s">
        <v>36</v>
      </c>
      <c r="C1439" s="71">
        <v>2026</v>
      </c>
      <c r="D1439" s="71">
        <v>2</v>
      </c>
      <c r="E1439" s="71" t="s">
        <v>47</v>
      </c>
      <c r="F1439" s="71" t="s">
        <v>39</v>
      </c>
      <c r="G1439" s="72">
        <v>71.8</v>
      </c>
      <c r="H1439" s="73">
        <v>651</v>
      </c>
      <c r="I1439" s="73">
        <v>-20</v>
      </c>
      <c r="J1439" s="73">
        <v>-33</v>
      </c>
      <c r="K1439" s="73">
        <v>-171</v>
      </c>
      <c r="L1439" s="73">
        <v>-42</v>
      </c>
      <c r="M1439" s="73">
        <v>-26</v>
      </c>
      <c r="N1439" s="73">
        <v>-22</v>
      </c>
      <c r="O1439" s="73">
        <v>-13</v>
      </c>
      <c r="P1439" s="73">
        <v>-81</v>
      </c>
      <c r="Q1439" s="73">
        <v>-26</v>
      </c>
      <c r="R1439" s="73">
        <v>0</v>
      </c>
      <c r="S1439" s="73">
        <v>0</v>
      </c>
      <c r="T1439" s="73">
        <v>0</v>
      </c>
      <c r="U1439" s="73">
        <v>0</v>
      </c>
      <c r="V1439" s="73">
        <v>0</v>
      </c>
      <c r="W1439" s="73">
        <v>0</v>
      </c>
      <c r="X1439" s="73">
        <v>0</v>
      </c>
      <c r="Y1439" s="73">
        <v>0</v>
      </c>
      <c r="Z1439" s="73">
        <v>117</v>
      </c>
      <c r="AA1439" s="73">
        <v>671</v>
      </c>
      <c r="AB1439" s="73">
        <v>0</v>
      </c>
      <c r="AC1439" s="73">
        <v>0</v>
      </c>
      <c r="AD1439" s="73">
        <v>0</v>
      </c>
      <c r="AE1439" s="73">
        <v>0</v>
      </c>
      <c r="AF1439" s="74">
        <f>tblData[[#This Row],[Gross Sales]]+tblData[[#This Row],[Trade Discounts]]+tblData[[#This Row],[Returns]]</f>
        <v>598</v>
      </c>
      <c r="AG1439" s="74">
        <f>tblData[[#This Row],[Material Cost]]+tblData[[#This Row],[Conversion Cost]]+tblData[[#This Row],[Inbound Freight]]</f>
        <v>-239</v>
      </c>
      <c r="AH1439" s="74">
        <f>tblData[[#This Row],[Net Revenue]]+tblData[[#This Row],[COGS]]</f>
        <v>359</v>
      </c>
      <c r="AI1439" s="74">
        <f>tblData[[#This Row],[Advertising]]+tblData[[#This Row],[Promotions]]</f>
        <v>-35</v>
      </c>
      <c r="AJ1439" s="74">
        <f>tblData[[#This Row],[Outbound Logistics]]+tblData[[#This Row],[Direct Selling]]</f>
        <v>-107</v>
      </c>
      <c r="AK1439" s="74">
        <f>tblData[[#This Row],[Gross Profit]]+tblData[[#This Row],[AP Spend]]+tblData[[#This Row],[Cost to Serve]]</f>
        <v>217</v>
      </c>
    </row>
    <row r="1440" spans="2:37" x14ac:dyDescent="0.25">
      <c r="B1440" s="71" t="s">
        <v>36</v>
      </c>
      <c r="C1440" s="71">
        <v>2026</v>
      </c>
      <c r="D1440" s="71">
        <v>2</v>
      </c>
      <c r="E1440" s="71" t="s">
        <v>47</v>
      </c>
      <c r="F1440" s="71" t="s">
        <v>40</v>
      </c>
      <c r="G1440" s="72">
        <v>68.3</v>
      </c>
      <c r="H1440" s="73">
        <v>481</v>
      </c>
      <c r="I1440" s="73">
        <v>-14</v>
      </c>
      <c r="J1440" s="73">
        <v>-24</v>
      </c>
      <c r="K1440" s="73">
        <v>-141</v>
      </c>
      <c r="L1440" s="73">
        <v>-35</v>
      </c>
      <c r="M1440" s="73">
        <v>-22</v>
      </c>
      <c r="N1440" s="73">
        <v>-11</v>
      </c>
      <c r="O1440" s="73">
        <v>-7</v>
      </c>
      <c r="P1440" s="73">
        <v>-59</v>
      </c>
      <c r="Q1440" s="73">
        <v>-19</v>
      </c>
      <c r="R1440" s="73">
        <v>0</v>
      </c>
      <c r="S1440" s="73">
        <v>0</v>
      </c>
      <c r="T1440" s="73">
        <v>0</v>
      </c>
      <c r="U1440" s="73">
        <v>0</v>
      </c>
      <c r="V1440" s="73">
        <v>0</v>
      </c>
      <c r="W1440" s="73">
        <v>0</v>
      </c>
      <c r="X1440" s="73">
        <v>0</v>
      </c>
      <c r="Y1440" s="73">
        <v>0</v>
      </c>
      <c r="Z1440" s="73">
        <v>88</v>
      </c>
      <c r="AA1440" s="73">
        <v>527</v>
      </c>
      <c r="AB1440" s="73">
        <v>0</v>
      </c>
      <c r="AC1440" s="73">
        <v>0</v>
      </c>
      <c r="AD1440" s="73">
        <v>0</v>
      </c>
      <c r="AE1440" s="73">
        <v>0</v>
      </c>
      <c r="AF1440" s="74">
        <f>tblData[[#This Row],[Gross Sales]]+tblData[[#This Row],[Trade Discounts]]+tblData[[#This Row],[Returns]]</f>
        <v>443</v>
      </c>
      <c r="AG1440" s="74">
        <f>tblData[[#This Row],[Material Cost]]+tblData[[#This Row],[Conversion Cost]]+tblData[[#This Row],[Inbound Freight]]</f>
        <v>-198</v>
      </c>
      <c r="AH1440" s="74">
        <f>tblData[[#This Row],[Net Revenue]]+tblData[[#This Row],[COGS]]</f>
        <v>245</v>
      </c>
      <c r="AI1440" s="74">
        <f>tblData[[#This Row],[Advertising]]+tblData[[#This Row],[Promotions]]</f>
        <v>-18</v>
      </c>
      <c r="AJ1440" s="74">
        <f>tblData[[#This Row],[Outbound Logistics]]+tblData[[#This Row],[Direct Selling]]</f>
        <v>-78</v>
      </c>
      <c r="AK1440" s="74">
        <f>tblData[[#This Row],[Gross Profit]]+tblData[[#This Row],[AP Spend]]+tblData[[#This Row],[Cost to Serve]]</f>
        <v>149</v>
      </c>
    </row>
    <row r="1441" spans="2:37" x14ac:dyDescent="0.25">
      <c r="B1441" s="71" t="s">
        <v>36</v>
      </c>
      <c r="C1441" s="71">
        <v>2026</v>
      </c>
      <c r="D1441" s="71">
        <v>2</v>
      </c>
      <c r="E1441" s="71" t="s">
        <v>47</v>
      </c>
      <c r="F1441" s="71" t="s">
        <v>41</v>
      </c>
      <c r="G1441" s="72">
        <v>35.4</v>
      </c>
      <c r="H1441" s="73">
        <v>393</v>
      </c>
      <c r="I1441" s="73">
        <v>-12</v>
      </c>
      <c r="J1441" s="73">
        <v>-20</v>
      </c>
      <c r="K1441" s="73">
        <v>-95</v>
      </c>
      <c r="L1441" s="73">
        <v>-23</v>
      </c>
      <c r="M1441" s="73">
        <v>-15</v>
      </c>
      <c r="N1441" s="73">
        <v>-24</v>
      </c>
      <c r="O1441" s="73">
        <v>-14</v>
      </c>
      <c r="P1441" s="73">
        <v>-49</v>
      </c>
      <c r="Q1441" s="73">
        <v>-16</v>
      </c>
      <c r="R1441" s="73">
        <v>0</v>
      </c>
      <c r="S1441" s="73">
        <v>0</v>
      </c>
      <c r="T1441" s="73">
        <v>0</v>
      </c>
      <c r="U1441" s="73">
        <v>0</v>
      </c>
      <c r="V1441" s="73">
        <v>0</v>
      </c>
      <c r="W1441" s="73">
        <v>0</v>
      </c>
      <c r="X1441" s="73">
        <v>0</v>
      </c>
      <c r="Y1441" s="73">
        <v>0</v>
      </c>
      <c r="Z1441" s="73">
        <v>70</v>
      </c>
      <c r="AA1441" s="73">
        <v>411</v>
      </c>
      <c r="AB1441" s="73">
        <v>0</v>
      </c>
      <c r="AC1441" s="73">
        <v>0</v>
      </c>
      <c r="AD1441" s="73">
        <v>0</v>
      </c>
      <c r="AE1441" s="73">
        <v>0</v>
      </c>
      <c r="AF1441" s="74">
        <f>tblData[[#This Row],[Gross Sales]]+tblData[[#This Row],[Trade Discounts]]+tblData[[#This Row],[Returns]]</f>
        <v>361</v>
      </c>
      <c r="AG1441" s="74">
        <f>tblData[[#This Row],[Material Cost]]+tblData[[#This Row],[Conversion Cost]]+tblData[[#This Row],[Inbound Freight]]</f>
        <v>-133</v>
      </c>
      <c r="AH1441" s="74">
        <f>tblData[[#This Row],[Net Revenue]]+tblData[[#This Row],[COGS]]</f>
        <v>228</v>
      </c>
      <c r="AI1441" s="74">
        <f>tblData[[#This Row],[Advertising]]+tblData[[#This Row],[Promotions]]</f>
        <v>-38</v>
      </c>
      <c r="AJ1441" s="74">
        <f>tblData[[#This Row],[Outbound Logistics]]+tblData[[#This Row],[Direct Selling]]</f>
        <v>-65</v>
      </c>
      <c r="AK1441" s="74">
        <f>tblData[[#This Row],[Gross Profit]]+tblData[[#This Row],[AP Spend]]+tblData[[#This Row],[Cost to Serve]]</f>
        <v>125</v>
      </c>
    </row>
    <row r="1442" spans="2:37" x14ac:dyDescent="0.25">
      <c r="B1442" s="71" t="s">
        <v>36</v>
      </c>
      <c r="C1442" s="71">
        <v>2026</v>
      </c>
      <c r="D1442" s="71">
        <v>2</v>
      </c>
      <c r="E1442" s="71" t="s">
        <v>47</v>
      </c>
      <c r="F1442" s="71" t="s">
        <v>42</v>
      </c>
      <c r="G1442" s="72">
        <v>41.1</v>
      </c>
      <c r="H1442" s="73">
        <v>247</v>
      </c>
      <c r="I1442" s="73">
        <v>-7</v>
      </c>
      <c r="J1442" s="73">
        <v>-12</v>
      </c>
      <c r="K1442" s="73">
        <v>-79</v>
      </c>
      <c r="L1442" s="73">
        <v>-20</v>
      </c>
      <c r="M1442" s="73">
        <v>-12</v>
      </c>
      <c r="N1442" s="73">
        <v>-5</v>
      </c>
      <c r="O1442" s="73">
        <v>-3</v>
      </c>
      <c r="P1442" s="73">
        <v>-31</v>
      </c>
      <c r="Q1442" s="73">
        <v>-10</v>
      </c>
      <c r="R1442" s="73">
        <v>0</v>
      </c>
      <c r="S1442" s="73">
        <v>0</v>
      </c>
      <c r="T1442" s="73">
        <v>0</v>
      </c>
      <c r="U1442" s="73">
        <v>0</v>
      </c>
      <c r="V1442" s="73">
        <v>0</v>
      </c>
      <c r="W1442" s="73">
        <v>0</v>
      </c>
      <c r="X1442" s="73">
        <v>0</v>
      </c>
      <c r="Y1442" s="73">
        <v>0</v>
      </c>
      <c r="Z1442" s="73">
        <v>45</v>
      </c>
      <c r="AA1442" s="73">
        <v>463</v>
      </c>
      <c r="AB1442" s="73">
        <v>0</v>
      </c>
      <c r="AC1442" s="73">
        <v>0</v>
      </c>
      <c r="AD1442" s="73">
        <v>0</v>
      </c>
      <c r="AE1442" s="73">
        <v>0</v>
      </c>
      <c r="AF1442" s="74">
        <f>tblData[[#This Row],[Gross Sales]]+tblData[[#This Row],[Trade Discounts]]+tblData[[#This Row],[Returns]]</f>
        <v>228</v>
      </c>
      <c r="AG1442" s="74">
        <f>tblData[[#This Row],[Material Cost]]+tblData[[#This Row],[Conversion Cost]]+tblData[[#This Row],[Inbound Freight]]</f>
        <v>-111</v>
      </c>
      <c r="AH1442" s="74">
        <f>tblData[[#This Row],[Net Revenue]]+tblData[[#This Row],[COGS]]</f>
        <v>117</v>
      </c>
      <c r="AI1442" s="74">
        <f>tblData[[#This Row],[Advertising]]+tblData[[#This Row],[Promotions]]</f>
        <v>-8</v>
      </c>
      <c r="AJ1442" s="74">
        <f>tblData[[#This Row],[Outbound Logistics]]+tblData[[#This Row],[Direct Selling]]</f>
        <v>-41</v>
      </c>
      <c r="AK1442" s="74">
        <f>tblData[[#This Row],[Gross Profit]]+tblData[[#This Row],[AP Spend]]+tblData[[#This Row],[Cost to Serve]]</f>
        <v>68</v>
      </c>
    </row>
    <row r="1443" spans="2:37" x14ac:dyDescent="0.25">
      <c r="B1443" s="71" t="s">
        <v>36</v>
      </c>
      <c r="C1443" s="71">
        <v>2026</v>
      </c>
      <c r="D1443" s="71">
        <v>2</v>
      </c>
      <c r="E1443" s="71" t="s">
        <v>47</v>
      </c>
      <c r="F1443" s="71" t="s">
        <v>43</v>
      </c>
      <c r="G1443" s="72">
        <v>7.8</v>
      </c>
      <c r="H1443" s="73">
        <v>142</v>
      </c>
      <c r="I1443" s="73">
        <v>-4</v>
      </c>
      <c r="J1443" s="73">
        <v>-7</v>
      </c>
      <c r="K1443" s="73">
        <v>-39</v>
      </c>
      <c r="L1443" s="73">
        <v>-10</v>
      </c>
      <c r="M1443" s="73">
        <v>-6</v>
      </c>
      <c r="N1443" s="73">
        <v>-13</v>
      </c>
      <c r="O1443" s="73">
        <v>-8</v>
      </c>
      <c r="P1443" s="73">
        <v>-18</v>
      </c>
      <c r="Q1443" s="73">
        <v>-6</v>
      </c>
      <c r="R1443" s="73">
        <v>0</v>
      </c>
      <c r="S1443" s="73">
        <v>0</v>
      </c>
      <c r="T1443" s="73">
        <v>0</v>
      </c>
      <c r="U1443" s="73">
        <v>0</v>
      </c>
      <c r="V1443" s="73">
        <v>0</v>
      </c>
      <c r="W1443" s="73">
        <v>0</v>
      </c>
      <c r="X1443" s="73">
        <v>0</v>
      </c>
      <c r="Y1443" s="73">
        <v>0</v>
      </c>
      <c r="Z1443" s="73">
        <v>25</v>
      </c>
      <c r="AA1443" s="73">
        <v>226</v>
      </c>
      <c r="AB1443" s="73">
        <v>0</v>
      </c>
      <c r="AC1443" s="73">
        <v>0</v>
      </c>
      <c r="AD1443" s="73">
        <v>0</v>
      </c>
      <c r="AE1443" s="73">
        <v>0</v>
      </c>
      <c r="AF1443" s="74">
        <f>tblData[[#This Row],[Gross Sales]]+tblData[[#This Row],[Trade Discounts]]+tblData[[#This Row],[Returns]]</f>
        <v>131</v>
      </c>
      <c r="AG1443" s="74">
        <f>tblData[[#This Row],[Material Cost]]+tblData[[#This Row],[Conversion Cost]]+tblData[[#This Row],[Inbound Freight]]</f>
        <v>-55</v>
      </c>
      <c r="AH1443" s="74">
        <f>tblData[[#This Row],[Net Revenue]]+tblData[[#This Row],[COGS]]</f>
        <v>76</v>
      </c>
      <c r="AI1443" s="74">
        <f>tblData[[#This Row],[Advertising]]+tblData[[#This Row],[Promotions]]</f>
        <v>-21</v>
      </c>
      <c r="AJ1443" s="74">
        <f>tblData[[#This Row],[Outbound Logistics]]+tblData[[#This Row],[Direct Selling]]</f>
        <v>-24</v>
      </c>
      <c r="AK1443" s="74">
        <f>tblData[[#This Row],[Gross Profit]]+tblData[[#This Row],[AP Spend]]+tblData[[#This Row],[Cost to Serve]]</f>
        <v>31</v>
      </c>
    </row>
    <row r="1444" spans="2:37" x14ac:dyDescent="0.25">
      <c r="B1444" s="71" t="s">
        <v>36</v>
      </c>
      <c r="C1444" s="71">
        <v>2026</v>
      </c>
      <c r="D1444" s="71">
        <v>2</v>
      </c>
      <c r="E1444" s="71" t="s">
        <v>48</v>
      </c>
      <c r="F1444" s="71" t="s">
        <v>38</v>
      </c>
      <c r="G1444" s="72">
        <v>85.4</v>
      </c>
      <c r="H1444" s="73">
        <v>1203</v>
      </c>
      <c r="I1444" s="73">
        <v>-108</v>
      </c>
      <c r="J1444" s="73">
        <v>-12</v>
      </c>
      <c r="K1444" s="73">
        <v>-264</v>
      </c>
      <c r="L1444" s="73">
        <v>-65</v>
      </c>
      <c r="M1444" s="73">
        <v>-40</v>
      </c>
      <c r="N1444" s="73">
        <v>-65</v>
      </c>
      <c r="O1444" s="73">
        <v>-39</v>
      </c>
      <c r="P1444" s="73">
        <v>-37</v>
      </c>
      <c r="Q1444" s="73">
        <v>-18</v>
      </c>
      <c r="R1444" s="73">
        <v>0</v>
      </c>
      <c r="S1444" s="73">
        <v>0</v>
      </c>
      <c r="T1444" s="73">
        <v>0</v>
      </c>
      <c r="U1444" s="73">
        <v>0</v>
      </c>
      <c r="V1444" s="73">
        <v>0</v>
      </c>
      <c r="W1444" s="73">
        <v>0</v>
      </c>
      <c r="X1444" s="73">
        <v>0</v>
      </c>
      <c r="Y1444" s="73">
        <v>0</v>
      </c>
      <c r="Z1444" s="73">
        <v>2658</v>
      </c>
      <c r="AA1444" s="73">
        <v>1254</v>
      </c>
      <c r="AB1444" s="73">
        <v>0</v>
      </c>
      <c r="AC1444" s="73">
        <v>0</v>
      </c>
      <c r="AD1444" s="73">
        <v>0</v>
      </c>
      <c r="AE1444" s="73">
        <v>0</v>
      </c>
      <c r="AF1444" s="74">
        <f>tblData[[#This Row],[Gross Sales]]+tblData[[#This Row],[Trade Discounts]]+tblData[[#This Row],[Returns]]</f>
        <v>1083</v>
      </c>
      <c r="AG1444" s="74">
        <f>tblData[[#This Row],[Material Cost]]+tblData[[#This Row],[Conversion Cost]]+tblData[[#This Row],[Inbound Freight]]</f>
        <v>-369</v>
      </c>
      <c r="AH1444" s="74">
        <f>tblData[[#This Row],[Net Revenue]]+tblData[[#This Row],[COGS]]</f>
        <v>714</v>
      </c>
      <c r="AI1444" s="74">
        <f>tblData[[#This Row],[Advertising]]+tblData[[#This Row],[Promotions]]</f>
        <v>-104</v>
      </c>
      <c r="AJ1444" s="74">
        <f>tblData[[#This Row],[Outbound Logistics]]+tblData[[#This Row],[Direct Selling]]</f>
        <v>-55</v>
      </c>
      <c r="AK1444" s="74">
        <f>tblData[[#This Row],[Gross Profit]]+tblData[[#This Row],[AP Spend]]+tblData[[#This Row],[Cost to Serve]]</f>
        <v>555</v>
      </c>
    </row>
    <row r="1445" spans="2:37" x14ac:dyDescent="0.25">
      <c r="B1445" s="71" t="s">
        <v>36</v>
      </c>
      <c r="C1445" s="71">
        <v>2026</v>
      </c>
      <c r="D1445" s="71">
        <v>2</v>
      </c>
      <c r="E1445" s="71" t="s">
        <v>48</v>
      </c>
      <c r="F1445" s="71" t="s">
        <v>39</v>
      </c>
      <c r="G1445" s="72">
        <v>117.7</v>
      </c>
      <c r="H1445" s="73">
        <v>1061</v>
      </c>
      <c r="I1445" s="73">
        <v>-96</v>
      </c>
      <c r="J1445" s="73">
        <v>-11</v>
      </c>
      <c r="K1445" s="73">
        <v>-279</v>
      </c>
      <c r="L1445" s="73">
        <v>-69</v>
      </c>
      <c r="M1445" s="73">
        <v>-43</v>
      </c>
      <c r="N1445" s="73">
        <v>-37</v>
      </c>
      <c r="O1445" s="73">
        <v>-22</v>
      </c>
      <c r="P1445" s="73">
        <v>-33</v>
      </c>
      <c r="Q1445" s="73">
        <v>-16</v>
      </c>
      <c r="R1445" s="73">
        <v>0</v>
      </c>
      <c r="S1445" s="73">
        <v>0</v>
      </c>
      <c r="T1445" s="73">
        <v>0</v>
      </c>
      <c r="U1445" s="73">
        <v>0</v>
      </c>
      <c r="V1445" s="73">
        <v>0</v>
      </c>
      <c r="W1445" s="73">
        <v>0</v>
      </c>
      <c r="X1445" s="73">
        <v>0</v>
      </c>
      <c r="Y1445" s="73">
        <v>0</v>
      </c>
      <c r="Z1445" s="73">
        <v>2231</v>
      </c>
      <c r="AA1445" s="73">
        <v>1075</v>
      </c>
      <c r="AB1445" s="73">
        <v>0</v>
      </c>
      <c r="AC1445" s="73">
        <v>0</v>
      </c>
      <c r="AD1445" s="73">
        <v>0</v>
      </c>
      <c r="AE1445" s="73">
        <v>0</v>
      </c>
      <c r="AF1445" s="74">
        <f>tblData[[#This Row],[Gross Sales]]+tblData[[#This Row],[Trade Discounts]]+tblData[[#This Row],[Returns]]</f>
        <v>954</v>
      </c>
      <c r="AG1445" s="74">
        <f>tblData[[#This Row],[Material Cost]]+tblData[[#This Row],[Conversion Cost]]+tblData[[#This Row],[Inbound Freight]]</f>
        <v>-391</v>
      </c>
      <c r="AH1445" s="74">
        <f>tblData[[#This Row],[Net Revenue]]+tblData[[#This Row],[COGS]]</f>
        <v>563</v>
      </c>
      <c r="AI1445" s="74">
        <f>tblData[[#This Row],[Advertising]]+tblData[[#This Row],[Promotions]]</f>
        <v>-59</v>
      </c>
      <c r="AJ1445" s="74">
        <f>tblData[[#This Row],[Outbound Logistics]]+tblData[[#This Row],[Direct Selling]]</f>
        <v>-49</v>
      </c>
      <c r="AK1445" s="74">
        <f>tblData[[#This Row],[Gross Profit]]+tblData[[#This Row],[AP Spend]]+tblData[[#This Row],[Cost to Serve]]</f>
        <v>455</v>
      </c>
    </row>
    <row r="1446" spans="2:37" x14ac:dyDescent="0.25">
      <c r="B1446" s="71" t="s">
        <v>36</v>
      </c>
      <c r="C1446" s="71">
        <v>2026</v>
      </c>
      <c r="D1446" s="71">
        <v>2</v>
      </c>
      <c r="E1446" s="71" t="s">
        <v>48</v>
      </c>
      <c r="F1446" s="71" t="s">
        <v>40</v>
      </c>
      <c r="G1446" s="72">
        <v>113.3</v>
      </c>
      <c r="H1446" s="73">
        <v>793</v>
      </c>
      <c r="I1446" s="73">
        <v>-71</v>
      </c>
      <c r="J1446" s="73">
        <v>-8</v>
      </c>
      <c r="K1446" s="73">
        <v>-232</v>
      </c>
      <c r="L1446" s="73">
        <v>-57</v>
      </c>
      <c r="M1446" s="73">
        <v>-36</v>
      </c>
      <c r="N1446" s="73">
        <v>-19</v>
      </c>
      <c r="O1446" s="73">
        <v>-11</v>
      </c>
      <c r="P1446" s="73">
        <v>-25</v>
      </c>
      <c r="Q1446" s="73">
        <v>-12</v>
      </c>
      <c r="R1446" s="73">
        <v>0</v>
      </c>
      <c r="S1446" s="73">
        <v>0</v>
      </c>
      <c r="T1446" s="73">
        <v>0</v>
      </c>
      <c r="U1446" s="73">
        <v>0</v>
      </c>
      <c r="V1446" s="73">
        <v>0</v>
      </c>
      <c r="W1446" s="73">
        <v>0</v>
      </c>
      <c r="X1446" s="73">
        <v>0</v>
      </c>
      <c r="Y1446" s="73">
        <v>0</v>
      </c>
      <c r="Z1446" s="73">
        <v>1652</v>
      </c>
      <c r="AA1446" s="73">
        <v>833</v>
      </c>
      <c r="AB1446" s="73">
        <v>0</v>
      </c>
      <c r="AC1446" s="73">
        <v>0</v>
      </c>
      <c r="AD1446" s="73">
        <v>0</v>
      </c>
      <c r="AE1446" s="73">
        <v>0</v>
      </c>
      <c r="AF1446" s="74">
        <f>tblData[[#This Row],[Gross Sales]]+tblData[[#This Row],[Trade Discounts]]+tblData[[#This Row],[Returns]]</f>
        <v>714</v>
      </c>
      <c r="AG1446" s="74">
        <f>tblData[[#This Row],[Material Cost]]+tblData[[#This Row],[Conversion Cost]]+tblData[[#This Row],[Inbound Freight]]</f>
        <v>-325</v>
      </c>
      <c r="AH1446" s="74">
        <f>tblData[[#This Row],[Net Revenue]]+tblData[[#This Row],[COGS]]</f>
        <v>389</v>
      </c>
      <c r="AI1446" s="74">
        <f>tblData[[#This Row],[Advertising]]+tblData[[#This Row],[Promotions]]</f>
        <v>-30</v>
      </c>
      <c r="AJ1446" s="74">
        <f>tblData[[#This Row],[Outbound Logistics]]+tblData[[#This Row],[Direct Selling]]</f>
        <v>-37</v>
      </c>
      <c r="AK1446" s="74">
        <f>tblData[[#This Row],[Gross Profit]]+tblData[[#This Row],[AP Spend]]+tblData[[#This Row],[Cost to Serve]]</f>
        <v>322</v>
      </c>
    </row>
    <row r="1447" spans="2:37" x14ac:dyDescent="0.25">
      <c r="B1447" s="71" t="s">
        <v>36</v>
      </c>
      <c r="C1447" s="71">
        <v>2026</v>
      </c>
      <c r="D1447" s="71">
        <v>2</v>
      </c>
      <c r="E1447" s="71" t="s">
        <v>48</v>
      </c>
      <c r="F1447" s="71" t="s">
        <v>41</v>
      </c>
      <c r="G1447" s="72">
        <v>57.1</v>
      </c>
      <c r="H1447" s="73">
        <v>630</v>
      </c>
      <c r="I1447" s="73">
        <v>-57</v>
      </c>
      <c r="J1447" s="73">
        <v>-6</v>
      </c>
      <c r="K1447" s="73">
        <v>-152</v>
      </c>
      <c r="L1447" s="73">
        <v>-37</v>
      </c>
      <c r="M1447" s="73">
        <v>-23</v>
      </c>
      <c r="N1447" s="73">
        <v>-40</v>
      </c>
      <c r="O1447" s="73">
        <v>-24</v>
      </c>
      <c r="P1447" s="73">
        <v>-19</v>
      </c>
      <c r="Q1447" s="73">
        <v>-9</v>
      </c>
      <c r="R1447" s="73">
        <v>0</v>
      </c>
      <c r="S1447" s="73">
        <v>0</v>
      </c>
      <c r="T1447" s="73">
        <v>0</v>
      </c>
      <c r="U1447" s="73">
        <v>0</v>
      </c>
      <c r="V1447" s="73">
        <v>0</v>
      </c>
      <c r="W1447" s="73">
        <v>0</v>
      </c>
      <c r="X1447" s="73">
        <v>0</v>
      </c>
      <c r="Y1447" s="73">
        <v>0</v>
      </c>
      <c r="Z1447" s="73">
        <v>1337</v>
      </c>
      <c r="AA1447" s="73">
        <v>659</v>
      </c>
      <c r="AB1447" s="73">
        <v>0</v>
      </c>
      <c r="AC1447" s="73">
        <v>0</v>
      </c>
      <c r="AD1447" s="73">
        <v>0</v>
      </c>
      <c r="AE1447" s="73">
        <v>0</v>
      </c>
      <c r="AF1447" s="74">
        <f>tblData[[#This Row],[Gross Sales]]+tblData[[#This Row],[Trade Discounts]]+tblData[[#This Row],[Returns]]</f>
        <v>567</v>
      </c>
      <c r="AG1447" s="74">
        <f>tblData[[#This Row],[Material Cost]]+tblData[[#This Row],[Conversion Cost]]+tblData[[#This Row],[Inbound Freight]]</f>
        <v>-212</v>
      </c>
      <c r="AH1447" s="74">
        <f>tblData[[#This Row],[Net Revenue]]+tblData[[#This Row],[COGS]]</f>
        <v>355</v>
      </c>
      <c r="AI1447" s="74">
        <f>tblData[[#This Row],[Advertising]]+tblData[[#This Row],[Promotions]]</f>
        <v>-64</v>
      </c>
      <c r="AJ1447" s="74">
        <f>tblData[[#This Row],[Outbound Logistics]]+tblData[[#This Row],[Direct Selling]]</f>
        <v>-28</v>
      </c>
      <c r="AK1447" s="74">
        <f>tblData[[#This Row],[Gross Profit]]+tblData[[#This Row],[AP Spend]]+tblData[[#This Row],[Cost to Serve]]</f>
        <v>263</v>
      </c>
    </row>
    <row r="1448" spans="2:37" x14ac:dyDescent="0.25">
      <c r="B1448" s="71" t="s">
        <v>36</v>
      </c>
      <c r="C1448" s="71">
        <v>2026</v>
      </c>
      <c r="D1448" s="71">
        <v>2</v>
      </c>
      <c r="E1448" s="71" t="s">
        <v>48</v>
      </c>
      <c r="F1448" s="71" t="s">
        <v>42</v>
      </c>
      <c r="G1448" s="72">
        <v>68</v>
      </c>
      <c r="H1448" s="73">
        <v>406</v>
      </c>
      <c r="I1448" s="73">
        <v>-37</v>
      </c>
      <c r="J1448" s="73">
        <v>-4</v>
      </c>
      <c r="K1448" s="73">
        <v>-131</v>
      </c>
      <c r="L1448" s="73">
        <v>-32</v>
      </c>
      <c r="M1448" s="73">
        <v>-20</v>
      </c>
      <c r="N1448" s="73">
        <v>-8</v>
      </c>
      <c r="O1448" s="73">
        <v>-5</v>
      </c>
      <c r="P1448" s="73">
        <v>-13</v>
      </c>
      <c r="Q1448" s="73">
        <v>-6</v>
      </c>
      <c r="R1448" s="73">
        <v>0</v>
      </c>
      <c r="S1448" s="73">
        <v>0</v>
      </c>
      <c r="T1448" s="73">
        <v>0</v>
      </c>
      <c r="U1448" s="73">
        <v>0</v>
      </c>
      <c r="V1448" s="73">
        <v>0</v>
      </c>
      <c r="W1448" s="73">
        <v>0</v>
      </c>
      <c r="X1448" s="73">
        <v>0</v>
      </c>
      <c r="Y1448" s="73">
        <v>0</v>
      </c>
      <c r="Z1448" s="73">
        <v>861</v>
      </c>
      <c r="AA1448" s="73">
        <v>737</v>
      </c>
      <c r="AB1448" s="73">
        <v>0</v>
      </c>
      <c r="AC1448" s="73">
        <v>0</v>
      </c>
      <c r="AD1448" s="73">
        <v>0</v>
      </c>
      <c r="AE1448" s="73">
        <v>0</v>
      </c>
      <c r="AF1448" s="74">
        <f>tblData[[#This Row],[Gross Sales]]+tblData[[#This Row],[Trade Discounts]]+tblData[[#This Row],[Returns]]</f>
        <v>365</v>
      </c>
      <c r="AG1448" s="74">
        <f>tblData[[#This Row],[Material Cost]]+tblData[[#This Row],[Conversion Cost]]+tblData[[#This Row],[Inbound Freight]]</f>
        <v>-183</v>
      </c>
      <c r="AH1448" s="74">
        <f>tblData[[#This Row],[Net Revenue]]+tblData[[#This Row],[COGS]]</f>
        <v>182</v>
      </c>
      <c r="AI1448" s="74">
        <f>tblData[[#This Row],[Advertising]]+tblData[[#This Row],[Promotions]]</f>
        <v>-13</v>
      </c>
      <c r="AJ1448" s="74">
        <f>tblData[[#This Row],[Outbound Logistics]]+tblData[[#This Row],[Direct Selling]]</f>
        <v>-19</v>
      </c>
      <c r="AK1448" s="74">
        <f>tblData[[#This Row],[Gross Profit]]+tblData[[#This Row],[AP Spend]]+tblData[[#This Row],[Cost to Serve]]</f>
        <v>150</v>
      </c>
    </row>
    <row r="1449" spans="2:37" x14ac:dyDescent="0.25">
      <c r="B1449" s="71" t="s">
        <v>36</v>
      </c>
      <c r="C1449" s="71">
        <v>2026</v>
      </c>
      <c r="D1449" s="71">
        <v>2</v>
      </c>
      <c r="E1449" s="71" t="s">
        <v>48</v>
      </c>
      <c r="F1449" s="71" t="s">
        <v>43</v>
      </c>
      <c r="G1449" s="72">
        <v>12.7</v>
      </c>
      <c r="H1449" s="73">
        <v>229</v>
      </c>
      <c r="I1449" s="73">
        <v>-21</v>
      </c>
      <c r="J1449" s="73">
        <v>-2</v>
      </c>
      <c r="K1449" s="73">
        <v>-64</v>
      </c>
      <c r="L1449" s="73">
        <v>-16</v>
      </c>
      <c r="M1449" s="73">
        <v>-10</v>
      </c>
      <c r="N1449" s="73">
        <v>-22</v>
      </c>
      <c r="O1449" s="73">
        <v>-13</v>
      </c>
      <c r="P1449" s="73">
        <v>-7</v>
      </c>
      <c r="Q1449" s="73">
        <v>-3</v>
      </c>
      <c r="R1449" s="73">
        <v>0</v>
      </c>
      <c r="S1449" s="73">
        <v>0</v>
      </c>
      <c r="T1449" s="73">
        <v>0</v>
      </c>
      <c r="U1449" s="73">
        <v>0</v>
      </c>
      <c r="V1449" s="73">
        <v>0</v>
      </c>
      <c r="W1449" s="73">
        <v>0</v>
      </c>
      <c r="X1449" s="73">
        <v>0</v>
      </c>
      <c r="Y1449" s="73">
        <v>0</v>
      </c>
      <c r="Z1449" s="73">
        <v>488</v>
      </c>
      <c r="AA1449" s="73">
        <v>364</v>
      </c>
      <c r="AB1449" s="73">
        <v>0</v>
      </c>
      <c r="AC1449" s="73">
        <v>0</v>
      </c>
      <c r="AD1449" s="73">
        <v>0</v>
      </c>
      <c r="AE1449" s="73">
        <v>0</v>
      </c>
      <c r="AF1449" s="74">
        <f>tblData[[#This Row],[Gross Sales]]+tblData[[#This Row],[Trade Discounts]]+tblData[[#This Row],[Returns]]</f>
        <v>206</v>
      </c>
      <c r="AG1449" s="74">
        <f>tblData[[#This Row],[Material Cost]]+tblData[[#This Row],[Conversion Cost]]+tblData[[#This Row],[Inbound Freight]]</f>
        <v>-90</v>
      </c>
      <c r="AH1449" s="74">
        <f>tblData[[#This Row],[Net Revenue]]+tblData[[#This Row],[COGS]]</f>
        <v>116</v>
      </c>
      <c r="AI1449" s="74">
        <f>tblData[[#This Row],[Advertising]]+tblData[[#This Row],[Promotions]]</f>
        <v>-35</v>
      </c>
      <c r="AJ1449" s="74">
        <f>tblData[[#This Row],[Outbound Logistics]]+tblData[[#This Row],[Direct Selling]]</f>
        <v>-10</v>
      </c>
      <c r="AK1449" s="74">
        <f>tblData[[#This Row],[Gross Profit]]+tblData[[#This Row],[AP Spend]]+tblData[[#This Row],[Cost to Serve]]</f>
        <v>71</v>
      </c>
    </row>
    <row r="1450" spans="2:37" x14ac:dyDescent="0.25">
      <c r="B1450" s="71" t="s">
        <v>36</v>
      </c>
      <c r="C1450" s="71">
        <v>2026</v>
      </c>
      <c r="D1450" s="71">
        <v>2</v>
      </c>
      <c r="E1450" s="71" t="s">
        <v>49</v>
      </c>
      <c r="F1450" s="71" t="s">
        <v>49</v>
      </c>
      <c r="G1450" s="72">
        <v>0</v>
      </c>
      <c r="H1450" s="73">
        <v>0</v>
      </c>
      <c r="I1450" s="73">
        <v>0</v>
      </c>
      <c r="J1450" s="73">
        <v>0</v>
      </c>
      <c r="K1450" s="73">
        <v>0</v>
      </c>
      <c r="L1450" s="73">
        <v>0</v>
      </c>
      <c r="M1450" s="73">
        <v>0</v>
      </c>
      <c r="N1450" s="73">
        <v>0</v>
      </c>
      <c r="O1450" s="73">
        <v>0</v>
      </c>
      <c r="P1450" s="73">
        <v>0</v>
      </c>
      <c r="Q1450" s="73">
        <v>0</v>
      </c>
      <c r="R1450" s="73">
        <v>-4254</v>
      </c>
      <c r="S1450" s="73">
        <v>-1000</v>
      </c>
      <c r="T1450" s="73">
        <v>-1280</v>
      </c>
      <c r="U1450" s="73">
        <v>-1085</v>
      </c>
      <c r="V1450" s="73">
        <v>-1480</v>
      </c>
      <c r="W1450" s="73">
        <v>-712</v>
      </c>
      <c r="X1450" s="73">
        <v>-925</v>
      </c>
      <c r="Y1450" s="73">
        <v>-1168</v>
      </c>
      <c r="Z1450" s="73">
        <v>0</v>
      </c>
      <c r="AA1450" s="73">
        <v>0</v>
      </c>
      <c r="AB1450" s="73">
        <v>28630</v>
      </c>
      <c r="AC1450" s="73">
        <v>64513</v>
      </c>
      <c r="AD1450" s="73">
        <v>190000</v>
      </c>
      <c r="AE1450" s="73">
        <v>1176</v>
      </c>
      <c r="AF1450" s="74">
        <f>tblData[[#This Row],[Gross Sales]]+tblData[[#This Row],[Trade Discounts]]+tblData[[#This Row],[Returns]]</f>
        <v>0</v>
      </c>
      <c r="AG1450" s="74">
        <f>tblData[[#This Row],[Material Cost]]+tblData[[#This Row],[Conversion Cost]]+tblData[[#This Row],[Inbound Freight]]</f>
        <v>0</v>
      </c>
      <c r="AH1450" s="74">
        <f>tblData[[#This Row],[Net Revenue]]+tblData[[#This Row],[COGS]]</f>
        <v>0</v>
      </c>
      <c r="AI1450" s="74">
        <f>tblData[[#This Row],[Advertising]]+tblData[[#This Row],[Promotions]]</f>
        <v>0</v>
      </c>
      <c r="AJ1450" s="74">
        <f>tblData[[#This Row],[Outbound Logistics]]+tblData[[#This Row],[Direct Selling]]</f>
        <v>0</v>
      </c>
      <c r="AK1450" s="74">
        <f>tblData[[#This Row],[Gross Profit]]+tblData[[#This Row],[AP Spend]]+tblData[[#This Row],[Cost to Serve]]</f>
        <v>0</v>
      </c>
    </row>
    <row r="1451" spans="2:37" x14ac:dyDescent="0.25">
      <c r="B1451" s="71" t="s">
        <v>36</v>
      </c>
      <c r="C1451" s="71">
        <v>2026</v>
      </c>
      <c r="D1451" s="71">
        <v>3</v>
      </c>
      <c r="E1451" s="71" t="s">
        <v>37</v>
      </c>
      <c r="F1451" s="71" t="s">
        <v>38</v>
      </c>
      <c r="G1451" s="72">
        <v>296.5</v>
      </c>
      <c r="H1451" s="73">
        <v>4176</v>
      </c>
      <c r="I1451" s="73">
        <v>-818</v>
      </c>
      <c r="J1451" s="73">
        <v>-63</v>
      </c>
      <c r="K1451" s="73">
        <v>-916</v>
      </c>
      <c r="L1451" s="73">
        <v>-225</v>
      </c>
      <c r="M1451" s="73">
        <v>-140</v>
      </c>
      <c r="N1451" s="73">
        <v>-219</v>
      </c>
      <c r="O1451" s="73">
        <v>-129</v>
      </c>
      <c r="P1451" s="73">
        <v>-172</v>
      </c>
      <c r="Q1451" s="73">
        <v>-125</v>
      </c>
      <c r="R1451" s="73">
        <v>0</v>
      </c>
      <c r="S1451" s="73">
        <v>0</v>
      </c>
      <c r="T1451" s="73">
        <v>0</v>
      </c>
      <c r="U1451" s="73">
        <v>0</v>
      </c>
      <c r="V1451" s="73">
        <v>0</v>
      </c>
      <c r="W1451" s="73">
        <v>0</v>
      </c>
      <c r="X1451" s="73">
        <v>0</v>
      </c>
      <c r="Y1451" s="73">
        <v>0</v>
      </c>
      <c r="Z1451" s="73">
        <v>5664</v>
      </c>
      <c r="AA1451" s="73">
        <v>3835</v>
      </c>
      <c r="AB1451" s="73">
        <v>0</v>
      </c>
      <c r="AC1451" s="73">
        <v>0</v>
      </c>
      <c r="AD1451" s="73">
        <v>0</v>
      </c>
      <c r="AE1451" s="73">
        <v>0</v>
      </c>
      <c r="AF1451" s="74">
        <f>tblData[[#This Row],[Gross Sales]]+tblData[[#This Row],[Trade Discounts]]+tblData[[#This Row],[Returns]]</f>
        <v>3295</v>
      </c>
      <c r="AG1451" s="74">
        <f>tblData[[#This Row],[Material Cost]]+tblData[[#This Row],[Conversion Cost]]+tblData[[#This Row],[Inbound Freight]]</f>
        <v>-1281</v>
      </c>
      <c r="AH1451" s="74">
        <f>tblData[[#This Row],[Net Revenue]]+tblData[[#This Row],[COGS]]</f>
        <v>2014</v>
      </c>
      <c r="AI1451" s="74">
        <f>tblData[[#This Row],[Advertising]]+tblData[[#This Row],[Promotions]]</f>
        <v>-348</v>
      </c>
      <c r="AJ1451" s="74">
        <f>tblData[[#This Row],[Outbound Logistics]]+tblData[[#This Row],[Direct Selling]]</f>
        <v>-297</v>
      </c>
      <c r="AK1451" s="74">
        <f>tblData[[#This Row],[Gross Profit]]+tblData[[#This Row],[AP Spend]]+tblData[[#This Row],[Cost to Serve]]</f>
        <v>1369</v>
      </c>
    </row>
    <row r="1452" spans="2:37" x14ac:dyDescent="0.25">
      <c r="B1452" s="71" t="s">
        <v>36</v>
      </c>
      <c r="C1452" s="71">
        <v>2026</v>
      </c>
      <c r="D1452" s="71">
        <v>3</v>
      </c>
      <c r="E1452" s="71" t="s">
        <v>37</v>
      </c>
      <c r="F1452" s="71" t="s">
        <v>39</v>
      </c>
      <c r="G1452" s="72">
        <v>367</v>
      </c>
      <c r="H1452" s="73">
        <v>3310</v>
      </c>
      <c r="I1452" s="73">
        <v>-649</v>
      </c>
      <c r="J1452" s="73">
        <v>-50</v>
      </c>
      <c r="K1452" s="73">
        <v>-871</v>
      </c>
      <c r="L1452" s="73">
        <v>-214</v>
      </c>
      <c r="M1452" s="73">
        <v>-133</v>
      </c>
      <c r="N1452" s="73">
        <v>-125</v>
      </c>
      <c r="O1452" s="73">
        <v>-74</v>
      </c>
      <c r="P1452" s="73">
        <v>-136</v>
      </c>
      <c r="Q1452" s="73">
        <v>-99</v>
      </c>
      <c r="R1452" s="73">
        <v>0</v>
      </c>
      <c r="S1452" s="73">
        <v>0</v>
      </c>
      <c r="T1452" s="73">
        <v>0</v>
      </c>
      <c r="U1452" s="73">
        <v>0</v>
      </c>
      <c r="V1452" s="73">
        <v>0</v>
      </c>
      <c r="W1452" s="73">
        <v>0</v>
      </c>
      <c r="X1452" s="73">
        <v>0</v>
      </c>
      <c r="Y1452" s="73">
        <v>0</v>
      </c>
      <c r="Z1452" s="73">
        <v>4606</v>
      </c>
      <c r="AA1452" s="73">
        <v>3187</v>
      </c>
      <c r="AB1452" s="73">
        <v>0</v>
      </c>
      <c r="AC1452" s="73">
        <v>0</v>
      </c>
      <c r="AD1452" s="73">
        <v>0</v>
      </c>
      <c r="AE1452" s="73">
        <v>0</v>
      </c>
      <c r="AF1452" s="74">
        <f>tblData[[#This Row],[Gross Sales]]+tblData[[#This Row],[Trade Discounts]]+tblData[[#This Row],[Returns]]</f>
        <v>2611</v>
      </c>
      <c r="AG1452" s="74">
        <f>tblData[[#This Row],[Material Cost]]+tblData[[#This Row],[Conversion Cost]]+tblData[[#This Row],[Inbound Freight]]</f>
        <v>-1218</v>
      </c>
      <c r="AH1452" s="74">
        <f>tblData[[#This Row],[Net Revenue]]+tblData[[#This Row],[COGS]]</f>
        <v>1393</v>
      </c>
      <c r="AI1452" s="74">
        <f>tblData[[#This Row],[Advertising]]+tblData[[#This Row],[Promotions]]</f>
        <v>-199</v>
      </c>
      <c r="AJ1452" s="74">
        <f>tblData[[#This Row],[Outbound Logistics]]+tblData[[#This Row],[Direct Selling]]</f>
        <v>-235</v>
      </c>
      <c r="AK1452" s="74">
        <f>tblData[[#This Row],[Gross Profit]]+tblData[[#This Row],[AP Spend]]+tblData[[#This Row],[Cost to Serve]]</f>
        <v>959</v>
      </c>
    </row>
    <row r="1453" spans="2:37" x14ac:dyDescent="0.25">
      <c r="B1453" s="71" t="s">
        <v>36</v>
      </c>
      <c r="C1453" s="71">
        <v>2026</v>
      </c>
      <c r="D1453" s="71">
        <v>3</v>
      </c>
      <c r="E1453" s="71" t="s">
        <v>37</v>
      </c>
      <c r="F1453" s="71" t="s">
        <v>40</v>
      </c>
      <c r="G1453" s="72">
        <v>344.4</v>
      </c>
      <c r="H1453" s="73">
        <v>2411</v>
      </c>
      <c r="I1453" s="73">
        <v>-472</v>
      </c>
      <c r="J1453" s="73">
        <v>-36</v>
      </c>
      <c r="K1453" s="73">
        <v>-705</v>
      </c>
      <c r="L1453" s="73">
        <v>-174</v>
      </c>
      <c r="M1453" s="73">
        <v>-108</v>
      </c>
      <c r="N1453" s="73">
        <v>-63</v>
      </c>
      <c r="O1453" s="73">
        <v>-37</v>
      </c>
      <c r="P1453" s="73">
        <v>-99</v>
      </c>
      <c r="Q1453" s="73">
        <v>-72</v>
      </c>
      <c r="R1453" s="73">
        <v>0</v>
      </c>
      <c r="S1453" s="73">
        <v>0</v>
      </c>
      <c r="T1453" s="73">
        <v>0</v>
      </c>
      <c r="U1453" s="73">
        <v>0</v>
      </c>
      <c r="V1453" s="73">
        <v>0</v>
      </c>
      <c r="W1453" s="73">
        <v>0</v>
      </c>
      <c r="X1453" s="73">
        <v>0</v>
      </c>
      <c r="Y1453" s="73">
        <v>0</v>
      </c>
      <c r="Z1453" s="73">
        <v>3358</v>
      </c>
      <c r="AA1453" s="73">
        <v>2432</v>
      </c>
      <c r="AB1453" s="73">
        <v>0</v>
      </c>
      <c r="AC1453" s="73">
        <v>0</v>
      </c>
      <c r="AD1453" s="73">
        <v>0</v>
      </c>
      <c r="AE1453" s="73">
        <v>0</v>
      </c>
      <c r="AF1453" s="74">
        <f>tblData[[#This Row],[Gross Sales]]+tblData[[#This Row],[Trade Discounts]]+tblData[[#This Row],[Returns]]</f>
        <v>1903</v>
      </c>
      <c r="AG1453" s="74">
        <f>tblData[[#This Row],[Material Cost]]+tblData[[#This Row],[Conversion Cost]]+tblData[[#This Row],[Inbound Freight]]</f>
        <v>-987</v>
      </c>
      <c r="AH1453" s="74">
        <f>tblData[[#This Row],[Net Revenue]]+tblData[[#This Row],[COGS]]</f>
        <v>916</v>
      </c>
      <c r="AI1453" s="74">
        <f>tblData[[#This Row],[Advertising]]+tblData[[#This Row],[Promotions]]</f>
        <v>-100</v>
      </c>
      <c r="AJ1453" s="74">
        <f>tblData[[#This Row],[Outbound Logistics]]+tblData[[#This Row],[Direct Selling]]</f>
        <v>-171</v>
      </c>
      <c r="AK1453" s="74">
        <f>tblData[[#This Row],[Gross Profit]]+tblData[[#This Row],[AP Spend]]+tblData[[#This Row],[Cost to Serve]]</f>
        <v>645</v>
      </c>
    </row>
    <row r="1454" spans="2:37" x14ac:dyDescent="0.25">
      <c r="B1454" s="71" t="s">
        <v>36</v>
      </c>
      <c r="C1454" s="71">
        <v>2026</v>
      </c>
      <c r="D1454" s="71">
        <v>3</v>
      </c>
      <c r="E1454" s="71" t="s">
        <v>37</v>
      </c>
      <c r="F1454" s="71" t="s">
        <v>41</v>
      </c>
      <c r="G1454" s="72">
        <v>177.3</v>
      </c>
      <c r="H1454" s="73">
        <v>1956</v>
      </c>
      <c r="I1454" s="73">
        <v>-383</v>
      </c>
      <c r="J1454" s="73">
        <v>-29</v>
      </c>
      <c r="K1454" s="73">
        <v>-472</v>
      </c>
      <c r="L1454" s="73">
        <v>-116</v>
      </c>
      <c r="M1454" s="73">
        <v>-72</v>
      </c>
      <c r="N1454" s="73">
        <v>-134</v>
      </c>
      <c r="O1454" s="73">
        <v>-79</v>
      </c>
      <c r="P1454" s="73">
        <v>-81</v>
      </c>
      <c r="Q1454" s="73">
        <v>-59</v>
      </c>
      <c r="R1454" s="73">
        <v>0</v>
      </c>
      <c r="S1454" s="73">
        <v>0</v>
      </c>
      <c r="T1454" s="73">
        <v>0</v>
      </c>
      <c r="U1454" s="73">
        <v>0</v>
      </c>
      <c r="V1454" s="73">
        <v>0</v>
      </c>
      <c r="W1454" s="73">
        <v>0</v>
      </c>
      <c r="X1454" s="73">
        <v>0</v>
      </c>
      <c r="Y1454" s="73">
        <v>0</v>
      </c>
      <c r="Z1454" s="73">
        <v>2753</v>
      </c>
      <c r="AA1454" s="73">
        <v>1949</v>
      </c>
      <c r="AB1454" s="73">
        <v>0</v>
      </c>
      <c r="AC1454" s="73">
        <v>0</v>
      </c>
      <c r="AD1454" s="73">
        <v>0</v>
      </c>
      <c r="AE1454" s="73">
        <v>0</v>
      </c>
      <c r="AF1454" s="74">
        <f>tblData[[#This Row],[Gross Sales]]+tblData[[#This Row],[Trade Discounts]]+tblData[[#This Row],[Returns]]</f>
        <v>1544</v>
      </c>
      <c r="AG1454" s="74">
        <f>tblData[[#This Row],[Material Cost]]+tblData[[#This Row],[Conversion Cost]]+tblData[[#This Row],[Inbound Freight]]</f>
        <v>-660</v>
      </c>
      <c r="AH1454" s="74">
        <f>tblData[[#This Row],[Net Revenue]]+tblData[[#This Row],[COGS]]</f>
        <v>884</v>
      </c>
      <c r="AI1454" s="74">
        <f>tblData[[#This Row],[Advertising]]+tblData[[#This Row],[Promotions]]</f>
        <v>-213</v>
      </c>
      <c r="AJ1454" s="74">
        <f>tblData[[#This Row],[Outbound Logistics]]+tblData[[#This Row],[Direct Selling]]</f>
        <v>-140</v>
      </c>
      <c r="AK1454" s="74">
        <f>tblData[[#This Row],[Gross Profit]]+tblData[[#This Row],[AP Spend]]+tblData[[#This Row],[Cost to Serve]]</f>
        <v>531</v>
      </c>
    </row>
    <row r="1455" spans="2:37" x14ac:dyDescent="0.25">
      <c r="B1455" s="71" t="s">
        <v>36</v>
      </c>
      <c r="C1455" s="71">
        <v>2026</v>
      </c>
      <c r="D1455" s="71">
        <v>3</v>
      </c>
      <c r="E1455" s="71" t="s">
        <v>37</v>
      </c>
      <c r="F1455" s="71" t="s">
        <v>42</v>
      </c>
      <c r="G1455" s="72">
        <v>213.4</v>
      </c>
      <c r="H1455" s="73">
        <v>1275</v>
      </c>
      <c r="I1455" s="73">
        <v>-250</v>
      </c>
      <c r="J1455" s="73">
        <v>-19</v>
      </c>
      <c r="K1455" s="73">
        <v>-410</v>
      </c>
      <c r="L1455" s="73">
        <v>-101</v>
      </c>
      <c r="M1455" s="73">
        <v>-63</v>
      </c>
      <c r="N1455" s="73">
        <v>-26</v>
      </c>
      <c r="O1455" s="73">
        <v>-15</v>
      </c>
      <c r="P1455" s="73">
        <v>-53</v>
      </c>
      <c r="Q1455" s="73">
        <v>-38</v>
      </c>
      <c r="R1455" s="73">
        <v>0</v>
      </c>
      <c r="S1455" s="73">
        <v>0</v>
      </c>
      <c r="T1455" s="73">
        <v>0</v>
      </c>
      <c r="U1455" s="73">
        <v>0</v>
      </c>
      <c r="V1455" s="73">
        <v>0</v>
      </c>
      <c r="W1455" s="73">
        <v>0</v>
      </c>
      <c r="X1455" s="73">
        <v>0</v>
      </c>
      <c r="Y1455" s="73">
        <v>0</v>
      </c>
      <c r="Z1455" s="73">
        <v>1774</v>
      </c>
      <c r="AA1455" s="73">
        <v>2181</v>
      </c>
      <c r="AB1455" s="73">
        <v>0</v>
      </c>
      <c r="AC1455" s="73">
        <v>0</v>
      </c>
      <c r="AD1455" s="73">
        <v>0</v>
      </c>
      <c r="AE1455" s="73">
        <v>0</v>
      </c>
      <c r="AF1455" s="74">
        <f>tblData[[#This Row],[Gross Sales]]+tblData[[#This Row],[Trade Discounts]]+tblData[[#This Row],[Returns]]</f>
        <v>1006</v>
      </c>
      <c r="AG1455" s="74">
        <f>tblData[[#This Row],[Material Cost]]+tblData[[#This Row],[Conversion Cost]]+tblData[[#This Row],[Inbound Freight]]</f>
        <v>-574</v>
      </c>
      <c r="AH1455" s="74">
        <f>tblData[[#This Row],[Net Revenue]]+tblData[[#This Row],[COGS]]</f>
        <v>432</v>
      </c>
      <c r="AI1455" s="74">
        <f>tblData[[#This Row],[Advertising]]+tblData[[#This Row],[Promotions]]</f>
        <v>-41</v>
      </c>
      <c r="AJ1455" s="74">
        <f>tblData[[#This Row],[Outbound Logistics]]+tblData[[#This Row],[Direct Selling]]</f>
        <v>-91</v>
      </c>
      <c r="AK1455" s="74">
        <f>tblData[[#This Row],[Gross Profit]]+tblData[[#This Row],[AP Spend]]+tblData[[#This Row],[Cost to Serve]]</f>
        <v>300</v>
      </c>
    </row>
    <row r="1456" spans="2:37" x14ac:dyDescent="0.25">
      <c r="B1456" s="71" t="s">
        <v>36</v>
      </c>
      <c r="C1456" s="71">
        <v>2026</v>
      </c>
      <c r="D1456" s="71">
        <v>3</v>
      </c>
      <c r="E1456" s="71" t="s">
        <v>37</v>
      </c>
      <c r="F1456" s="71" t="s">
        <v>43</v>
      </c>
      <c r="G1456" s="72">
        <v>39</v>
      </c>
      <c r="H1456" s="73">
        <v>701</v>
      </c>
      <c r="I1456" s="73">
        <v>-137</v>
      </c>
      <c r="J1456" s="73">
        <v>-11</v>
      </c>
      <c r="K1456" s="73">
        <v>-195</v>
      </c>
      <c r="L1456" s="73">
        <v>-48</v>
      </c>
      <c r="M1456" s="73">
        <v>-30</v>
      </c>
      <c r="N1456" s="73">
        <v>-73</v>
      </c>
      <c r="O1456" s="73">
        <v>-43</v>
      </c>
      <c r="P1456" s="73">
        <v>-29</v>
      </c>
      <c r="Q1456" s="73">
        <v>-21</v>
      </c>
      <c r="R1456" s="73">
        <v>0</v>
      </c>
      <c r="S1456" s="73">
        <v>0</v>
      </c>
      <c r="T1456" s="73">
        <v>0</v>
      </c>
      <c r="U1456" s="73">
        <v>0</v>
      </c>
      <c r="V1456" s="73">
        <v>0</v>
      </c>
      <c r="W1456" s="73">
        <v>0</v>
      </c>
      <c r="X1456" s="73">
        <v>0</v>
      </c>
      <c r="Y1456" s="73">
        <v>0</v>
      </c>
      <c r="Z1456" s="73">
        <v>980</v>
      </c>
      <c r="AA1456" s="73">
        <v>1049</v>
      </c>
      <c r="AB1456" s="73">
        <v>0</v>
      </c>
      <c r="AC1456" s="73">
        <v>0</v>
      </c>
      <c r="AD1456" s="73">
        <v>0</v>
      </c>
      <c r="AE1456" s="73">
        <v>0</v>
      </c>
      <c r="AF1456" s="74">
        <f>tblData[[#This Row],[Gross Sales]]+tblData[[#This Row],[Trade Discounts]]+tblData[[#This Row],[Returns]]</f>
        <v>553</v>
      </c>
      <c r="AG1456" s="74">
        <f>tblData[[#This Row],[Material Cost]]+tblData[[#This Row],[Conversion Cost]]+tblData[[#This Row],[Inbound Freight]]</f>
        <v>-273</v>
      </c>
      <c r="AH1456" s="74">
        <f>tblData[[#This Row],[Net Revenue]]+tblData[[#This Row],[COGS]]</f>
        <v>280</v>
      </c>
      <c r="AI1456" s="74">
        <f>tblData[[#This Row],[Advertising]]+tblData[[#This Row],[Promotions]]</f>
        <v>-116</v>
      </c>
      <c r="AJ1456" s="74">
        <f>tblData[[#This Row],[Outbound Logistics]]+tblData[[#This Row],[Direct Selling]]</f>
        <v>-50</v>
      </c>
      <c r="AK1456" s="74">
        <f>tblData[[#This Row],[Gross Profit]]+tblData[[#This Row],[AP Spend]]+tblData[[#This Row],[Cost to Serve]]</f>
        <v>114</v>
      </c>
    </row>
    <row r="1457" spans="2:37" x14ac:dyDescent="0.25">
      <c r="B1457" s="71" t="s">
        <v>36</v>
      </c>
      <c r="C1457" s="71">
        <v>2026</v>
      </c>
      <c r="D1457" s="71">
        <v>3</v>
      </c>
      <c r="E1457" s="71" t="s">
        <v>44</v>
      </c>
      <c r="F1457" s="71" t="s">
        <v>38</v>
      </c>
      <c r="G1457" s="72">
        <v>230.8</v>
      </c>
      <c r="H1457" s="73">
        <v>3263</v>
      </c>
      <c r="I1457" s="73">
        <v>-529</v>
      </c>
      <c r="J1457" s="73">
        <v>-39</v>
      </c>
      <c r="K1457" s="73">
        <v>-715</v>
      </c>
      <c r="L1457" s="73">
        <v>-176</v>
      </c>
      <c r="M1457" s="73">
        <v>-110</v>
      </c>
      <c r="N1457" s="73">
        <v>-175</v>
      </c>
      <c r="O1457" s="73">
        <v>-103</v>
      </c>
      <c r="P1457" s="73">
        <v>-134</v>
      </c>
      <c r="Q1457" s="73">
        <v>-98</v>
      </c>
      <c r="R1457" s="73">
        <v>0</v>
      </c>
      <c r="S1457" s="73">
        <v>0</v>
      </c>
      <c r="T1457" s="73">
        <v>0</v>
      </c>
      <c r="U1457" s="73">
        <v>0</v>
      </c>
      <c r="V1457" s="73">
        <v>0</v>
      </c>
      <c r="W1457" s="73">
        <v>0</v>
      </c>
      <c r="X1457" s="73">
        <v>0</v>
      </c>
      <c r="Y1457" s="73">
        <v>0</v>
      </c>
      <c r="Z1457" s="73">
        <v>4355</v>
      </c>
      <c r="AA1457" s="73">
        <v>3083</v>
      </c>
      <c r="AB1457" s="73">
        <v>0</v>
      </c>
      <c r="AC1457" s="73">
        <v>0</v>
      </c>
      <c r="AD1457" s="73">
        <v>0</v>
      </c>
      <c r="AE1457" s="73">
        <v>0</v>
      </c>
      <c r="AF1457" s="74">
        <f>tblData[[#This Row],[Gross Sales]]+tblData[[#This Row],[Trade Discounts]]+tblData[[#This Row],[Returns]]</f>
        <v>2695</v>
      </c>
      <c r="AG1457" s="74">
        <f>tblData[[#This Row],[Material Cost]]+tblData[[#This Row],[Conversion Cost]]+tblData[[#This Row],[Inbound Freight]]</f>
        <v>-1001</v>
      </c>
      <c r="AH1457" s="74">
        <f>tblData[[#This Row],[Net Revenue]]+tblData[[#This Row],[COGS]]</f>
        <v>1694</v>
      </c>
      <c r="AI1457" s="74">
        <f>tblData[[#This Row],[Advertising]]+tblData[[#This Row],[Promotions]]</f>
        <v>-278</v>
      </c>
      <c r="AJ1457" s="74">
        <f>tblData[[#This Row],[Outbound Logistics]]+tblData[[#This Row],[Direct Selling]]</f>
        <v>-232</v>
      </c>
      <c r="AK1457" s="74">
        <f>tblData[[#This Row],[Gross Profit]]+tblData[[#This Row],[AP Spend]]+tblData[[#This Row],[Cost to Serve]]</f>
        <v>1184</v>
      </c>
    </row>
    <row r="1458" spans="2:37" x14ac:dyDescent="0.25">
      <c r="B1458" s="71" t="s">
        <v>36</v>
      </c>
      <c r="C1458" s="71">
        <v>2026</v>
      </c>
      <c r="D1458" s="71">
        <v>3</v>
      </c>
      <c r="E1458" s="71" t="s">
        <v>44</v>
      </c>
      <c r="F1458" s="71" t="s">
        <v>39</v>
      </c>
      <c r="G1458" s="72">
        <v>313.3</v>
      </c>
      <c r="H1458" s="73">
        <v>2837</v>
      </c>
      <c r="I1458" s="73">
        <v>-460</v>
      </c>
      <c r="J1458" s="73">
        <v>-34</v>
      </c>
      <c r="K1458" s="73">
        <v>-746</v>
      </c>
      <c r="L1458" s="73">
        <v>-184</v>
      </c>
      <c r="M1458" s="73">
        <v>-114</v>
      </c>
      <c r="N1458" s="73">
        <v>-100</v>
      </c>
      <c r="O1458" s="73">
        <v>-59</v>
      </c>
      <c r="P1458" s="73">
        <v>-117</v>
      </c>
      <c r="Q1458" s="73">
        <v>-85</v>
      </c>
      <c r="R1458" s="73">
        <v>0</v>
      </c>
      <c r="S1458" s="73">
        <v>0</v>
      </c>
      <c r="T1458" s="73">
        <v>0</v>
      </c>
      <c r="U1458" s="73">
        <v>0</v>
      </c>
      <c r="V1458" s="73">
        <v>0</v>
      </c>
      <c r="W1458" s="73">
        <v>0</v>
      </c>
      <c r="X1458" s="73">
        <v>0</v>
      </c>
      <c r="Y1458" s="73">
        <v>0</v>
      </c>
      <c r="Z1458" s="73">
        <v>3695</v>
      </c>
      <c r="AA1458" s="73">
        <v>2673</v>
      </c>
      <c r="AB1458" s="73">
        <v>0</v>
      </c>
      <c r="AC1458" s="73">
        <v>0</v>
      </c>
      <c r="AD1458" s="73">
        <v>0</v>
      </c>
      <c r="AE1458" s="73">
        <v>0</v>
      </c>
      <c r="AF1458" s="74">
        <f>tblData[[#This Row],[Gross Sales]]+tblData[[#This Row],[Trade Discounts]]+tblData[[#This Row],[Returns]]</f>
        <v>2343</v>
      </c>
      <c r="AG1458" s="74">
        <f>tblData[[#This Row],[Material Cost]]+tblData[[#This Row],[Conversion Cost]]+tblData[[#This Row],[Inbound Freight]]</f>
        <v>-1044</v>
      </c>
      <c r="AH1458" s="74">
        <f>tblData[[#This Row],[Net Revenue]]+tblData[[#This Row],[COGS]]</f>
        <v>1299</v>
      </c>
      <c r="AI1458" s="74">
        <f>tblData[[#This Row],[Advertising]]+tblData[[#This Row],[Promotions]]</f>
        <v>-159</v>
      </c>
      <c r="AJ1458" s="74">
        <f>tblData[[#This Row],[Outbound Logistics]]+tblData[[#This Row],[Direct Selling]]</f>
        <v>-202</v>
      </c>
      <c r="AK1458" s="74">
        <f>tblData[[#This Row],[Gross Profit]]+tblData[[#This Row],[AP Spend]]+tblData[[#This Row],[Cost to Serve]]</f>
        <v>938</v>
      </c>
    </row>
    <row r="1459" spans="2:37" x14ac:dyDescent="0.25">
      <c r="B1459" s="71" t="s">
        <v>36</v>
      </c>
      <c r="C1459" s="71">
        <v>2026</v>
      </c>
      <c r="D1459" s="71">
        <v>3</v>
      </c>
      <c r="E1459" s="71" t="s">
        <v>44</v>
      </c>
      <c r="F1459" s="71" t="s">
        <v>40</v>
      </c>
      <c r="G1459" s="72">
        <v>288.89999999999998</v>
      </c>
      <c r="H1459" s="73">
        <v>2030</v>
      </c>
      <c r="I1459" s="73">
        <v>-329</v>
      </c>
      <c r="J1459" s="73">
        <v>-24</v>
      </c>
      <c r="K1459" s="73">
        <v>-593</v>
      </c>
      <c r="L1459" s="73">
        <v>-146</v>
      </c>
      <c r="M1459" s="73">
        <v>-91</v>
      </c>
      <c r="N1459" s="73">
        <v>-50</v>
      </c>
      <c r="O1459" s="73">
        <v>-30</v>
      </c>
      <c r="P1459" s="73">
        <v>-84</v>
      </c>
      <c r="Q1459" s="73">
        <v>-61</v>
      </c>
      <c r="R1459" s="73">
        <v>0</v>
      </c>
      <c r="S1459" s="73">
        <v>0</v>
      </c>
      <c r="T1459" s="73">
        <v>0</v>
      </c>
      <c r="U1459" s="73">
        <v>0</v>
      </c>
      <c r="V1459" s="73">
        <v>0</v>
      </c>
      <c r="W1459" s="73">
        <v>0</v>
      </c>
      <c r="X1459" s="73">
        <v>0</v>
      </c>
      <c r="Y1459" s="73">
        <v>0</v>
      </c>
      <c r="Z1459" s="73">
        <v>2716</v>
      </c>
      <c r="AA1459" s="73">
        <v>2056</v>
      </c>
      <c r="AB1459" s="73">
        <v>0</v>
      </c>
      <c r="AC1459" s="73">
        <v>0</v>
      </c>
      <c r="AD1459" s="73">
        <v>0</v>
      </c>
      <c r="AE1459" s="73">
        <v>0</v>
      </c>
      <c r="AF1459" s="74">
        <f>tblData[[#This Row],[Gross Sales]]+tblData[[#This Row],[Trade Discounts]]+tblData[[#This Row],[Returns]]</f>
        <v>1677</v>
      </c>
      <c r="AG1459" s="74">
        <f>tblData[[#This Row],[Material Cost]]+tblData[[#This Row],[Conversion Cost]]+tblData[[#This Row],[Inbound Freight]]</f>
        <v>-830</v>
      </c>
      <c r="AH1459" s="74">
        <f>tblData[[#This Row],[Net Revenue]]+tblData[[#This Row],[COGS]]</f>
        <v>847</v>
      </c>
      <c r="AI1459" s="74">
        <f>tblData[[#This Row],[Advertising]]+tblData[[#This Row],[Promotions]]</f>
        <v>-80</v>
      </c>
      <c r="AJ1459" s="74">
        <f>tblData[[#This Row],[Outbound Logistics]]+tblData[[#This Row],[Direct Selling]]</f>
        <v>-145</v>
      </c>
      <c r="AK1459" s="74">
        <f>tblData[[#This Row],[Gross Profit]]+tblData[[#This Row],[AP Spend]]+tblData[[#This Row],[Cost to Serve]]</f>
        <v>622</v>
      </c>
    </row>
    <row r="1460" spans="2:37" x14ac:dyDescent="0.25">
      <c r="B1460" s="71" t="s">
        <v>36</v>
      </c>
      <c r="C1460" s="71">
        <v>2026</v>
      </c>
      <c r="D1460" s="71">
        <v>3</v>
      </c>
      <c r="E1460" s="71" t="s">
        <v>44</v>
      </c>
      <c r="F1460" s="71" t="s">
        <v>41</v>
      </c>
      <c r="G1460" s="72">
        <v>147.69999999999999</v>
      </c>
      <c r="H1460" s="73">
        <v>1636</v>
      </c>
      <c r="I1460" s="73">
        <v>-265</v>
      </c>
      <c r="J1460" s="73">
        <v>-20</v>
      </c>
      <c r="K1460" s="73">
        <v>-395</v>
      </c>
      <c r="L1460" s="73">
        <v>-97</v>
      </c>
      <c r="M1460" s="73">
        <v>-60</v>
      </c>
      <c r="N1460" s="73">
        <v>-107</v>
      </c>
      <c r="O1460" s="73">
        <v>-63</v>
      </c>
      <c r="P1460" s="73">
        <v>-67</v>
      </c>
      <c r="Q1460" s="73">
        <v>-49</v>
      </c>
      <c r="R1460" s="73">
        <v>0</v>
      </c>
      <c r="S1460" s="73">
        <v>0</v>
      </c>
      <c r="T1460" s="73">
        <v>0</v>
      </c>
      <c r="U1460" s="73">
        <v>0</v>
      </c>
      <c r="V1460" s="73">
        <v>0</v>
      </c>
      <c r="W1460" s="73">
        <v>0</v>
      </c>
      <c r="X1460" s="73">
        <v>0</v>
      </c>
      <c r="Y1460" s="73">
        <v>0</v>
      </c>
      <c r="Z1460" s="73">
        <v>2209</v>
      </c>
      <c r="AA1460" s="73">
        <v>1635</v>
      </c>
      <c r="AB1460" s="73">
        <v>0</v>
      </c>
      <c r="AC1460" s="73">
        <v>0</v>
      </c>
      <c r="AD1460" s="73">
        <v>0</v>
      </c>
      <c r="AE1460" s="73">
        <v>0</v>
      </c>
      <c r="AF1460" s="74">
        <f>tblData[[#This Row],[Gross Sales]]+tblData[[#This Row],[Trade Discounts]]+tblData[[#This Row],[Returns]]</f>
        <v>1351</v>
      </c>
      <c r="AG1460" s="74">
        <f>tblData[[#This Row],[Material Cost]]+tblData[[#This Row],[Conversion Cost]]+tblData[[#This Row],[Inbound Freight]]</f>
        <v>-552</v>
      </c>
      <c r="AH1460" s="74">
        <f>tblData[[#This Row],[Net Revenue]]+tblData[[#This Row],[COGS]]</f>
        <v>799</v>
      </c>
      <c r="AI1460" s="74">
        <f>tblData[[#This Row],[Advertising]]+tblData[[#This Row],[Promotions]]</f>
        <v>-170</v>
      </c>
      <c r="AJ1460" s="74">
        <f>tblData[[#This Row],[Outbound Logistics]]+tblData[[#This Row],[Direct Selling]]</f>
        <v>-116</v>
      </c>
      <c r="AK1460" s="74">
        <f>tblData[[#This Row],[Gross Profit]]+tblData[[#This Row],[AP Spend]]+tblData[[#This Row],[Cost to Serve]]</f>
        <v>513</v>
      </c>
    </row>
    <row r="1461" spans="2:37" x14ac:dyDescent="0.25">
      <c r="B1461" s="71" t="s">
        <v>36</v>
      </c>
      <c r="C1461" s="71">
        <v>2026</v>
      </c>
      <c r="D1461" s="71">
        <v>3</v>
      </c>
      <c r="E1461" s="71" t="s">
        <v>44</v>
      </c>
      <c r="F1461" s="71" t="s">
        <v>42</v>
      </c>
      <c r="G1461" s="72">
        <v>178.4</v>
      </c>
      <c r="H1461" s="73">
        <v>1070</v>
      </c>
      <c r="I1461" s="73">
        <v>-173</v>
      </c>
      <c r="J1461" s="73">
        <v>-13</v>
      </c>
      <c r="K1461" s="73">
        <v>-344</v>
      </c>
      <c r="L1461" s="73">
        <v>-85</v>
      </c>
      <c r="M1461" s="73">
        <v>-53</v>
      </c>
      <c r="N1461" s="73">
        <v>-21</v>
      </c>
      <c r="O1461" s="73">
        <v>-12</v>
      </c>
      <c r="P1461" s="73">
        <v>-44</v>
      </c>
      <c r="Q1461" s="73">
        <v>-32</v>
      </c>
      <c r="R1461" s="73">
        <v>0</v>
      </c>
      <c r="S1461" s="73">
        <v>0</v>
      </c>
      <c r="T1461" s="73">
        <v>0</v>
      </c>
      <c r="U1461" s="73">
        <v>0</v>
      </c>
      <c r="V1461" s="73">
        <v>0</v>
      </c>
      <c r="W1461" s="73">
        <v>0</v>
      </c>
      <c r="X1461" s="73">
        <v>0</v>
      </c>
      <c r="Y1461" s="73">
        <v>0</v>
      </c>
      <c r="Z1461" s="73">
        <v>1423</v>
      </c>
      <c r="AA1461" s="73">
        <v>1829</v>
      </c>
      <c r="AB1461" s="73">
        <v>0</v>
      </c>
      <c r="AC1461" s="73">
        <v>0</v>
      </c>
      <c r="AD1461" s="73">
        <v>0</v>
      </c>
      <c r="AE1461" s="73">
        <v>0</v>
      </c>
      <c r="AF1461" s="74">
        <f>tblData[[#This Row],[Gross Sales]]+tblData[[#This Row],[Trade Discounts]]+tblData[[#This Row],[Returns]]</f>
        <v>884</v>
      </c>
      <c r="AG1461" s="74">
        <f>tblData[[#This Row],[Material Cost]]+tblData[[#This Row],[Conversion Cost]]+tblData[[#This Row],[Inbound Freight]]</f>
        <v>-482</v>
      </c>
      <c r="AH1461" s="74">
        <f>tblData[[#This Row],[Net Revenue]]+tblData[[#This Row],[COGS]]</f>
        <v>402</v>
      </c>
      <c r="AI1461" s="74">
        <f>tblData[[#This Row],[Advertising]]+tblData[[#This Row],[Promotions]]</f>
        <v>-33</v>
      </c>
      <c r="AJ1461" s="74">
        <f>tblData[[#This Row],[Outbound Logistics]]+tblData[[#This Row],[Direct Selling]]</f>
        <v>-76</v>
      </c>
      <c r="AK1461" s="74">
        <f>tblData[[#This Row],[Gross Profit]]+tblData[[#This Row],[AP Spend]]+tblData[[#This Row],[Cost to Serve]]</f>
        <v>293</v>
      </c>
    </row>
    <row r="1462" spans="2:37" x14ac:dyDescent="0.25">
      <c r="B1462" s="71" t="s">
        <v>36</v>
      </c>
      <c r="C1462" s="71">
        <v>2026</v>
      </c>
      <c r="D1462" s="71">
        <v>3</v>
      </c>
      <c r="E1462" s="71" t="s">
        <v>44</v>
      </c>
      <c r="F1462" s="71" t="s">
        <v>43</v>
      </c>
      <c r="G1462" s="72">
        <v>33.6</v>
      </c>
      <c r="H1462" s="73">
        <v>607</v>
      </c>
      <c r="I1462" s="73">
        <v>-98</v>
      </c>
      <c r="J1462" s="73">
        <v>-7</v>
      </c>
      <c r="K1462" s="73">
        <v>-169</v>
      </c>
      <c r="L1462" s="73">
        <v>-42</v>
      </c>
      <c r="M1462" s="73">
        <v>-26</v>
      </c>
      <c r="N1462" s="73">
        <v>-58</v>
      </c>
      <c r="O1462" s="73">
        <v>-34</v>
      </c>
      <c r="P1462" s="73">
        <v>-25</v>
      </c>
      <c r="Q1462" s="73">
        <v>-18</v>
      </c>
      <c r="R1462" s="73">
        <v>0</v>
      </c>
      <c r="S1462" s="73">
        <v>0</v>
      </c>
      <c r="T1462" s="73">
        <v>0</v>
      </c>
      <c r="U1462" s="73">
        <v>0</v>
      </c>
      <c r="V1462" s="73">
        <v>0</v>
      </c>
      <c r="W1462" s="73">
        <v>0</v>
      </c>
      <c r="X1462" s="73">
        <v>0</v>
      </c>
      <c r="Y1462" s="73">
        <v>0</v>
      </c>
      <c r="Z1462" s="73">
        <v>811</v>
      </c>
      <c r="AA1462" s="73">
        <v>907</v>
      </c>
      <c r="AB1462" s="73">
        <v>0</v>
      </c>
      <c r="AC1462" s="73">
        <v>0</v>
      </c>
      <c r="AD1462" s="73">
        <v>0</v>
      </c>
      <c r="AE1462" s="73">
        <v>0</v>
      </c>
      <c r="AF1462" s="74">
        <f>tblData[[#This Row],[Gross Sales]]+tblData[[#This Row],[Trade Discounts]]+tblData[[#This Row],[Returns]]</f>
        <v>502</v>
      </c>
      <c r="AG1462" s="74">
        <f>tblData[[#This Row],[Material Cost]]+tblData[[#This Row],[Conversion Cost]]+tblData[[#This Row],[Inbound Freight]]</f>
        <v>-237</v>
      </c>
      <c r="AH1462" s="74">
        <f>tblData[[#This Row],[Net Revenue]]+tblData[[#This Row],[COGS]]</f>
        <v>265</v>
      </c>
      <c r="AI1462" s="74">
        <f>tblData[[#This Row],[Advertising]]+tblData[[#This Row],[Promotions]]</f>
        <v>-92</v>
      </c>
      <c r="AJ1462" s="74">
        <f>tblData[[#This Row],[Outbound Logistics]]+tblData[[#This Row],[Direct Selling]]</f>
        <v>-43</v>
      </c>
      <c r="AK1462" s="74">
        <f>tblData[[#This Row],[Gross Profit]]+tblData[[#This Row],[AP Spend]]+tblData[[#This Row],[Cost to Serve]]</f>
        <v>130</v>
      </c>
    </row>
    <row r="1463" spans="2:37" x14ac:dyDescent="0.25">
      <c r="B1463" s="71" t="s">
        <v>36</v>
      </c>
      <c r="C1463" s="71">
        <v>2026</v>
      </c>
      <c r="D1463" s="71">
        <v>3</v>
      </c>
      <c r="E1463" s="71" t="s">
        <v>45</v>
      </c>
      <c r="F1463" s="71" t="s">
        <v>38</v>
      </c>
      <c r="G1463" s="72">
        <v>136.4</v>
      </c>
      <c r="H1463" s="73">
        <v>1905</v>
      </c>
      <c r="I1463" s="73">
        <v>-442</v>
      </c>
      <c r="J1463" s="73">
        <v>-19</v>
      </c>
      <c r="K1463" s="73">
        <v>-418</v>
      </c>
      <c r="L1463" s="73">
        <v>-103</v>
      </c>
      <c r="M1463" s="73">
        <v>-64</v>
      </c>
      <c r="N1463" s="73">
        <v>-102</v>
      </c>
      <c r="O1463" s="73">
        <v>-60</v>
      </c>
      <c r="P1463" s="73">
        <v>-69</v>
      </c>
      <c r="Q1463" s="73">
        <v>-38</v>
      </c>
      <c r="R1463" s="73">
        <v>0</v>
      </c>
      <c r="S1463" s="73">
        <v>0</v>
      </c>
      <c r="T1463" s="73">
        <v>0</v>
      </c>
      <c r="U1463" s="73">
        <v>0</v>
      </c>
      <c r="V1463" s="73">
        <v>0</v>
      </c>
      <c r="W1463" s="73">
        <v>0</v>
      </c>
      <c r="X1463" s="73">
        <v>0</v>
      </c>
      <c r="Y1463" s="73">
        <v>0</v>
      </c>
      <c r="Z1463" s="73">
        <v>2109</v>
      </c>
      <c r="AA1463" s="73">
        <v>1796</v>
      </c>
      <c r="AB1463" s="73">
        <v>0</v>
      </c>
      <c r="AC1463" s="73">
        <v>0</v>
      </c>
      <c r="AD1463" s="73">
        <v>0</v>
      </c>
      <c r="AE1463" s="73">
        <v>0</v>
      </c>
      <c r="AF1463" s="74">
        <f>tblData[[#This Row],[Gross Sales]]+tblData[[#This Row],[Trade Discounts]]+tblData[[#This Row],[Returns]]</f>
        <v>1444</v>
      </c>
      <c r="AG1463" s="74">
        <f>tblData[[#This Row],[Material Cost]]+tblData[[#This Row],[Conversion Cost]]+tblData[[#This Row],[Inbound Freight]]</f>
        <v>-585</v>
      </c>
      <c r="AH1463" s="74">
        <f>tblData[[#This Row],[Net Revenue]]+tblData[[#This Row],[COGS]]</f>
        <v>859</v>
      </c>
      <c r="AI1463" s="74">
        <f>tblData[[#This Row],[Advertising]]+tblData[[#This Row],[Promotions]]</f>
        <v>-162</v>
      </c>
      <c r="AJ1463" s="74">
        <f>tblData[[#This Row],[Outbound Logistics]]+tblData[[#This Row],[Direct Selling]]</f>
        <v>-107</v>
      </c>
      <c r="AK1463" s="74">
        <f>tblData[[#This Row],[Gross Profit]]+tblData[[#This Row],[AP Spend]]+tblData[[#This Row],[Cost to Serve]]</f>
        <v>590</v>
      </c>
    </row>
    <row r="1464" spans="2:37" x14ac:dyDescent="0.25">
      <c r="B1464" s="71" t="s">
        <v>36</v>
      </c>
      <c r="C1464" s="71">
        <v>2026</v>
      </c>
      <c r="D1464" s="71">
        <v>3</v>
      </c>
      <c r="E1464" s="71" t="s">
        <v>45</v>
      </c>
      <c r="F1464" s="71" t="s">
        <v>39</v>
      </c>
      <c r="G1464" s="72">
        <v>172.6</v>
      </c>
      <c r="H1464" s="73">
        <v>1544</v>
      </c>
      <c r="I1464" s="73">
        <v>-358</v>
      </c>
      <c r="J1464" s="73">
        <v>-15</v>
      </c>
      <c r="K1464" s="73">
        <v>-406</v>
      </c>
      <c r="L1464" s="73">
        <v>-100</v>
      </c>
      <c r="M1464" s="73">
        <v>-62</v>
      </c>
      <c r="N1464" s="73">
        <v>-58</v>
      </c>
      <c r="O1464" s="73">
        <v>-34</v>
      </c>
      <c r="P1464" s="73">
        <v>-56</v>
      </c>
      <c r="Q1464" s="73">
        <v>-31</v>
      </c>
      <c r="R1464" s="73">
        <v>0</v>
      </c>
      <c r="S1464" s="73">
        <v>0</v>
      </c>
      <c r="T1464" s="73">
        <v>0</v>
      </c>
      <c r="U1464" s="73">
        <v>0</v>
      </c>
      <c r="V1464" s="73">
        <v>0</v>
      </c>
      <c r="W1464" s="73">
        <v>0</v>
      </c>
      <c r="X1464" s="73">
        <v>0</v>
      </c>
      <c r="Y1464" s="73">
        <v>0</v>
      </c>
      <c r="Z1464" s="73">
        <v>1717</v>
      </c>
      <c r="AA1464" s="73">
        <v>1494</v>
      </c>
      <c r="AB1464" s="73">
        <v>0</v>
      </c>
      <c r="AC1464" s="73">
        <v>0</v>
      </c>
      <c r="AD1464" s="73">
        <v>0</v>
      </c>
      <c r="AE1464" s="73">
        <v>0</v>
      </c>
      <c r="AF1464" s="74">
        <f>tblData[[#This Row],[Gross Sales]]+tblData[[#This Row],[Trade Discounts]]+tblData[[#This Row],[Returns]]</f>
        <v>1171</v>
      </c>
      <c r="AG1464" s="74">
        <f>tblData[[#This Row],[Material Cost]]+tblData[[#This Row],[Conversion Cost]]+tblData[[#This Row],[Inbound Freight]]</f>
        <v>-568</v>
      </c>
      <c r="AH1464" s="74">
        <f>tblData[[#This Row],[Net Revenue]]+tblData[[#This Row],[COGS]]</f>
        <v>603</v>
      </c>
      <c r="AI1464" s="74">
        <f>tblData[[#This Row],[Advertising]]+tblData[[#This Row],[Promotions]]</f>
        <v>-92</v>
      </c>
      <c r="AJ1464" s="74">
        <f>tblData[[#This Row],[Outbound Logistics]]+tblData[[#This Row],[Direct Selling]]</f>
        <v>-87</v>
      </c>
      <c r="AK1464" s="74">
        <f>tblData[[#This Row],[Gross Profit]]+tblData[[#This Row],[AP Spend]]+tblData[[#This Row],[Cost to Serve]]</f>
        <v>424</v>
      </c>
    </row>
    <row r="1465" spans="2:37" x14ac:dyDescent="0.25">
      <c r="B1465" s="71" t="s">
        <v>36</v>
      </c>
      <c r="C1465" s="71">
        <v>2026</v>
      </c>
      <c r="D1465" s="71">
        <v>3</v>
      </c>
      <c r="E1465" s="71" t="s">
        <v>45</v>
      </c>
      <c r="F1465" s="71" t="s">
        <v>40</v>
      </c>
      <c r="G1465" s="72">
        <v>168.1</v>
      </c>
      <c r="H1465" s="73">
        <v>1167</v>
      </c>
      <c r="I1465" s="73">
        <v>-271</v>
      </c>
      <c r="J1465" s="73">
        <v>-12</v>
      </c>
      <c r="K1465" s="73">
        <v>-341</v>
      </c>
      <c r="L1465" s="73">
        <v>-84</v>
      </c>
      <c r="M1465" s="73">
        <v>-52</v>
      </c>
      <c r="N1465" s="73">
        <v>-29</v>
      </c>
      <c r="O1465" s="73">
        <v>-17</v>
      </c>
      <c r="P1465" s="73">
        <v>-42</v>
      </c>
      <c r="Q1465" s="73">
        <v>-23</v>
      </c>
      <c r="R1465" s="73">
        <v>0</v>
      </c>
      <c r="S1465" s="73">
        <v>0</v>
      </c>
      <c r="T1465" s="73">
        <v>0</v>
      </c>
      <c r="U1465" s="73">
        <v>0</v>
      </c>
      <c r="V1465" s="73">
        <v>0</v>
      </c>
      <c r="W1465" s="73">
        <v>0</v>
      </c>
      <c r="X1465" s="73">
        <v>0</v>
      </c>
      <c r="Y1465" s="73">
        <v>0</v>
      </c>
      <c r="Z1465" s="73">
        <v>1288</v>
      </c>
      <c r="AA1465" s="73">
        <v>1173</v>
      </c>
      <c r="AB1465" s="73">
        <v>0</v>
      </c>
      <c r="AC1465" s="73">
        <v>0</v>
      </c>
      <c r="AD1465" s="73">
        <v>0</v>
      </c>
      <c r="AE1465" s="73">
        <v>0</v>
      </c>
      <c r="AF1465" s="74">
        <f>tblData[[#This Row],[Gross Sales]]+tblData[[#This Row],[Trade Discounts]]+tblData[[#This Row],[Returns]]</f>
        <v>884</v>
      </c>
      <c r="AG1465" s="74">
        <f>tblData[[#This Row],[Material Cost]]+tblData[[#This Row],[Conversion Cost]]+tblData[[#This Row],[Inbound Freight]]</f>
        <v>-477</v>
      </c>
      <c r="AH1465" s="74">
        <f>tblData[[#This Row],[Net Revenue]]+tblData[[#This Row],[COGS]]</f>
        <v>407</v>
      </c>
      <c r="AI1465" s="74">
        <f>tblData[[#This Row],[Advertising]]+tblData[[#This Row],[Promotions]]</f>
        <v>-46</v>
      </c>
      <c r="AJ1465" s="74">
        <f>tblData[[#This Row],[Outbound Logistics]]+tblData[[#This Row],[Direct Selling]]</f>
        <v>-65</v>
      </c>
      <c r="AK1465" s="74">
        <f>tblData[[#This Row],[Gross Profit]]+tblData[[#This Row],[AP Spend]]+tblData[[#This Row],[Cost to Serve]]</f>
        <v>296</v>
      </c>
    </row>
    <row r="1466" spans="2:37" x14ac:dyDescent="0.25">
      <c r="B1466" s="71" t="s">
        <v>36</v>
      </c>
      <c r="C1466" s="71">
        <v>2026</v>
      </c>
      <c r="D1466" s="71">
        <v>3</v>
      </c>
      <c r="E1466" s="71" t="s">
        <v>45</v>
      </c>
      <c r="F1466" s="71" t="s">
        <v>41</v>
      </c>
      <c r="G1466" s="72">
        <v>81.7</v>
      </c>
      <c r="H1466" s="73">
        <v>894</v>
      </c>
      <c r="I1466" s="73">
        <v>-207</v>
      </c>
      <c r="J1466" s="73">
        <v>-9</v>
      </c>
      <c r="K1466" s="73">
        <v>-216</v>
      </c>
      <c r="L1466" s="73">
        <v>-53</v>
      </c>
      <c r="M1466" s="73">
        <v>-33</v>
      </c>
      <c r="N1466" s="73">
        <v>-62</v>
      </c>
      <c r="O1466" s="73">
        <v>-37</v>
      </c>
      <c r="P1466" s="73">
        <v>-32</v>
      </c>
      <c r="Q1466" s="73">
        <v>-18</v>
      </c>
      <c r="R1466" s="73">
        <v>0</v>
      </c>
      <c r="S1466" s="73">
        <v>0</v>
      </c>
      <c r="T1466" s="73">
        <v>0</v>
      </c>
      <c r="U1466" s="73">
        <v>0</v>
      </c>
      <c r="V1466" s="73">
        <v>0</v>
      </c>
      <c r="W1466" s="73">
        <v>0</v>
      </c>
      <c r="X1466" s="73">
        <v>0</v>
      </c>
      <c r="Y1466" s="73">
        <v>0</v>
      </c>
      <c r="Z1466" s="73">
        <v>1002</v>
      </c>
      <c r="AA1466" s="73">
        <v>893</v>
      </c>
      <c r="AB1466" s="73">
        <v>0</v>
      </c>
      <c r="AC1466" s="73">
        <v>0</v>
      </c>
      <c r="AD1466" s="73">
        <v>0</v>
      </c>
      <c r="AE1466" s="73">
        <v>0</v>
      </c>
      <c r="AF1466" s="74">
        <f>tblData[[#This Row],[Gross Sales]]+tblData[[#This Row],[Trade Discounts]]+tblData[[#This Row],[Returns]]</f>
        <v>678</v>
      </c>
      <c r="AG1466" s="74">
        <f>tblData[[#This Row],[Material Cost]]+tblData[[#This Row],[Conversion Cost]]+tblData[[#This Row],[Inbound Freight]]</f>
        <v>-302</v>
      </c>
      <c r="AH1466" s="74">
        <f>tblData[[#This Row],[Net Revenue]]+tblData[[#This Row],[COGS]]</f>
        <v>376</v>
      </c>
      <c r="AI1466" s="74">
        <f>tblData[[#This Row],[Advertising]]+tblData[[#This Row],[Promotions]]</f>
        <v>-99</v>
      </c>
      <c r="AJ1466" s="74">
        <f>tblData[[#This Row],[Outbound Logistics]]+tblData[[#This Row],[Direct Selling]]</f>
        <v>-50</v>
      </c>
      <c r="AK1466" s="74">
        <f>tblData[[#This Row],[Gross Profit]]+tblData[[#This Row],[AP Spend]]+tblData[[#This Row],[Cost to Serve]]</f>
        <v>227</v>
      </c>
    </row>
    <row r="1467" spans="2:37" x14ac:dyDescent="0.25">
      <c r="B1467" s="71" t="s">
        <v>36</v>
      </c>
      <c r="C1467" s="71">
        <v>2026</v>
      </c>
      <c r="D1467" s="71">
        <v>3</v>
      </c>
      <c r="E1467" s="71" t="s">
        <v>45</v>
      </c>
      <c r="F1467" s="71" t="s">
        <v>42</v>
      </c>
      <c r="G1467" s="72">
        <v>103.6</v>
      </c>
      <c r="H1467" s="73">
        <v>614</v>
      </c>
      <c r="I1467" s="73">
        <v>-142</v>
      </c>
      <c r="J1467" s="73">
        <v>-6</v>
      </c>
      <c r="K1467" s="73">
        <v>-197</v>
      </c>
      <c r="L1467" s="73">
        <v>-49</v>
      </c>
      <c r="M1467" s="73">
        <v>-30</v>
      </c>
      <c r="N1467" s="73">
        <v>-12</v>
      </c>
      <c r="O1467" s="73">
        <v>-7</v>
      </c>
      <c r="P1467" s="73">
        <v>-22</v>
      </c>
      <c r="Q1467" s="73">
        <v>-12</v>
      </c>
      <c r="R1467" s="73">
        <v>0</v>
      </c>
      <c r="S1467" s="73">
        <v>0</v>
      </c>
      <c r="T1467" s="73">
        <v>0</v>
      </c>
      <c r="U1467" s="73">
        <v>0</v>
      </c>
      <c r="V1467" s="73">
        <v>0</v>
      </c>
      <c r="W1467" s="73">
        <v>0</v>
      </c>
      <c r="X1467" s="73">
        <v>0</v>
      </c>
      <c r="Y1467" s="73">
        <v>0</v>
      </c>
      <c r="Z1467" s="73">
        <v>666</v>
      </c>
      <c r="AA1467" s="73">
        <v>1030</v>
      </c>
      <c r="AB1467" s="73">
        <v>0</v>
      </c>
      <c r="AC1467" s="73">
        <v>0</v>
      </c>
      <c r="AD1467" s="73">
        <v>0</v>
      </c>
      <c r="AE1467" s="73">
        <v>0</v>
      </c>
      <c r="AF1467" s="74">
        <f>tblData[[#This Row],[Gross Sales]]+tblData[[#This Row],[Trade Discounts]]+tblData[[#This Row],[Returns]]</f>
        <v>466</v>
      </c>
      <c r="AG1467" s="74">
        <f>tblData[[#This Row],[Material Cost]]+tblData[[#This Row],[Conversion Cost]]+tblData[[#This Row],[Inbound Freight]]</f>
        <v>-276</v>
      </c>
      <c r="AH1467" s="74">
        <f>tblData[[#This Row],[Net Revenue]]+tblData[[#This Row],[COGS]]</f>
        <v>190</v>
      </c>
      <c r="AI1467" s="74">
        <f>tblData[[#This Row],[Advertising]]+tblData[[#This Row],[Promotions]]</f>
        <v>-19</v>
      </c>
      <c r="AJ1467" s="74">
        <f>tblData[[#This Row],[Outbound Logistics]]+tblData[[#This Row],[Direct Selling]]</f>
        <v>-34</v>
      </c>
      <c r="AK1467" s="74">
        <f>tblData[[#This Row],[Gross Profit]]+tblData[[#This Row],[AP Spend]]+tblData[[#This Row],[Cost to Serve]]</f>
        <v>137</v>
      </c>
    </row>
    <row r="1468" spans="2:37" x14ac:dyDescent="0.25">
      <c r="B1468" s="71" t="s">
        <v>36</v>
      </c>
      <c r="C1468" s="71">
        <v>2026</v>
      </c>
      <c r="D1468" s="71">
        <v>3</v>
      </c>
      <c r="E1468" s="71" t="s">
        <v>45</v>
      </c>
      <c r="F1468" s="71" t="s">
        <v>43</v>
      </c>
      <c r="G1468" s="72">
        <v>19</v>
      </c>
      <c r="H1468" s="73">
        <v>339</v>
      </c>
      <c r="I1468" s="73">
        <v>-79</v>
      </c>
      <c r="J1468" s="73">
        <v>-3</v>
      </c>
      <c r="K1468" s="73">
        <v>-94</v>
      </c>
      <c r="L1468" s="73">
        <v>-23</v>
      </c>
      <c r="M1468" s="73">
        <v>-14</v>
      </c>
      <c r="N1468" s="73">
        <v>-34</v>
      </c>
      <c r="O1468" s="73">
        <v>-20</v>
      </c>
      <c r="P1468" s="73">
        <v>-12</v>
      </c>
      <c r="Q1468" s="73">
        <v>-7</v>
      </c>
      <c r="R1468" s="73">
        <v>0</v>
      </c>
      <c r="S1468" s="73">
        <v>0</v>
      </c>
      <c r="T1468" s="73">
        <v>0</v>
      </c>
      <c r="U1468" s="73">
        <v>0</v>
      </c>
      <c r="V1468" s="73">
        <v>0</v>
      </c>
      <c r="W1468" s="73">
        <v>0</v>
      </c>
      <c r="X1468" s="73">
        <v>0</v>
      </c>
      <c r="Y1468" s="73">
        <v>0</v>
      </c>
      <c r="Z1468" s="73">
        <v>374</v>
      </c>
      <c r="AA1468" s="73">
        <v>504</v>
      </c>
      <c r="AB1468" s="73">
        <v>0</v>
      </c>
      <c r="AC1468" s="73">
        <v>0</v>
      </c>
      <c r="AD1468" s="73">
        <v>0</v>
      </c>
      <c r="AE1468" s="73">
        <v>0</v>
      </c>
      <c r="AF1468" s="74">
        <f>tblData[[#This Row],[Gross Sales]]+tblData[[#This Row],[Trade Discounts]]+tblData[[#This Row],[Returns]]</f>
        <v>257</v>
      </c>
      <c r="AG1468" s="74">
        <f>tblData[[#This Row],[Material Cost]]+tblData[[#This Row],[Conversion Cost]]+tblData[[#This Row],[Inbound Freight]]</f>
        <v>-131</v>
      </c>
      <c r="AH1468" s="74">
        <f>tblData[[#This Row],[Net Revenue]]+tblData[[#This Row],[COGS]]</f>
        <v>126</v>
      </c>
      <c r="AI1468" s="74">
        <f>tblData[[#This Row],[Advertising]]+tblData[[#This Row],[Promotions]]</f>
        <v>-54</v>
      </c>
      <c r="AJ1468" s="74">
        <f>tblData[[#This Row],[Outbound Logistics]]+tblData[[#This Row],[Direct Selling]]</f>
        <v>-19</v>
      </c>
      <c r="AK1468" s="74">
        <f>tblData[[#This Row],[Gross Profit]]+tblData[[#This Row],[AP Spend]]+tblData[[#This Row],[Cost to Serve]]</f>
        <v>53</v>
      </c>
    </row>
    <row r="1469" spans="2:37" x14ac:dyDescent="0.25">
      <c r="B1469" s="71" t="s">
        <v>36</v>
      </c>
      <c r="C1469" s="71">
        <v>2026</v>
      </c>
      <c r="D1469" s="71">
        <v>3</v>
      </c>
      <c r="E1469" s="71" t="s">
        <v>46</v>
      </c>
      <c r="F1469" s="71" t="s">
        <v>38</v>
      </c>
      <c r="G1469" s="72">
        <v>177.1</v>
      </c>
      <c r="H1469" s="73">
        <v>2500</v>
      </c>
      <c r="I1469" s="73">
        <v>-270</v>
      </c>
      <c r="J1469" s="73">
        <v>-100</v>
      </c>
      <c r="K1469" s="73">
        <v>-548</v>
      </c>
      <c r="L1469" s="73">
        <v>-135</v>
      </c>
      <c r="M1469" s="73">
        <v>-84</v>
      </c>
      <c r="N1469" s="73">
        <v>-117</v>
      </c>
      <c r="O1469" s="73">
        <v>-69</v>
      </c>
      <c r="P1469" s="73">
        <v>-193</v>
      </c>
      <c r="Q1469" s="73">
        <v>-50</v>
      </c>
      <c r="R1469" s="73">
        <v>0</v>
      </c>
      <c r="S1469" s="73">
        <v>0</v>
      </c>
      <c r="T1469" s="73">
        <v>0</v>
      </c>
      <c r="U1469" s="73">
        <v>0</v>
      </c>
      <c r="V1469" s="73">
        <v>0</v>
      </c>
      <c r="W1469" s="73">
        <v>0</v>
      </c>
      <c r="X1469" s="73">
        <v>0</v>
      </c>
      <c r="Y1469" s="73">
        <v>0</v>
      </c>
      <c r="Z1469" s="73">
        <v>1781</v>
      </c>
      <c r="AA1469" s="73">
        <v>2314</v>
      </c>
      <c r="AB1469" s="73">
        <v>0</v>
      </c>
      <c r="AC1469" s="73">
        <v>0</v>
      </c>
      <c r="AD1469" s="73">
        <v>0</v>
      </c>
      <c r="AE1469" s="73">
        <v>0</v>
      </c>
      <c r="AF1469" s="74">
        <f>tblData[[#This Row],[Gross Sales]]+tblData[[#This Row],[Trade Discounts]]+tblData[[#This Row],[Returns]]</f>
        <v>2130</v>
      </c>
      <c r="AG1469" s="74">
        <f>tblData[[#This Row],[Material Cost]]+tblData[[#This Row],[Conversion Cost]]+tblData[[#This Row],[Inbound Freight]]</f>
        <v>-767</v>
      </c>
      <c r="AH1469" s="74">
        <f>tblData[[#This Row],[Net Revenue]]+tblData[[#This Row],[COGS]]</f>
        <v>1363</v>
      </c>
      <c r="AI1469" s="74">
        <f>tblData[[#This Row],[Advertising]]+tblData[[#This Row],[Promotions]]</f>
        <v>-186</v>
      </c>
      <c r="AJ1469" s="74">
        <f>tblData[[#This Row],[Outbound Logistics]]+tblData[[#This Row],[Direct Selling]]</f>
        <v>-243</v>
      </c>
      <c r="AK1469" s="74">
        <f>tblData[[#This Row],[Gross Profit]]+tblData[[#This Row],[AP Spend]]+tblData[[#This Row],[Cost to Serve]]</f>
        <v>934</v>
      </c>
    </row>
    <row r="1470" spans="2:37" x14ac:dyDescent="0.25">
      <c r="B1470" s="71" t="s">
        <v>36</v>
      </c>
      <c r="C1470" s="71">
        <v>2026</v>
      </c>
      <c r="D1470" s="71">
        <v>3</v>
      </c>
      <c r="E1470" s="71" t="s">
        <v>46</v>
      </c>
      <c r="F1470" s="71" t="s">
        <v>39</v>
      </c>
      <c r="G1470" s="72">
        <v>222.7</v>
      </c>
      <c r="H1470" s="73">
        <v>2012</v>
      </c>
      <c r="I1470" s="73">
        <v>-217</v>
      </c>
      <c r="J1470" s="73">
        <v>-80</v>
      </c>
      <c r="K1470" s="73">
        <v>-529</v>
      </c>
      <c r="L1470" s="73">
        <v>-130</v>
      </c>
      <c r="M1470" s="73">
        <v>-81</v>
      </c>
      <c r="N1470" s="73">
        <v>-67</v>
      </c>
      <c r="O1470" s="73">
        <v>-39</v>
      </c>
      <c r="P1470" s="73">
        <v>-155</v>
      </c>
      <c r="Q1470" s="73">
        <v>-40</v>
      </c>
      <c r="R1470" s="73">
        <v>0</v>
      </c>
      <c r="S1470" s="73">
        <v>0</v>
      </c>
      <c r="T1470" s="73">
        <v>0</v>
      </c>
      <c r="U1470" s="73">
        <v>0</v>
      </c>
      <c r="V1470" s="73">
        <v>0</v>
      </c>
      <c r="W1470" s="73">
        <v>0</v>
      </c>
      <c r="X1470" s="73">
        <v>0</v>
      </c>
      <c r="Y1470" s="73">
        <v>0</v>
      </c>
      <c r="Z1470" s="73">
        <v>1449</v>
      </c>
      <c r="AA1470" s="73">
        <v>1923</v>
      </c>
      <c r="AB1470" s="73">
        <v>0</v>
      </c>
      <c r="AC1470" s="73">
        <v>0</v>
      </c>
      <c r="AD1470" s="73">
        <v>0</v>
      </c>
      <c r="AE1470" s="73">
        <v>0</v>
      </c>
      <c r="AF1470" s="74">
        <f>tblData[[#This Row],[Gross Sales]]+tblData[[#This Row],[Trade Discounts]]+tblData[[#This Row],[Returns]]</f>
        <v>1715</v>
      </c>
      <c r="AG1470" s="74">
        <f>tblData[[#This Row],[Material Cost]]+tblData[[#This Row],[Conversion Cost]]+tblData[[#This Row],[Inbound Freight]]</f>
        <v>-740</v>
      </c>
      <c r="AH1470" s="74">
        <f>tblData[[#This Row],[Net Revenue]]+tblData[[#This Row],[COGS]]</f>
        <v>975</v>
      </c>
      <c r="AI1470" s="74">
        <f>tblData[[#This Row],[Advertising]]+tblData[[#This Row],[Promotions]]</f>
        <v>-106</v>
      </c>
      <c r="AJ1470" s="74">
        <f>tblData[[#This Row],[Outbound Logistics]]+tblData[[#This Row],[Direct Selling]]</f>
        <v>-195</v>
      </c>
      <c r="AK1470" s="74">
        <f>tblData[[#This Row],[Gross Profit]]+tblData[[#This Row],[AP Spend]]+tblData[[#This Row],[Cost to Serve]]</f>
        <v>674</v>
      </c>
    </row>
    <row r="1471" spans="2:37" x14ac:dyDescent="0.25">
      <c r="B1471" s="71" t="s">
        <v>36</v>
      </c>
      <c r="C1471" s="71">
        <v>2026</v>
      </c>
      <c r="D1471" s="71">
        <v>3</v>
      </c>
      <c r="E1471" s="71" t="s">
        <v>46</v>
      </c>
      <c r="F1471" s="71" t="s">
        <v>40</v>
      </c>
      <c r="G1471" s="72">
        <v>212.4</v>
      </c>
      <c r="H1471" s="73">
        <v>1489</v>
      </c>
      <c r="I1471" s="73">
        <v>-161</v>
      </c>
      <c r="J1471" s="73">
        <v>-60</v>
      </c>
      <c r="K1471" s="73">
        <v>-435</v>
      </c>
      <c r="L1471" s="73">
        <v>-107</v>
      </c>
      <c r="M1471" s="73">
        <v>-67</v>
      </c>
      <c r="N1471" s="73">
        <v>-33</v>
      </c>
      <c r="O1471" s="73">
        <v>-20</v>
      </c>
      <c r="P1471" s="73">
        <v>-115</v>
      </c>
      <c r="Q1471" s="73">
        <v>-30</v>
      </c>
      <c r="R1471" s="73">
        <v>0</v>
      </c>
      <c r="S1471" s="73">
        <v>0</v>
      </c>
      <c r="T1471" s="73">
        <v>0</v>
      </c>
      <c r="U1471" s="73">
        <v>0</v>
      </c>
      <c r="V1471" s="73">
        <v>0</v>
      </c>
      <c r="W1471" s="73">
        <v>0</v>
      </c>
      <c r="X1471" s="73">
        <v>0</v>
      </c>
      <c r="Y1471" s="73">
        <v>0</v>
      </c>
      <c r="Z1471" s="73">
        <v>1074</v>
      </c>
      <c r="AA1471" s="73">
        <v>1492</v>
      </c>
      <c r="AB1471" s="73">
        <v>0</v>
      </c>
      <c r="AC1471" s="73">
        <v>0</v>
      </c>
      <c r="AD1471" s="73">
        <v>0</v>
      </c>
      <c r="AE1471" s="73">
        <v>0</v>
      </c>
      <c r="AF1471" s="74">
        <f>tblData[[#This Row],[Gross Sales]]+tblData[[#This Row],[Trade Discounts]]+tblData[[#This Row],[Returns]]</f>
        <v>1268</v>
      </c>
      <c r="AG1471" s="74">
        <f>tblData[[#This Row],[Material Cost]]+tblData[[#This Row],[Conversion Cost]]+tblData[[#This Row],[Inbound Freight]]</f>
        <v>-609</v>
      </c>
      <c r="AH1471" s="74">
        <f>tblData[[#This Row],[Net Revenue]]+tblData[[#This Row],[COGS]]</f>
        <v>659</v>
      </c>
      <c r="AI1471" s="74">
        <f>tblData[[#This Row],[Advertising]]+tblData[[#This Row],[Promotions]]</f>
        <v>-53</v>
      </c>
      <c r="AJ1471" s="74">
        <f>tblData[[#This Row],[Outbound Logistics]]+tblData[[#This Row],[Direct Selling]]</f>
        <v>-145</v>
      </c>
      <c r="AK1471" s="74">
        <f>tblData[[#This Row],[Gross Profit]]+tblData[[#This Row],[AP Spend]]+tblData[[#This Row],[Cost to Serve]]</f>
        <v>461</v>
      </c>
    </row>
    <row r="1472" spans="2:37" x14ac:dyDescent="0.25">
      <c r="B1472" s="71" t="s">
        <v>36</v>
      </c>
      <c r="C1472" s="71">
        <v>2026</v>
      </c>
      <c r="D1472" s="71">
        <v>3</v>
      </c>
      <c r="E1472" s="71" t="s">
        <v>46</v>
      </c>
      <c r="F1472" s="71" t="s">
        <v>41</v>
      </c>
      <c r="G1472" s="72">
        <v>103.1</v>
      </c>
      <c r="H1472" s="73">
        <v>1139</v>
      </c>
      <c r="I1472" s="73">
        <v>-123</v>
      </c>
      <c r="J1472" s="73">
        <v>-46</v>
      </c>
      <c r="K1472" s="73">
        <v>-275</v>
      </c>
      <c r="L1472" s="73">
        <v>-68</v>
      </c>
      <c r="M1472" s="73">
        <v>-42</v>
      </c>
      <c r="N1472" s="73">
        <v>-71</v>
      </c>
      <c r="O1472" s="73">
        <v>-42</v>
      </c>
      <c r="P1472" s="73">
        <v>-88</v>
      </c>
      <c r="Q1472" s="73">
        <v>-23</v>
      </c>
      <c r="R1472" s="73">
        <v>0</v>
      </c>
      <c r="S1472" s="73">
        <v>0</v>
      </c>
      <c r="T1472" s="73">
        <v>0</v>
      </c>
      <c r="U1472" s="73">
        <v>0</v>
      </c>
      <c r="V1472" s="73">
        <v>0</v>
      </c>
      <c r="W1472" s="73">
        <v>0</v>
      </c>
      <c r="X1472" s="73">
        <v>0</v>
      </c>
      <c r="Y1472" s="73">
        <v>0</v>
      </c>
      <c r="Z1472" s="73">
        <v>837</v>
      </c>
      <c r="AA1472" s="73">
        <v>1136</v>
      </c>
      <c r="AB1472" s="73">
        <v>0</v>
      </c>
      <c r="AC1472" s="73">
        <v>0</v>
      </c>
      <c r="AD1472" s="73">
        <v>0</v>
      </c>
      <c r="AE1472" s="73">
        <v>0</v>
      </c>
      <c r="AF1472" s="74">
        <f>tblData[[#This Row],[Gross Sales]]+tblData[[#This Row],[Trade Discounts]]+tblData[[#This Row],[Returns]]</f>
        <v>970</v>
      </c>
      <c r="AG1472" s="74">
        <f>tblData[[#This Row],[Material Cost]]+tblData[[#This Row],[Conversion Cost]]+tblData[[#This Row],[Inbound Freight]]</f>
        <v>-385</v>
      </c>
      <c r="AH1472" s="74">
        <f>tblData[[#This Row],[Net Revenue]]+tblData[[#This Row],[COGS]]</f>
        <v>585</v>
      </c>
      <c r="AI1472" s="74">
        <f>tblData[[#This Row],[Advertising]]+tblData[[#This Row],[Promotions]]</f>
        <v>-113</v>
      </c>
      <c r="AJ1472" s="74">
        <f>tblData[[#This Row],[Outbound Logistics]]+tblData[[#This Row],[Direct Selling]]</f>
        <v>-111</v>
      </c>
      <c r="AK1472" s="74">
        <f>tblData[[#This Row],[Gross Profit]]+tblData[[#This Row],[AP Spend]]+tblData[[#This Row],[Cost to Serve]]</f>
        <v>361</v>
      </c>
    </row>
    <row r="1473" spans="2:37" x14ac:dyDescent="0.25">
      <c r="B1473" s="71" t="s">
        <v>36</v>
      </c>
      <c r="C1473" s="71">
        <v>2026</v>
      </c>
      <c r="D1473" s="71">
        <v>3</v>
      </c>
      <c r="E1473" s="71" t="s">
        <v>46</v>
      </c>
      <c r="F1473" s="71" t="s">
        <v>42</v>
      </c>
      <c r="G1473" s="72">
        <v>123.9</v>
      </c>
      <c r="H1473" s="73">
        <v>742</v>
      </c>
      <c r="I1473" s="73">
        <v>-80</v>
      </c>
      <c r="J1473" s="73">
        <v>-30</v>
      </c>
      <c r="K1473" s="73">
        <v>-239</v>
      </c>
      <c r="L1473" s="73">
        <v>-59</v>
      </c>
      <c r="M1473" s="73">
        <v>-37</v>
      </c>
      <c r="N1473" s="73">
        <v>-14</v>
      </c>
      <c r="O1473" s="73">
        <v>-8</v>
      </c>
      <c r="P1473" s="73">
        <v>-57</v>
      </c>
      <c r="Q1473" s="73">
        <v>-15</v>
      </c>
      <c r="R1473" s="73">
        <v>0</v>
      </c>
      <c r="S1473" s="73">
        <v>0</v>
      </c>
      <c r="T1473" s="73">
        <v>0</v>
      </c>
      <c r="U1473" s="73">
        <v>0</v>
      </c>
      <c r="V1473" s="73">
        <v>0</v>
      </c>
      <c r="W1473" s="73">
        <v>0</v>
      </c>
      <c r="X1473" s="73">
        <v>0</v>
      </c>
      <c r="Y1473" s="73">
        <v>0</v>
      </c>
      <c r="Z1473" s="73">
        <v>551</v>
      </c>
      <c r="AA1473" s="73">
        <v>1300</v>
      </c>
      <c r="AB1473" s="73">
        <v>0</v>
      </c>
      <c r="AC1473" s="73">
        <v>0</v>
      </c>
      <c r="AD1473" s="73">
        <v>0</v>
      </c>
      <c r="AE1473" s="73">
        <v>0</v>
      </c>
      <c r="AF1473" s="74">
        <f>tblData[[#This Row],[Gross Sales]]+tblData[[#This Row],[Trade Discounts]]+tblData[[#This Row],[Returns]]</f>
        <v>632</v>
      </c>
      <c r="AG1473" s="74">
        <f>tblData[[#This Row],[Material Cost]]+tblData[[#This Row],[Conversion Cost]]+tblData[[#This Row],[Inbound Freight]]</f>
        <v>-335</v>
      </c>
      <c r="AH1473" s="74">
        <f>tblData[[#This Row],[Net Revenue]]+tblData[[#This Row],[COGS]]</f>
        <v>297</v>
      </c>
      <c r="AI1473" s="74">
        <f>tblData[[#This Row],[Advertising]]+tblData[[#This Row],[Promotions]]</f>
        <v>-22</v>
      </c>
      <c r="AJ1473" s="74">
        <f>tblData[[#This Row],[Outbound Logistics]]+tblData[[#This Row],[Direct Selling]]</f>
        <v>-72</v>
      </c>
      <c r="AK1473" s="74">
        <f>tblData[[#This Row],[Gross Profit]]+tblData[[#This Row],[AP Spend]]+tblData[[#This Row],[Cost to Serve]]</f>
        <v>203</v>
      </c>
    </row>
    <row r="1474" spans="2:37" x14ac:dyDescent="0.25">
      <c r="B1474" s="71" t="s">
        <v>36</v>
      </c>
      <c r="C1474" s="71">
        <v>2026</v>
      </c>
      <c r="D1474" s="71">
        <v>3</v>
      </c>
      <c r="E1474" s="71" t="s">
        <v>46</v>
      </c>
      <c r="F1474" s="71" t="s">
        <v>43</v>
      </c>
      <c r="G1474" s="72">
        <v>24.1</v>
      </c>
      <c r="H1474" s="73">
        <v>434</v>
      </c>
      <c r="I1474" s="73">
        <v>-47</v>
      </c>
      <c r="J1474" s="73">
        <v>-17</v>
      </c>
      <c r="K1474" s="73">
        <v>-121</v>
      </c>
      <c r="L1474" s="73">
        <v>-30</v>
      </c>
      <c r="M1474" s="73">
        <v>-18</v>
      </c>
      <c r="N1474" s="73">
        <v>-39</v>
      </c>
      <c r="O1474" s="73">
        <v>-23</v>
      </c>
      <c r="P1474" s="73">
        <v>-34</v>
      </c>
      <c r="Q1474" s="73">
        <v>-9</v>
      </c>
      <c r="R1474" s="73">
        <v>0</v>
      </c>
      <c r="S1474" s="73">
        <v>0</v>
      </c>
      <c r="T1474" s="73">
        <v>0</v>
      </c>
      <c r="U1474" s="73">
        <v>0</v>
      </c>
      <c r="V1474" s="73">
        <v>0</v>
      </c>
      <c r="W1474" s="73">
        <v>0</v>
      </c>
      <c r="X1474" s="73">
        <v>0</v>
      </c>
      <c r="Y1474" s="73">
        <v>0</v>
      </c>
      <c r="Z1474" s="73">
        <v>322</v>
      </c>
      <c r="AA1474" s="73">
        <v>661</v>
      </c>
      <c r="AB1474" s="73">
        <v>0</v>
      </c>
      <c r="AC1474" s="73">
        <v>0</v>
      </c>
      <c r="AD1474" s="73">
        <v>0</v>
      </c>
      <c r="AE1474" s="73">
        <v>0</v>
      </c>
      <c r="AF1474" s="74">
        <f>tblData[[#This Row],[Gross Sales]]+tblData[[#This Row],[Trade Discounts]]+tblData[[#This Row],[Returns]]</f>
        <v>370</v>
      </c>
      <c r="AG1474" s="74">
        <f>tblData[[#This Row],[Material Cost]]+tblData[[#This Row],[Conversion Cost]]+tblData[[#This Row],[Inbound Freight]]</f>
        <v>-169</v>
      </c>
      <c r="AH1474" s="74">
        <f>tblData[[#This Row],[Net Revenue]]+tblData[[#This Row],[COGS]]</f>
        <v>201</v>
      </c>
      <c r="AI1474" s="74">
        <f>tblData[[#This Row],[Advertising]]+tblData[[#This Row],[Promotions]]</f>
        <v>-62</v>
      </c>
      <c r="AJ1474" s="74">
        <f>tblData[[#This Row],[Outbound Logistics]]+tblData[[#This Row],[Direct Selling]]</f>
        <v>-43</v>
      </c>
      <c r="AK1474" s="74">
        <f>tblData[[#This Row],[Gross Profit]]+tblData[[#This Row],[AP Spend]]+tblData[[#This Row],[Cost to Serve]]</f>
        <v>96</v>
      </c>
    </row>
    <row r="1475" spans="2:37" x14ac:dyDescent="0.25">
      <c r="B1475" s="71" t="s">
        <v>36</v>
      </c>
      <c r="C1475" s="71">
        <v>2026</v>
      </c>
      <c r="D1475" s="71">
        <v>3</v>
      </c>
      <c r="E1475" s="71" t="s">
        <v>47</v>
      </c>
      <c r="F1475" s="71" t="s">
        <v>38</v>
      </c>
      <c r="G1475" s="72">
        <v>62.4</v>
      </c>
      <c r="H1475" s="73">
        <v>884</v>
      </c>
      <c r="I1475" s="73">
        <v>-27</v>
      </c>
      <c r="J1475" s="73">
        <v>-44</v>
      </c>
      <c r="K1475" s="73">
        <v>-194</v>
      </c>
      <c r="L1475" s="73">
        <v>-48</v>
      </c>
      <c r="M1475" s="73">
        <v>-30</v>
      </c>
      <c r="N1475" s="73">
        <v>-44</v>
      </c>
      <c r="O1475" s="73">
        <v>-26</v>
      </c>
      <c r="P1475" s="73">
        <v>-109</v>
      </c>
      <c r="Q1475" s="73">
        <v>-35</v>
      </c>
      <c r="R1475" s="73">
        <v>0</v>
      </c>
      <c r="S1475" s="73">
        <v>0</v>
      </c>
      <c r="T1475" s="73">
        <v>0</v>
      </c>
      <c r="U1475" s="73">
        <v>0</v>
      </c>
      <c r="V1475" s="73">
        <v>0</v>
      </c>
      <c r="W1475" s="73">
        <v>0</v>
      </c>
      <c r="X1475" s="73">
        <v>0</v>
      </c>
      <c r="Y1475" s="73">
        <v>0</v>
      </c>
      <c r="Z1475" s="73">
        <v>149</v>
      </c>
      <c r="AA1475" s="73">
        <v>838</v>
      </c>
      <c r="AB1475" s="73">
        <v>0</v>
      </c>
      <c r="AC1475" s="73">
        <v>0</v>
      </c>
      <c r="AD1475" s="73">
        <v>0</v>
      </c>
      <c r="AE1475" s="73">
        <v>0</v>
      </c>
      <c r="AF1475" s="74">
        <f>tblData[[#This Row],[Gross Sales]]+tblData[[#This Row],[Trade Discounts]]+tblData[[#This Row],[Returns]]</f>
        <v>813</v>
      </c>
      <c r="AG1475" s="74">
        <f>tblData[[#This Row],[Material Cost]]+tblData[[#This Row],[Conversion Cost]]+tblData[[#This Row],[Inbound Freight]]</f>
        <v>-272</v>
      </c>
      <c r="AH1475" s="74">
        <f>tblData[[#This Row],[Net Revenue]]+tblData[[#This Row],[COGS]]</f>
        <v>541</v>
      </c>
      <c r="AI1475" s="74">
        <f>tblData[[#This Row],[Advertising]]+tblData[[#This Row],[Promotions]]</f>
        <v>-70</v>
      </c>
      <c r="AJ1475" s="74">
        <f>tblData[[#This Row],[Outbound Logistics]]+tblData[[#This Row],[Direct Selling]]</f>
        <v>-144</v>
      </c>
      <c r="AK1475" s="74">
        <f>tblData[[#This Row],[Gross Profit]]+tblData[[#This Row],[AP Spend]]+tblData[[#This Row],[Cost to Serve]]</f>
        <v>327</v>
      </c>
    </row>
    <row r="1476" spans="2:37" x14ac:dyDescent="0.25">
      <c r="B1476" s="71" t="s">
        <v>36</v>
      </c>
      <c r="C1476" s="71">
        <v>2026</v>
      </c>
      <c r="D1476" s="71">
        <v>3</v>
      </c>
      <c r="E1476" s="71" t="s">
        <v>47</v>
      </c>
      <c r="F1476" s="71" t="s">
        <v>39</v>
      </c>
      <c r="G1476" s="72">
        <v>81.099999999999994</v>
      </c>
      <c r="H1476" s="73">
        <v>736</v>
      </c>
      <c r="I1476" s="73">
        <v>-22</v>
      </c>
      <c r="J1476" s="73">
        <v>-37</v>
      </c>
      <c r="K1476" s="73">
        <v>-194</v>
      </c>
      <c r="L1476" s="73">
        <v>-48</v>
      </c>
      <c r="M1476" s="73">
        <v>-30</v>
      </c>
      <c r="N1476" s="73">
        <v>-25</v>
      </c>
      <c r="O1476" s="73">
        <v>-15</v>
      </c>
      <c r="P1476" s="73">
        <v>-91</v>
      </c>
      <c r="Q1476" s="73">
        <v>-29</v>
      </c>
      <c r="R1476" s="73">
        <v>0</v>
      </c>
      <c r="S1476" s="73">
        <v>0</v>
      </c>
      <c r="T1476" s="73">
        <v>0</v>
      </c>
      <c r="U1476" s="73">
        <v>0</v>
      </c>
      <c r="V1476" s="73">
        <v>0</v>
      </c>
      <c r="W1476" s="73">
        <v>0</v>
      </c>
      <c r="X1476" s="73">
        <v>0</v>
      </c>
      <c r="Y1476" s="73">
        <v>0</v>
      </c>
      <c r="Z1476" s="73">
        <v>123</v>
      </c>
      <c r="AA1476" s="73">
        <v>703</v>
      </c>
      <c r="AB1476" s="73">
        <v>0</v>
      </c>
      <c r="AC1476" s="73">
        <v>0</v>
      </c>
      <c r="AD1476" s="73">
        <v>0</v>
      </c>
      <c r="AE1476" s="73">
        <v>0</v>
      </c>
      <c r="AF1476" s="74">
        <f>tblData[[#This Row],[Gross Sales]]+tblData[[#This Row],[Trade Discounts]]+tblData[[#This Row],[Returns]]</f>
        <v>677</v>
      </c>
      <c r="AG1476" s="74">
        <f>tblData[[#This Row],[Material Cost]]+tblData[[#This Row],[Conversion Cost]]+tblData[[#This Row],[Inbound Freight]]</f>
        <v>-272</v>
      </c>
      <c r="AH1476" s="74">
        <f>tblData[[#This Row],[Net Revenue]]+tblData[[#This Row],[COGS]]</f>
        <v>405</v>
      </c>
      <c r="AI1476" s="74">
        <f>tblData[[#This Row],[Advertising]]+tblData[[#This Row],[Promotions]]</f>
        <v>-40</v>
      </c>
      <c r="AJ1476" s="74">
        <f>tblData[[#This Row],[Outbound Logistics]]+tblData[[#This Row],[Direct Selling]]</f>
        <v>-120</v>
      </c>
      <c r="AK1476" s="74">
        <f>tblData[[#This Row],[Gross Profit]]+tblData[[#This Row],[AP Spend]]+tblData[[#This Row],[Cost to Serve]]</f>
        <v>245</v>
      </c>
    </row>
    <row r="1477" spans="2:37" x14ac:dyDescent="0.25">
      <c r="B1477" s="71" t="s">
        <v>36</v>
      </c>
      <c r="C1477" s="71">
        <v>2026</v>
      </c>
      <c r="D1477" s="71">
        <v>3</v>
      </c>
      <c r="E1477" s="71" t="s">
        <v>47</v>
      </c>
      <c r="F1477" s="71" t="s">
        <v>40</v>
      </c>
      <c r="G1477" s="72">
        <v>78.5</v>
      </c>
      <c r="H1477" s="73">
        <v>553</v>
      </c>
      <c r="I1477" s="73">
        <v>-17</v>
      </c>
      <c r="J1477" s="73">
        <v>-28</v>
      </c>
      <c r="K1477" s="73">
        <v>-162</v>
      </c>
      <c r="L1477" s="73">
        <v>-40</v>
      </c>
      <c r="M1477" s="73">
        <v>-25</v>
      </c>
      <c r="N1477" s="73">
        <v>-13</v>
      </c>
      <c r="O1477" s="73">
        <v>-7</v>
      </c>
      <c r="P1477" s="73">
        <v>-68</v>
      </c>
      <c r="Q1477" s="73">
        <v>-22</v>
      </c>
      <c r="R1477" s="73">
        <v>0</v>
      </c>
      <c r="S1477" s="73">
        <v>0</v>
      </c>
      <c r="T1477" s="73">
        <v>0</v>
      </c>
      <c r="U1477" s="73">
        <v>0</v>
      </c>
      <c r="V1477" s="73">
        <v>0</v>
      </c>
      <c r="W1477" s="73">
        <v>0</v>
      </c>
      <c r="X1477" s="73">
        <v>0</v>
      </c>
      <c r="Y1477" s="73">
        <v>0</v>
      </c>
      <c r="Z1477" s="73">
        <v>92</v>
      </c>
      <c r="AA1477" s="73">
        <v>553</v>
      </c>
      <c r="AB1477" s="73">
        <v>0</v>
      </c>
      <c r="AC1477" s="73">
        <v>0</v>
      </c>
      <c r="AD1477" s="73">
        <v>0</v>
      </c>
      <c r="AE1477" s="73">
        <v>0</v>
      </c>
      <c r="AF1477" s="74">
        <f>tblData[[#This Row],[Gross Sales]]+tblData[[#This Row],[Trade Discounts]]+tblData[[#This Row],[Returns]]</f>
        <v>508</v>
      </c>
      <c r="AG1477" s="74">
        <f>tblData[[#This Row],[Material Cost]]+tblData[[#This Row],[Conversion Cost]]+tblData[[#This Row],[Inbound Freight]]</f>
        <v>-227</v>
      </c>
      <c r="AH1477" s="74">
        <f>tblData[[#This Row],[Net Revenue]]+tblData[[#This Row],[COGS]]</f>
        <v>281</v>
      </c>
      <c r="AI1477" s="74">
        <f>tblData[[#This Row],[Advertising]]+tblData[[#This Row],[Promotions]]</f>
        <v>-20</v>
      </c>
      <c r="AJ1477" s="74">
        <f>tblData[[#This Row],[Outbound Logistics]]+tblData[[#This Row],[Direct Selling]]</f>
        <v>-90</v>
      </c>
      <c r="AK1477" s="74">
        <f>tblData[[#This Row],[Gross Profit]]+tblData[[#This Row],[AP Spend]]+tblData[[#This Row],[Cost to Serve]]</f>
        <v>171</v>
      </c>
    </row>
    <row r="1478" spans="2:37" x14ac:dyDescent="0.25">
      <c r="B1478" s="71" t="s">
        <v>36</v>
      </c>
      <c r="C1478" s="71">
        <v>2026</v>
      </c>
      <c r="D1478" s="71">
        <v>3</v>
      </c>
      <c r="E1478" s="71" t="s">
        <v>47</v>
      </c>
      <c r="F1478" s="71" t="s">
        <v>41</v>
      </c>
      <c r="G1478" s="72">
        <v>38.299999999999997</v>
      </c>
      <c r="H1478" s="73">
        <v>425</v>
      </c>
      <c r="I1478" s="73">
        <v>-13</v>
      </c>
      <c r="J1478" s="73">
        <v>-21</v>
      </c>
      <c r="K1478" s="73">
        <v>-103</v>
      </c>
      <c r="L1478" s="73">
        <v>-25</v>
      </c>
      <c r="M1478" s="73">
        <v>-16</v>
      </c>
      <c r="N1478" s="73">
        <v>-27</v>
      </c>
      <c r="O1478" s="73">
        <v>-16</v>
      </c>
      <c r="P1478" s="73">
        <v>-53</v>
      </c>
      <c r="Q1478" s="73">
        <v>-17</v>
      </c>
      <c r="R1478" s="73">
        <v>0</v>
      </c>
      <c r="S1478" s="73">
        <v>0</v>
      </c>
      <c r="T1478" s="73">
        <v>0</v>
      </c>
      <c r="U1478" s="73">
        <v>0</v>
      </c>
      <c r="V1478" s="73">
        <v>0</v>
      </c>
      <c r="W1478" s="73">
        <v>0</v>
      </c>
      <c r="X1478" s="73">
        <v>0</v>
      </c>
      <c r="Y1478" s="73">
        <v>0</v>
      </c>
      <c r="Z1478" s="73">
        <v>72</v>
      </c>
      <c r="AA1478" s="73">
        <v>425</v>
      </c>
      <c r="AB1478" s="73">
        <v>0</v>
      </c>
      <c r="AC1478" s="73">
        <v>0</v>
      </c>
      <c r="AD1478" s="73">
        <v>0</v>
      </c>
      <c r="AE1478" s="73">
        <v>0</v>
      </c>
      <c r="AF1478" s="74">
        <f>tblData[[#This Row],[Gross Sales]]+tblData[[#This Row],[Trade Discounts]]+tblData[[#This Row],[Returns]]</f>
        <v>391</v>
      </c>
      <c r="AG1478" s="74">
        <f>tblData[[#This Row],[Material Cost]]+tblData[[#This Row],[Conversion Cost]]+tblData[[#This Row],[Inbound Freight]]</f>
        <v>-144</v>
      </c>
      <c r="AH1478" s="74">
        <f>tblData[[#This Row],[Net Revenue]]+tblData[[#This Row],[COGS]]</f>
        <v>247</v>
      </c>
      <c r="AI1478" s="74">
        <f>tblData[[#This Row],[Advertising]]+tblData[[#This Row],[Promotions]]</f>
        <v>-43</v>
      </c>
      <c r="AJ1478" s="74">
        <f>tblData[[#This Row],[Outbound Logistics]]+tblData[[#This Row],[Direct Selling]]</f>
        <v>-70</v>
      </c>
      <c r="AK1478" s="74">
        <f>tblData[[#This Row],[Gross Profit]]+tblData[[#This Row],[AP Spend]]+tblData[[#This Row],[Cost to Serve]]</f>
        <v>134</v>
      </c>
    </row>
    <row r="1479" spans="2:37" x14ac:dyDescent="0.25">
      <c r="B1479" s="71" t="s">
        <v>36</v>
      </c>
      <c r="C1479" s="71">
        <v>2026</v>
      </c>
      <c r="D1479" s="71">
        <v>3</v>
      </c>
      <c r="E1479" s="71" t="s">
        <v>47</v>
      </c>
      <c r="F1479" s="71" t="s">
        <v>42</v>
      </c>
      <c r="G1479" s="72">
        <v>46.2</v>
      </c>
      <c r="H1479" s="73">
        <v>278</v>
      </c>
      <c r="I1479" s="73">
        <v>-8</v>
      </c>
      <c r="J1479" s="73">
        <v>-14</v>
      </c>
      <c r="K1479" s="73">
        <v>-89</v>
      </c>
      <c r="L1479" s="73">
        <v>-22</v>
      </c>
      <c r="M1479" s="73">
        <v>-14</v>
      </c>
      <c r="N1479" s="73">
        <v>-5</v>
      </c>
      <c r="O1479" s="73">
        <v>-3</v>
      </c>
      <c r="P1479" s="73">
        <v>-34</v>
      </c>
      <c r="Q1479" s="73">
        <v>-11</v>
      </c>
      <c r="R1479" s="73">
        <v>0</v>
      </c>
      <c r="S1479" s="73">
        <v>0</v>
      </c>
      <c r="T1479" s="73">
        <v>0</v>
      </c>
      <c r="U1479" s="73">
        <v>0</v>
      </c>
      <c r="V1479" s="73">
        <v>0</v>
      </c>
      <c r="W1479" s="73">
        <v>0</v>
      </c>
      <c r="X1479" s="73">
        <v>0</v>
      </c>
      <c r="Y1479" s="73">
        <v>0</v>
      </c>
      <c r="Z1479" s="73">
        <v>47</v>
      </c>
      <c r="AA1479" s="73">
        <v>480</v>
      </c>
      <c r="AB1479" s="73">
        <v>0</v>
      </c>
      <c r="AC1479" s="73">
        <v>0</v>
      </c>
      <c r="AD1479" s="73">
        <v>0</v>
      </c>
      <c r="AE1479" s="73">
        <v>0</v>
      </c>
      <c r="AF1479" s="74">
        <f>tblData[[#This Row],[Gross Sales]]+tblData[[#This Row],[Trade Discounts]]+tblData[[#This Row],[Returns]]</f>
        <v>256</v>
      </c>
      <c r="AG1479" s="74">
        <f>tblData[[#This Row],[Material Cost]]+tblData[[#This Row],[Conversion Cost]]+tblData[[#This Row],[Inbound Freight]]</f>
        <v>-125</v>
      </c>
      <c r="AH1479" s="74">
        <f>tblData[[#This Row],[Net Revenue]]+tblData[[#This Row],[COGS]]</f>
        <v>131</v>
      </c>
      <c r="AI1479" s="74">
        <f>tblData[[#This Row],[Advertising]]+tblData[[#This Row],[Promotions]]</f>
        <v>-8</v>
      </c>
      <c r="AJ1479" s="74">
        <f>tblData[[#This Row],[Outbound Logistics]]+tblData[[#This Row],[Direct Selling]]</f>
        <v>-45</v>
      </c>
      <c r="AK1479" s="74">
        <f>tblData[[#This Row],[Gross Profit]]+tblData[[#This Row],[AP Spend]]+tblData[[#This Row],[Cost to Serve]]</f>
        <v>78</v>
      </c>
    </row>
    <row r="1480" spans="2:37" x14ac:dyDescent="0.25">
      <c r="B1480" s="71" t="s">
        <v>36</v>
      </c>
      <c r="C1480" s="71">
        <v>2026</v>
      </c>
      <c r="D1480" s="71">
        <v>3</v>
      </c>
      <c r="E1480" s="71" t="s">
        <v>47</v>
      </c>
      <c r="F1480" s="71" t="s">
        <v>43</v>
      </c>
      <c r="G1480" s="72">
        <v>8.9</v>
      </c>
      <c r="H1480" s="73">
        <v>160</v>
      </c>
      <c r="I1480" s="73">
        <v>-5</v>
      </c>
      <c r="J1480" s="73">
        <v>-8</v>
      </c>
      <c r="K1480" s="73">
        <v>-45</v>
      </c>
      <c r="L1480" s="73">
        <v>-11</v>
      </c>
      <c r="M1480" s="73">
        <v>-7</v>
      </c>
      <c r="N1480" s="73">
        <v>-15</v>
      </c>
      <c r="O1480" s="73">
        <v>-9</v>
      </c>
      <c r="P1480" s="73">
        <v>-20</v>
      </c>
      <c r="Q1480" s="73">
        <v>-6</v>
      </c>
      <c r="R1480" s="73">
        <v>0</v>
      </c>
      <c r="S1480" s="73">
        <v>0</v>
      </c>
      <c r="T1480" s="73">
        <v>0</v>
      </c>
      <c r="U1480" s="73">
        <v>0</v>
      </c>
      <c r="V1480" s="73">
        <v>0</v>
      </c>
      <c r="W1480" s="73">
        <v>0</v>
      </c>
      <c r="X1480" s="73">
        <v>0</v>
      </c>
      <c r="Y1480" s="73">
        <v>0</v>
      </c>
      <c r="Z1480" s="73">
        <v>27</v>
      </c>
      <c r="AA1480" s="73">
        <v>236</v>
      </c>
      <c r="AB1480" s="73">
        <v>0</v>
      </c>
      <c r="AC1480" s="73">
        <v>0</v>
      </c>
      <c r="AD1480" s="73">
        <v>0</v>
      </c>
      <c r="AE1480" s="73">
        <v>0</v>
      </c>
      <c r="AF1480" s="74">
        <f>tblData[[#This Row],[Gross Sales]]+tblData[[#This Row],[Trade Discounts]]+tblData[[#This Row],[Returns]]</f>
        <v>147</v>
      </c>
      <c r="AG1480" s="74">
        <f>tblData[[#This Row],[Material Cost]]+tblData[[#This Row],[Conversion Cost]]+tblData[[#This Row],[Inbound Freight]]</f>
        <v>-63</v>
      </c>
      <c r="AH1480" s="74">
        <f>tblData[[#This Row],[Net Revenue]]+tblData[[#This Row],[COGS]]</f>
        <v>84</v>
      </c>
      <c r="AI1480" s="74">
        <f>tblData[[#This Row],[Advertising]]+tblData[[#This Row],[Promotions]]</f>
        <v>-24</v>
      </c>
      <c r="AJ1480" s="74">
        <f>tblData[[#This Row],[Outbound Logistics]]+tblData[[#This Row],[Direct Selling]]</f>
        <v>-26</v>
      </c>
      <c r="AK1480" s="74">
        <f>tblData[[#This Row],[Gross Profit]]+tblData[[#This Row],[AP Spend]]+tblData[[#This Row],[Cost to Serve]]</f>
        <v>34</v>
      </c>
    </row>
    <row r="1481" spans="2:37" x14ac:dyDescent="0.25">
      <c r="B1481" s="71" t="s">
        <v>36</v>
      </c>
      <c r="C1481" s="71">
        <v>2026</v>
      </c>
      <c r="D1481" s="71">
        <v>3</v>
      </c>
      <c r="E1481" s="71" t="s">
        <v>48</v>
      </c>
      <c r="F1481" s="71" t="s">
        <v>38</v>
      </c>
      <c r="G1481" s="72">
        <v>102.7</v>
      </c>
      <c r="H1481" s="73">
        <v>1446</v>
      </c>
      <c r="I1481" s="73">
        <v>-130</v>
      </c>
      <c r="J1481" s="73">
        <v>-14</v>
      </c>
      <c r="K1481" s="73">
        <v>-317</v>
      </c>
      <c r="L1481" s="73">
        <v>-78</v>
      </c>
      <c r="M1481" s="73">
        <v>-49</v>
      </c>
      <c r="N1481" s="73">
        <v>-73</v>
      </c>
      <c r="O1481" s="73">
        <v>-43</v>
      </c>
      <c r="P1481" s="73">
        <v>-45</v>
      </c>
      <c r="Q1481" s="73">
        <v>-22</v>
      </c>
      <c r="R1481" s="73">
        <v>0</v>
      </c>
      <c r="S1481" s="73">
        <v>0</v>
      </c>
      <c r="T1481" s="73">
        <v>0</v>
      </c>
      <c r="U1481" s="73">
        <v>0</v>
      </c>
      <c r="V1481" s="73">
        <v>0</v>
      </c>
      <c r="W1481" s="73">
        <v>0</v>
      </c>
      <c r="X1481" s="73">
        <v>0</v>
      </c>
      <c r="Y1481" s="73">
        <v>0</v>
      </c>
      <c r="Z1481" s="73">
        <v>2813</v>
      </c>
      <c r="AA1481" s="73">
        <v>1327</v>
      </c>
      <c r="AB1481" s="73">
        <v>0</v>
      </c>
      <c r="AC1481" s="73">
        <v>0</v>
      </c>
      <c r="AD1481" s="73">
        <v>0</v>
      </c>
      <c r="AE1481" s="73">
        <v>0</v>
      </c>
      <c r="AF1481" s="74">
        <f>tblData[[#This Row],[Gross Sales]]+tblData[[#This Row],[Trade Discounts]]+tblData[[#This Row],[Returns]]</f>
        <v>1302</v>
      </c>
      <c r="AG1481" s="74">
        <f>tblData[[#This Row],[Material Cost]]+tblData[[#This Row],[Conversion Cost]]+tblData[[#This Row],[Inbound Freight]]</f>
        <v>-444</v>
      </c>
      <c r="AH1481" s="74">
        <f>tblData[[#This Row],[Net Revenue]]+tblData[[#This Row],[COGS]]</f>
        <v>858</v>
      </c>
      <c r="AI1481" s="74">
        <f>tblData[[#This Row],[Advertising]]+tblData[[#This Row],[Promotions]]</f>
        <v>-116</v>
      </c>
      <c r="AJ1481" s="74">
        <f>tblData[[#This Row],[Outbound Logistics]]+tblData[[#This Row],[Direct Selling]]</f>
        <v>-67</v>
      </c>
      <c r="AK1481" s="74">
        <f>tblData[[#This Row],[Gross Profit]]+tblData[[#This Row],[AP Spend]]+tblData[[#This Row],[Cost to Serve]]</f>
        <v>675</v>
      </c>
    </row>
    <row r="1482" spans="2:37" x14ac:dyDescent="0.25">
      <c r="B1482" s="71" t="s">
        <v>36</v>
      </c>
      <c r="C1482" s="71">
        <v>2026</v>
      </c>
      <c r="D1482" s="71">
        <v>3</v>
      </c>
      <c r="E1482" s="71" t="s">
        <v>48</v>
      </c>
      <c r="F1482" s="71" t="s">
        <v>39</v>
      </c>
      <c r="G1482" s="72">
        <v>127.6</v>
      </c>
      <c r="H1482" s="73">
        <v>1151</v>
      </c>
      <c r="I1482" s="73">
        <v>-104</v>
      </c>
      <c r="J1482" s="73">
        <v>-12</v>
      </c>
      <c r="K1482" s="73">
        <v>-303</v>
      </c>
      <c r="L1482" s="73">
        <v>-75</v>
      </c>
      <c r="M1482" s="73">
        <v>-46</v>
      </c>
      <c r="N1482" s="73">
        <v>-42</v>
      </c>
      <c r="O1482" s="73">
        <v>-25</v>
      </c>
      <c r="P1482" s="73">
        <v>-36</v>
      </c>
      <c r="Q1482" s="73">
        <v>-17</v>
      </c>
      <c r="R1482" s="73">
        <v>0</v>
      </c>
      <c r="S1482" s="73">
        <v>0</v>
      </c>
      <c r="T1482" s="73">
        <v>0</v>
      </c>
      <c r="U1482" s="73">
        <v>0</v>
      </c>
      <c r="V1482" s="73">
        <v>0</v>
      </c>
      <c r="W1482" s="73">
        <v>0</v>
      </c>
      <c r="X1482" s="73">
        <v>0</v>
      </c>
      <c r="Y1482" s="73">
        <v>0</v>
      </c>
      <c r="Z1482" s="73">
        <v>2317</v>
      </c>
      <c r="AA1482" s="73">
        <v>1117</v>
      </c>
      <c r="AB1482" s="73">
        <v>0</v>
      </c>
      <c r="AC1482" s="73">
        <v>0</v>
      </c>
      <c r="AD1482" s="73">
        <v>0</v>
      </c>
      <c r="AE1482" s="73">
        <v>0</v>
      </c>
      <c r="AF1482" s="74">
        <f>tblData[[#This Row],[Gross Sales]]+tblData[[#This Row],[Trade Discounts]]+tblData[[#This Row],[Returns]]</f>
        <v>1035</v>
      </c>
      <c r="AG1482" s="74">
        <f>tblData[[#This Row],[Material Cost]]+tblData[[#This Row],[Conversion Cost]]+tblData[[#This Row],[Inbound Freight]]</f>
        <v>-424</v>
      </c>
      <c r="AH1482" s="74">
        <f>tblData[[#This Row],[Net Revenue]]+tblData[[#This Row],[COGS]]</f>
        <v>611</v>
      </c>
      <c r="AI1482" s="74">
        <f>tblData[[#This Row],[Advertising]]+tblData[[#This Row],[Promotions]]</f>
        <v>-67</v>
      </c>
      <c r="AJ1482" s="74">
        <f>tblData[[#This Row],[Outbound Logistics]]+tblData[[#This Row],[Direct Selling]]</f>
        <v>-53</v>
      </c>
      <c r="AK1482" s="74">
        <f>tblData[[#This Row],[Gross Profit]]+tblData[[#This Row],[AP Spend]]+tblData[[#This Row],[Cost to Serve]]</f>
        <v>491</v>
      </c>
    </row>
    <row r="1483" spans="2:37" x14ac:dyDescent="0.25">
      <c r="B1483" s="71" t="s">
        <v>36</v>
      </c>
      <c r="C1483" s="71">
        <v>2026</v>
      </c>
      <c r="D1483" s="71">
        <v>3</v>
      </c>
      <c r="E1483" s="71" t="s">
        <v>48</v>
      </c>
      <c r="F1483" s="71" t="s">
        <v>40</v>
      </c>
      <c r="G1483" s="72">
        <v>126.1</v>
      </c>
      <c r="H1483" s="73">
        <v>882</v>
      </c>
      <c r="I1483" s="73">
        <v>-79</v>
      </c>
      <c r="J1483" s="73">
        <v>-9</v>
      </c>
      <c r="K1483" s="73">
        <v>-258</v>
      </c>
      <c r="L1483" s="73">
        <v>-64</v>
      </c>
      <c r="M1483" s="73">
        <v>-40</v>
      </c>
      <c r="N1483" s="73">
        <v>-21</v>
      </c>
      <c r="O1483" s="73">
        <v>-12</v>
      </c>
      <c r="P1483" s="73">
        <v>-27</v>
      </c>
      <c r="Q1483" s="73">
        <v>-13</v>
      </c>
      <c r="R1483" s="73">
        <v>0</v>
      </c>
      <c r="S1483" s="73">
        <v>0</v>
      </c>
      <c r="T1483" s="73">
        <v>0</v>
      </c>
      <c r="U1483" s="73">
        <v>0</v>
      </c>
      <c r="V1483" s="73">
        <v>0</v>
      </c>
      <c r="W1483" s="73">
        <v>0</v>
      </c>
      <c r="X1483" s="73">
        <v>0</v>
      </c>
      <c r="Y1483" s="73">
        <v>0</v>
      </c>
      <c r="Z1483" s="73">
        <v>1737</v>
      </c>
      <c r="AA1483" s="73">
        <v>876</v>
      </c>
      <c r="AB1483" s="73">
        <v>0</v>
      </c>
      <c r="AC1483" s="73">
        <v>0</v>
      </c>
      <c r="AD1483" s="73">
        <v>0</v>
      </c>
      <c r="AE1483" s="73">
        <v>0</v>
      </c>
      <c r="AF1483" s="74">
        <f>tblData[[#This Row],[Gross Sales]]+tblData[[#This Row],[Trade Discounts]]+tblData[[#This Row],[Returns]]</f>
        <v>794</v>
      </c>
      <c r="AG1483" s="74">
        <f>tblData[[#This Row],[Material Cost]]+tblData[[#This Row],[Conversion Cost]]+tblData[[#This Row],[Inbound Freight]]</f>
        <v>-362</v>
      </c>
      <c r="AH1483" s="74">
        <f>tblData[[#This Row],[Net Revenue]]+tblData[[#This Row],[COGS]]</f>
        <v>432</v>
      </c>
      <c r="AI1483" s="74">
        <f>tblData[[#This Row],[Advertising]]+tblData[[#This Row],[Promotions]]</f>
        <v>-33</v>
      </c>
      <c r="AJ1483" s="74">
        <f>tblData[[#This Row],[Outbound Logistics]]+tblData[[#This Row],[Direct Selling]]</f>
        <v>-40</v>
      </c>
      <c r="AK1483" s="74">
        <f>tblData[[#This Row],[Gross Profit]]+tblData[[#This Row],[AP Spend]]+tblData[[#This Row],[Cost to Serve]]</f>
        <v>359</v>
      </c>
    </row>
    <row r="1484" spans="2:37" x14ac:dyDescent="0.25">
      <c r="B1484" s="71" t="s">
        <v>36</v>
      </c>
      <c r="C1484" s="71">
        <v>2026</v>
      </c>
      <c r="D1484" s="71">
        <v>3</v>
      </c>
      <c r="E1484" s="71" t="s">
        <v>48</v>
      </c>
      <c r="F1484" s="71" t="s">
        <v>41</v>
      </c>
      <c r="G1484" s="72">
        <v>62.9</v>
      </c>
      <c r="H1484" s="73">
        <v>694</v>
      </c>
      <c r="I1484" s="73">
        <v>-62</v>
      </c>
      <c r="J1484" s="73">
        <v>-7</v>
      </c>
      <c r="K1484" s="73">
        <v>-167</v>
      </c>
      <c r="L1484" s="73">
        <v>-41</v>
      </c>
      <c r="M1484" s="73">
        <v>-26</v>
      </c>
      <c r="N1484" s="73">
        <v>-45</v>
      </c>
      <c r="O1484" s="73">
        <v>-26</v>
      </c>
      <c r="P1484" s="73">
        <v>-21</v>
      </c>
      <c r="Q1484" s="73">
        <v>-10</v>
      </c>
      <c r="R1484" s="73">
        <v>0</v>
      </c>
      <c r="S1484" s="73">
        <v>0</v>
      </c>
      <c r="T1484" s="73">
        <v>0</v>
      </c>
      <c r="U1484" s="73">
        <v>0</v>
      </c>
      <c r="V1484" s="73">
        <v>0</v>
      </c>
      <c r="W1484" s="73">
        <v>0</v>
      </c>
      <c r="X1484" s="73">
        <v>0</v>
      </c>
      <c r="Y1484" s="73">
        <v>0</v>
      </c>
      <c r="Z1484" s="73">
        <v>1391</v>
      </c>
      <c r="AA1484" s="73">
        <v>686</v>
      </c>
      <c r="AB1484" s="73">
        <v>0</v>
      </c>
      <c r="AC1484" s="73">
        <v>0</v>
      </c>
      <c r="AD1484" s="73">
        <v>0</v>
      </c>
      <c r="AE1484" s="73">
        <v>0</v>
      </c>
      <c r="AF1484" s="74">
        <f>tblData[[#This Row],[Gross Sales]]+tblData[[#This Row],[Trade Discounts]]+tblData[[#This Row],[Returns]]</f>
        <v>625</v>
      </c>
      <c r="AG1484" s="74">
        <f>tblData[[#This Row],[Material Cost]]+tblData[[#This Row],[Conversion Cost]]+tblData[[#This Row],[Inbound Freight]]</f>
        <v>-234</v>
      </c>
      <c r="AH1484" s="74">
        <f>tblData[[#This Row],[Net Revenue]]+tblData[[#This Row],[COGS]]</f>
        <v>391</v>
      </c>
      <c r="AI1484" s="74">
        <f>tblData[[#This Row],[Advertising]]+tblData[[#This Row],[Promotions]]</f>
        <v>-71</v>
      </c>
      <c r="AJ1484" s="74">
        <f>tblData[[#This Row],[Outbound Logistics]]+tblData[[#This Row],[Direct Selling]]</f>
        <v>-31</v>
      </c>
      <c r="AK1484" s="74">
        <f>tblData[[#This Row],[Gross Profit]]+tblData[[#This Row],[AP Spend]]+tblData[[#This Row],[Cost to Serve]]</f>
        <v>289</v>
      </c>
    </row>
    <row r="1485" spans="2:37" x14ac:dyDescent="0.25">
      <c r="B1485" s="71" t="s">
        <v>36</v>
      </c>
      <c r="C1485" s="71">
        <v>2026</v>
      </c>
      <c r="D1485" s="71">
        <v>3</v>
      </c>
      <c r="E1485" s="71" t="s">
        <v>48</v>
      </c>
      <c r="F1485" s="71" t="s">
        <v>42</v>
      </c>
      <c r="G1485" s="72">
        <v>75</v>
      </c>
      <c r="H1485" s="73">
        <v>448</v>
      </c>
      <c r="I1485" s="73">
        <v>-40</v>
      </c>
      <c r="J1485" s="73">
        <v>-4</v>
      </c>
      <c r="K1485" s="73">
        <v>-144</v>
      </c>
      <c r="L1485" s="73">
        <v>-35</v>
      </c>
      <c r="M1485" s="73">
        <v>-22</v>
      </c>
      <c r="N1485" s="73">
        <v>-9</v>
      </c>
      <c r="O1485" s="73">
        <v>-5</v>
      </c>
      <c r="P1485" s="73">
        <v>-14</v>
      </c>
      <c r="Q1485" s="73">
        <v>-7</v>
      </c>
      <c r="R1485" s="73">
        <v>0</v>
      </c>
      <c r="S1485" s="73">
        <v>0</v>
      </c>
      <c r="T1485" s="73">
        <v>0</v>
      </c>
      <c r="U1485" s="73">
        <v>0</v>
      </c>
      <c r="V1485" s="73">
        <v>0</v>
      </c>
      <c r="W1485" s="73">
        <v>0</v>
      </c>
      <c r="X1485" s="73">
        <v>0</v>
      </c>
      <c r="Y1485" s="73">
        <v>0</v>
      </c>
      <c r="Z1485" s="73">
        <v>897</v>
      </c>
      <c r="AA1485" s="73">
        <v>768</v>
      </c>
      <c r="AB1485" s="73">
        <v>0</v>
      </c>
      <c r="AC1485" s="73">
        <v>0</v>
      </c>
      <c r="AD1485" s="73">
        <v>0</v>
      </c>
      <c r="AE1485" s="73">
        <v>0</v>
      </c>
      <c r="AF1485" s="74">
        <f>tblData[[#This Row],[Gross Sales]]+tblData[[#This Row],[Trade Discounts]]+tblData[[#This Row],[Returns]]</f>
        <v>404</v>
      </c>
      <c r="AG1485" s="74">
        <f>tblData[[#This Row],[Material Cost]]+tblData[[#This Row],[Conversion Cost]]+tblData[[#This Row],[Inbound Freight]]</f>
        <v>-201</v>
      </c>
      <c r="AH1485" s="74">
        <f>tblData[[#This Row],[Net Revenue]]+tblData[[#This Row],[COGS]]</f>
        <v>203</v>
      </c>
      <c r="AI1485" s="74">
        <f>tblData[[#This Row],[Advertising]]+tblData[[#This Row],[Promotions]]</f>
        <v>-14</v>
      </c>
      <c r="AJ1485" s="74">
        <f>tblData[[#This Row],[Outbound Logistics]]+tblData[[#This Row],[Direct Selling]]</f>
        <v>-21</v>
      </c>
      <c r="AK1485" s="74">
        <f>tblData[[#This Row],[Gross Profit]]+tblData[[#This Row],[AP Spend]]+tblData[[#This Row],[Cost to Serve]]</f>
        <v>168</v>
      </c>
    </row>
    <row r="1486" spans="2:37" x14ac:dyDescent="0.25">
      <c r="B1486" s="71" t="s">
        <v>36</v>
      </c>
      <c r="C1486" s="71">
        <v>2026</v>
      </c>
      <c r="D1486" s="71">
        <v>3</v>
      </c>
      <c r="E1486" s="71" t="s">
        <v>48</v>
      </c>
      <c r="F1486" s="71" t="s">
        <v>43</v>
      </c>
      <c r="G1486" s="72">
        <v>14.3</v>
      </c>
      <c r="H1486" s="73">
        <v>257</v>
      </c>
      <c r="I1486" s="73">
        <v>-23</v>
      </c>
      <c r="J1486" s="73">
        <v>-3</v>
      </c>
      <c r="K1486" s="73">
        <v>-71</v>
      </c>
      <c r="L1486" s="73">
        <v>-18</v>
      </c>
      <c r="M1486" s="73">
        <v>-11</v>
      </c>
      <c r="N1486" s="73">
        <v>-24</v>
      </c>
      <c r="O1486" s="73">
        <v>-14</v>
      </c>
      <c r="P1486" s="73">
        <v>-8</v>
      </c>
      <c r="Q1486" s="73">
        <v>-4</v>
      </c>
      <c r="R1486" s="73">
        <v>0</v>
      </c>
      <c r="S1486" s="73">
        <v>0</v>
      </c>
      <c r="T1486" s="73">
        <v>0</v>
      </c>
      <c r="U1486" s="73">
        <v>0</v>
      </c>
      <c r="V1486" s="73">
        <v>0</v>
      </c>
      <c r="W1486" s="73">
        <v>0</v>
      </c>
      <c r="X1486" s="73">
        <v>0</v>
      </c>
      <c r="Y1486" s="73">
        <v>0</v>
      </c>
      <c r="Z1486" s="73">
        <v>510</v>
      </c>
      <c r="AA1486" s="73">
        <v>380</v>
      </c>
      <c r="AB1486" s="73">
        <v>0</v>
      </c>
      <c r="AC1486" s="73">
        <v>0</v>
      </c>
      <c r="AD1486" s="73">
        <v>0</v>
      </c>
      <c r="AE1486" s="73">
        <v>0</v>
      </c>
      <c r="AF1486" s="74">
        <f>tblData[[#This Row],[Gross Sales]]+tblData[[#This Row],[Trade Discounts]]+tblData[[#This Row],[Returns]]</f>
        <v>231</v>
      </c>
      <c r="AG1486" s="74">
        <f>tblData[[#This Row],[Material Cost]]+tblData[[#This Row],[Conversion Cost]]+tblData[[#This Row],[Inbound Freight]]</f>
        <v>-100</v>
      </c>
      <c r="AH1486" s="74">
        <f>tblData[[#This Row],[Net Revenue]]+tblData[[#This Row],[COGS]]</f>
        <v>131</v>
      </c>
      <c r="AI1486" s="74">
        <f>tblData[[#This Row],[Advertising]]+tblData[[#This Row],[Promotions]]</f>
        <v>-38</v>
      </c>
      <c r="AJ1486" s="74">
        <f>tblData[[#This Row],[Outbound Logistics]]+tblData[[#This Row],[Direct Selling]]</f>
        <v>-12</v>
      </c>
      <c r="AK1486" s="74">
        <f>tblData[[#This Row],[Gross Profit]]+tblData[[#This Row],[AP Spend]]+tblData[[#This Row],[Cost to Serve]]</f>
        <v>81</v>
      </c>
    </row>
    <row r="1487" spans="2:37" x14ac:dyDescent="0.25">
      <c r="B1487" s="71" t="s">
        <v>36</v>
      </c>
      <c r="C1487" s="71">
        <v>2026</v>
      </c>
      <c r="D1487" s="71">
        <v>3</v>
      </c>
      <c r="E1487" s="71" t="s">
        <v>49</v>
      </c>
      <c r="F1487" s="71" t="s">
        <v>49</v>
      </c>
      <c r="G1487" s="72">
        <v>0</v>
      </c>
      <c r="H1487" s="73">
        <v>0</v>
      </c>
      <c r="I1487" s="73">
        <v>0</v>
      </c>
      <c r="J1487" s="73">
        <v>0</v>
      </c>
      <c r="K1487" s="73">
        <v>0</v>
      </c>
      <c r="L1487" s="73">
        <v>0</v>
      </c>
      <c r="M1487" s="73">
        <v>0</v>
      </c>
      <c r="N1487" s="73">
        <v>0</v>
      </c>
      <c r="O1487" s="73">
        <v>0</v>
      </c>
      <c r="P1487" s="73">
        <v>0</v>
      </c>
      <c r="Q1487" s="73">
        <v>0</v>
      </c>
      <c r="R1487" s="73">
        <v>-4271</v>
      </c>
      <c r="S1487" s="73">
        <v>-1000</v>
      </c>
      <c r="T1487" s="73">
        <v>-1280</v>
      </c>
      <c r="U1487" s="73">
        <v>-1085</v>
      </c>
      <c r="V1487" s="73">
        <v>-1480</v>
      </c>
      <c r="W1487" s="73">
        <v>-712</v>
      </c>
      <c r="X1487" s="73">
        <v>-1319</v>
      </c>
      <c r="Y1487" s="73">
        <v>-1305</v>
      </c>
      <c r="Z1487" s="73">
        <v>0</v>
      </c>
      <c r="AA1487" s="73">
        <v>0</v>
      </c>
      <c r="AB1487" s="73">
        <v>31957</v>
      </c>
      <c r="AC1487" s="73">
        <v>64836</v>
      </c>
      <c r="AD1487" s="73">
        <v>187500</v>
      </c>
      <c r="AE1487" s="73">
        <v>1178</v>
      </c>
      <c r="AF1487" s="74">
        <f>tblData[[#This Row],[Gross Sales]]+tblData[[#This Row],[Trade Discounts]]+tblData[[#This Row],[Returns]]</f>
        <v>0</v>
      </c>
      <c r="AG1487" s="74">
        <f>tblData[[#This Row],[Material Cost]]+tblData[[#This Row],[Conversion Cost]]+tblData[[#This Row],[Inbound Freight]]</f>
        <v>0</v>
      </c>
      <c r="AH1487" s="74">
        <f>tblData[[#This Row],[Net Revenue]]+tblData[[#This Row],[COGS]]</f>
        <v>0</v>
      </c>
      <c r="AI1487" s="74">
        <f>tblData[[#This Row],[Advertising]]+tblData[[#This Row],[Promotions]]</f>
        <v>0</v>
      </c>
      <c r="AJ1487" s="74">
        <f>tblData[[#This Row],[Outbound Logistics]]+tblData[[#This Row],[Direct Selling]]</f>
        <v>0</v>
      </c>
      <c r="AK1487" s="74">
        <f>tblData[[#This Row],[Gross Profit]]+tblData[[#This Row],[AP Spend]]+tblData[[#This Row],[Cost to Serve]]</f>
        <v>0</v>
      </c>
    </row>
    <row r="1488" spans="2:37" x14ac:dyDescent="0.25">
      <c r="B1488" s="71" t="s">
        <v>36</v>
      </c>
      <c r="C1488" s="71">
        <v>2026</v>
      </c>
      <c r="D1488" s="71">
        <v>4</v>
      </c>
      <c r="E1488" s="71" t="s">
        <v>37</v>
      </c>
      <c r="F1488" s="71" t="s">
        <v>38</v>
      </c>
      <c r="G1488" s="72">
        <v>294.89999999999998</v>
      </c>
      <c r="H1488" s="73">
        <v>4153</v>
      </c>
      <c r="I1488" s="73">
        <v>-814</v>
      </c>
      <c r="J1488" s="73">
        <v>-62</v>
      </c>
      <c r="K1488" s="73">
        <v>-911</v>
      </c>
      <c r="L1488" s="73">
        <v>-224</v>
      </c>
      <c r="M1488" s="73">
        <v>-140</v>
      </c>
      <c r="N1488" s="73">
        <v>-225</v>
      </c>
      <c r="O1488" s="73">
        <v>-133</v>
      </c>
      <c r="P1488" s="73">
        <v>-171</v>
      </c>
      <c r="Q1488" s="73">
        <v>-125</v>
      </c>
      <c r="R1488" s="73">
        <v>0</v>
      </c>
      <c r="S1488" s="73">
        <v>0</v>
      </c>
      <c r="T1488" s="73">
        <v>0</v>
      </c>
      <c r="U1488" s="73">
        <v>0</v>
      </c>
      <c r="V1488" s="73">
        <v>0</v>
      </c>
      <c r="W1488" s="73">
        <v>0</v>
      </c>
      <c r="X1488" s="73">
        <v>0</v>
      </c>
      <c r="Y1488" s="73">
        <v>0</v>
      </c>
      <c r="Z1488" s="73">
        <v>6002</v>
      </c>
      <c r="AA1488" s="73">
        <v>4064</v>
      </c>
      <c r="AB1488" s="73">
        <v>0</v>
      </c>
      <c r="AC1488" s="73">
        <v>0</v>
      </c>
      <c r="AD1488" s="73">
        <v>0</v>
      </c>
      <c r="AE1488" s="73">
        <v>0</v>
      </c>
      <c r="AF1488" s="74">
        <f>tblData[[#This Row],[Gross Sales]]+tblData[[#This Row],[Trade Discounts]]+tblData[[#This Row],[Returns]]</f>
        <v>3277</v>
      </c>
      <c r="AG1488" s="74">
        <f>tblData[[#This Row],[Material Cost]]+tblData[[#This Row],[Conversion Cost]]+tblData[[#This Row],[Inbound Freight]]</f>
        <v>-1275</v>
      </c>
      <c r="AH1488" s="74">
        <f>tblData[[#This Row],[Net Revenue]]+tblData[[#This Row],[COGS]]</f>
        <v>2002</v>
      </c>
      <c r="AI1488" s="74">
        <f>tblData[[#This Row],[Advertising]]+tblData[[#This Row],[Promotions]]</f>
        <v>-358</v>
      </c>
      <c r="AJ1488" s="74">
        <f>tblData[[#This Row],[Outbound Logistics]]+tblData[[#This Row],[Direct Selling]]</f>
        <v>-296</v>
      </c>
      <c r="AK1488" s="74">
        <f>tblData[[#This Row],[Gross Profit]]+tblData[[#This Row],[AP Spend]]+tblData[[#This Row],[Cost to Serve]]</f>
        <v>1348</v>
      </c>
    </row>
    <row r="1489" spans="2:37" x14ac:dyDescent="0.25">
      <c r="B1489" s="71" t="s">
        <v>36</v>
      </c>
      <c r="C1489" s="71">
        <v>2026</v>
      </c>
      <c r="D1489" s="71">
        <v>4</v>
      </c>
      <c r="E1489" s="71" t="s">
        <v>37</v>
      </c>
      <c r="F1489" s="71" t="s">
        <v>39</v>
      </c>
      <c r="G1489" s="72">
        <v>381.3</v>
      </c>
      <c r="H1489" s="73">
        <v>3439</v>
      </c>
      <c r="I1489" s="73">
        <v>-674</v>
      </c>
      <c r="J1489" s="73">
        <v>-52</v>
      </c>
      <c r="K1489" s="73">
        <v>-905</v>
      </c>
      <c r="L1489" s="73">
        <v>-223</v>
      </c>
      <c r="M1489" s="73">
        <v>-139</v>
      </c>
      <c r="N1489" s="73">
        <v>-128</v>
      </c>
      <c r="O1489" s="73">
        <v>-76</v>
      </c>
      <c r="P1489" s="73">
        <v>-142</v>
      </c>
      <c r="Q1489" s="73">
        <v>-103</v>
      </c>
      <c r="R1489" s="73">
        <v>0</v>
      </c>
      <c r="S1489" s="73">
        <v>0</v>
      </c>
      <c r="T1489" s="73">
        <v>0</v>
      </c>
      <c r="U1489" s="73">
        <v>0</v>
      </c>
      <c r="V1489" s="73">
        <v>0</v>
      </c>
      <c r="W1489" s="73">
        <v>0</v>
      </c>
      <c r="X1489" s="73">
        <v>0</v>
      </c>
      <c r="Y1489" s="73">
        <v>0</v>
      </c>
      <c r="Z1489" s="73">
        <v>4872</v>
      </c>
      <c r="AA1489" s="73">
        <v>3371</v>
      </c>
      <c r="AB1489" s="73">
        <v>0</v>
      </c>
      <c r="AC1489" s="73">
        <v>0</v>
      </c>
      <c r="AD1489" s="73">
        <v>0</v>
      </c>
      <c r="AE1489" s="73">
        <v>0</v>
      </c>
      <c r="AF1489" s="74">
        <f>tblData[[#This Row],[Gross Sales]]+tblData[[#This Row],[Trade Discounts]]+tblData[[#This Row],[Returns]]</f>
        <v>2713</v>
      </c>
      <c r="AG1489" s="74">
        <f>tblData[[#This Row],[Material Cost]]+tblData[[#This Row],[Conversion Cost]]+tblData[[#This Row],[Inbound Freight]]</f>
        <v>-1267</v>
      </c>
      <c r="AH1489" s="74">
        <f>tblData[[#This Row],[Net Revenue]]+tblData[[#This Row],[COGS]]</f>
        <v>1446</v>
      </c>
      <c r="AI1489" s="74">
        <f>tblData[[#This Row],[Advertising]]+tblData[[#This Row],[Promotions]]</f>
        <v>-204</v>
      </c>
      <c r="AJ1489" s="74">
        <f>tblData[[#This Row],[Outbound Logistics]]+tblData[[#This Row],[Direct Selling]]</f>
        <v>-245</v>
      </c>
      <c r="AK1489" s="74">
        <f>tblData[[#This Row],[Gross Profit]]+tblData[[#This Row],[AP Spend]]+tblData[[#This Row],[Cost to Serve]]</f>
        <v>997</v>
      </c>
    </row>
    <row r="1490" spans="2:37" x14ac:dyDescent="0.25">
      <c r="B1490" s="71" t="s">
        <v>36</v>
      </c>
      <c r="C1490" s="71">
        <v>2026</v>
      </c>
      <c r="D1490" s="71">
        <v>4</v>
      </c>
      <c r="E1490" s="71" t="s">
        <v>37</v>
      </c>
      <c r="F1490" s="71" t="s">
        <v>40</v>
      </c>
      <c r="G1490" s="72">
        <v>366.8</v>
      </c>
      <c r="H1490" s="73">
        <v>2567</v>
      </c>
      <c r="I1490" s="73">
        <v>-503</v>
      </c>
      <c r="J1490" s="73">
        <v>-39</v>
      </c>
      <c r="K1490" s="73">
        <v>-751</v>
      </c>
      <c r="L1490" s="73">
        <v>-185</v>
      </c>
      <c r="M1490" s="73">
        <v>-115</v>
      </c>
      <c r="N1490" s="73">
        <v>-64</v>
      </c>
      <c r="O1490" s="73">
        <v>-38</v>
      </c>
      <c r="P1490" s="73">
        <v>-106</v>
      </c>
      <c r="Q1490" s="73">
        <v>-77</v>
      </c>
      <c r="R1490" s="73">
        <v>0</v>
      </c>
      <c r="S1490" s="73">
        <v>0</v>
      </c>
      <c r="T1490" s="73">
        <v>0</v>
      </c>
      <c r="U1490" s="73">
        <v>0</v>
      </c>
      <c r="V1490" s="73">
        <v>0</v>
      </c>
      <c r="W1490" s="73">
        <v>0</v>
      </c>
      <c r="X1490" s="73">
        <v>0</v>
      </c>
      <c r="Y1490" s="73">
        <v>0</v>
      </c>
      <c r="Z1490" s="73">
        <v>3583</v>
      </c>
      <c r="AA1490" s="73">
        <v>2595</v>
      </c>
      <c r="AB1490" s="73">
        <v>0</v>
      </c>
      <c r="AC1490" s="73">
        <v>0</v>
      </c>
      <c r="AD1490" s="73">
        <v>0</v>
      </c>
      <c r="AE1490" s="73">
        <v>0</v>
      </c>
      <c r="AF1490" s="74">
        <f>tblData[[#This Row],[Gross Sales]]+tblData[[#This Row],[Trade Discounts]]+tblData[[#This Row],[Returns]]</f>
        <v>2025</v>
      </c>
      <c r="AG1490" s="74">
        <f>tblData[[#This Row],[Material Cost]]+tblData[[#This Row],[Conversion Cost]]+tblData[[#This Row],[Inbound Freight]]</f>
        <v>-1051</v>
      </c>
      <c r="AH1490" s="74">
        <f>tblData[[#This Row],[Net Revenue]]+tblData[[#This Row],[COGS]]</f>
        <v>974</v>
      </c>
      <c r="AI1490" s="74">
        <f>tblData[[#This Row],[Advertising]]+tblData[[#This Row],[Promotions]]</f>
        <v>-102</v>
      </c>
      <c r="AJ1490" s="74">
        <f>tblData[[#This Row],[Outbound Logistics]]+tblData[[#This Row],[Direct Selling]]</f>
        <v>-183</v>
      </c>
      <c r="AK1490" s="74">
        <f>tblData[[#This Row],[Gross Profit]]+tblData[[#This Row],[AP Spend]]+tblData[[#This Row],[Cost to Serve]]</f>
        <v>689</v>
      </c>
    </row>
    <row r="1491" spans="2:37" x14ac:dyDescent="0.25">
      <c r="B1491" s="71" t="s">
        <v>36</v>
      </c>
      <c r="C1491" s="71">
        <v>2026</v>
      </c>
      <c r="D1491" s="71">
        <v>4</v>
      </c>
      <c r="E1491" s="71" t="s">
        <v>37</v>
      </c>
      <c r="F1491" s="71" t="s">
        <v>41</v>
      </c>
      <c r="G1491" s="72">
        <v>177.8</v>
      </c>
      <c r="H1491" s="73">
        <v>1962</v>
      </c>
      <c r="I1491" s="73">
        <v>-385</v>
      </c>
      <c r="J1491" s="73">
        <v>-29</v>
      </c>
      <c r="K1491" s="73">
        <v>-473</v>
      </c>
      <c r="L1491" s="73">
        <v>-117</v>
      </c>
      <c r="M1491" s="73">
        <v>-73</v>
      </c>
      <c r="N1491" s="73">
        <v>-137</v>
      </c>
      <c r="O1491" s="73">
        <v>-81</v>
      </c>
      <c r="P1491" s="73">
        <v>-81</v>
      </c>
      <c r="Q1491" s="73">
        <v>-59</v>
      </c>
      <c r="R1491" s="73">
        <v>0</v>
      </c>
      <c r="S1491" s="73">
        <v>0</v>
      </c>
      <c r="T1491" s="73">
        <v>0</v>
      </c>
      <c r="U1491" s="73">
        <v>0</v>
      </c>
      <c r="V1491" s="73">
        <v>0</v>
      </c>
      <c r="W1491" s="73">
        <v>0</v>
      </c>
      <c r="X1491" s="73">
        <v>0</v>
      </c>
      <c r="Y1491" s="73">
        <v>0</v>
      </c>
      <c r="Z1491" s="73">
        <v>2848</v>
      </c>
      <c r="AA1491" s="73">
        <v>2017</v>
      </c>
      <c r="AB1491" s="73">
        <v>0</v>
      </c>
      <c r="AC1491" s="73">
        <v>0</v>
      </c>
      <c r="AD1491" s="73">
        <v>0</v>
      </c>
      <c r="AE1491" s="73">
        <v>0</v>
      </c>
      <c r="AF1491" s="74">
        <f>tblData[[#This Row],[Gross Sales]]+tblData[[#This Row],[Trade Discounts]]+tblData[[#This Row],[Returns]]</f>
        <v>1548</v>
      </c>
      <c r="AG1491" s="74">
        <f>tblData[[#This Row],[Material Cost]]+tblData[[#This Row],[Conversion Cost]]+tblData[[#This Row],[Inbound Freight]]</f>
        <v>-663</v>
      </c>
      <c r="AH1491" s="74">
        <f>tblData[[#This Row],[Net Revenue]]+tblData[[#This Row],[COGS]]</f>
        <v>885</v>
      </c>
      <c r="AI1491" s="74">
        <f>tblData[[#This Row],[Advertising]]+tblData[[#This Row],[Promotions]]</f>
        <v>-218</v>
      </c>
      <c r="AJ1491" s="74">
        <f>tblData[[#This Row],[Outbound Logistics]]+tblData[[#This Row],[Direct Selling]]</f>
        <v>-140</v>
      </c>
      <c r="AK1491" s="74">
        <f>tblData[[#This Row],[Gross Profit]]+tblData[[#This Row],[AP Spend]]+tblData[[#This Row],[Cost to Serve]]</f>
        <v>527</v>
      </c>
    </row>
    <row r="1492" spans="2:37" x14ac:dyDescent="0.25">
      <c r="B1492" s="71" t="s">
        <v>36</v>
      </c>
      <c r="C1492" s="71">
        <v>2026</v>
      </c>
      <c r="D1492" s="71">
        <v>4</v>
      </c>
      <c r="E1492" s="71" t="s">
        <v>37</v>
      </c>
      <c r="F1492" s="71" t="s">
        <v>42</v>
      </c>
      <c r="G1492" s="72">
        <v>220.9</v>
      </c>
      <c r="H1492" s="73">
        <v>1320</v>
      </c>
      <c r="I1492" s="73">
        <v>-259</v>
      </c>
      <c r="J1492" s="73">
        <v>-20</v>
      </c>
      <c r="K1492" s="73">
        <v>-425</v>
      </c>
      <c r="L1492" s="73">
        <v>-105</v>
      </c>
      <c r="M1492" s="73">
        <v>-65</v>
      </c>
      <c r="N1492" s="73">
        <v>-27</v>
      </c>
      <c r="O1492" s="73">
        <v>-16</v>
      </c>
      <c r="P1492" s="73">
        <v>-54</v>
      </c>
      <c r="Q1492" s="73">
        <v>-40</v>
      </c>
      <c r="R1492" s="73">
        <v>0</v>
      </c>
      <c r="S1492" s="73">
        <v>0</v>
      </c>
      <c r="T1492" s="73">
        <v>0</v>
      </c>
      <c r="U1492" s="73">
        <v>0</v>
      </c>
      <c r="V1492" s="73">
        <v>0</v>
      </c>
      <c r="W1492" s="73">
        <v>0</v>
      </c>
      <c r="X1492" s="73">
        <v>0</v>
      </c>
      <c r="Y1492" s="73">
        <v>0</v>
      </c>
      <c r="Z1492" s="73">
        <v>1866</v>
      </c>
      <c r="AA1492" s="73">
        <v>2293</v>
      </c>
      <c r="AB1492" s="73">
        <v>0</v>
      </c>
      <c r="AC1492" s="73">
        <v>0</v>
      </c>
      <c r="AD1492" s="73">
        <v>0</v>
      </c>
      <c r="AE1492" s="73">
        <v>0</v>
      </c>
      <c r="AF1492" s="74">
        <f>tblData[[#This Row],[Gross Sales]]+tblData[[#This Row],[Trade Discounts]]+tblData[[#This Row],[Returns]]</f>
        <v>1041</v>
      </c>
      <c r="AG1492" s="74">
        <f>tblData[[#This Row],[Material Cost]]+tblData[[#This Row],[Conversion Cost]]+tblData[[#This Row],[Inbound Freight]]</f>
        <v>-595</v>
      </c>
      <c r="AH1492" s="74">
        <f>tblData[[#This Row],[Net Revenue]]+tblData[[#This Row],[COGS]]</f>
        <v>446</v>
      </c>
      <c r="AI1492" s="74">
        <f>tblData[[#This Row],[Advertising]]+tblData[[#This Row],[Promotions]]</f>
        <v>-43</v>
      </c>
      <c r="AJ1492" s="74">
        <f>tblData[[#This Row],[Outbound Logistics]]+tblData[[#This Row],[Direct Selling]]</f>
        <v>-94</v>
      </c>
      <c r="AK1492" s="74">
        <f>tblData[[#This Row],[Gross Profit]]+tblData[[#This Row],[AP Spend]]+tblData[[#This Row],[Cost to Serve]]</f>
        <v>309</v>
      </c>
    </row>
    <row r="1493" spans="2:37" x14ac:dyDescent="0.25">
      <c r="B1493" s="71" t="s">
        <v>36</v>
      </c>
      <c r="C1493" s="71">
        <v>2026</v>
      </c>
      <c r="D1493" s="71">
        <v>4</v>
      </c>
      <c r="E1493" s="71" t="s">
        <v>37</v>
      </c>
      <c r="F1493" s="71" t="s">
        <v>43</v>
      </c>
      <c r="G1493" s="72">
        <v>40.4</v>
      </c>
      <c r="H1493" s="73">
        <v>727</v>
      </c>
      <c r="I1493" s="73">
        <v>-142</v>
      </c>
      <c r="J1493" s="73">
        <v>-11</v>
      </c>
      <c r="K1493" s="73">
        <v>-202</v>
      </c>
      <c r="L1493" s="73">
        <v>-50</v>
      </c>
      <c r="M1493" s="73">
        <v>-31</v>
      </c>
      <c r="N1493" s="73">
        <v>-75</v>
      </c>
      <c r="O1493" s="73">
        <v>-44</v>
      </c>
      <c r="P1493" s="73">
        <v>-30</v>
      </c>
      <c r="Q1493" s="73">
        <v>-22</v>
      </c>
      <c r="R1493" s="73">
        <v>0</v>
      </c>
      <c r="S1493" s="73">
        <v>0</v>
      </c>
      <c r="T1493" s="73">
        <v>0</v>
      </c>
      <c r="U1493" s="73">
        <v>0</v>
      </c>
      <c r="V1493" s="73">
        <v>0</v>
      </c>
      <c r="W1493" s="73">
        <v>0</v>
      </c>
      <c r="X1493" s="73">
        <v>0</v>
      </c>
      <c r="Y1493" s="73">
        <v>0</v>
      </c>
      <c r="Z1493" s="73">
        <v>1022</v>
      </c>
      <c r="AA1493" s="73">
        <v>1093</v>
      </c>
      <c r="AB1493" s="73">
        <v>0</v>
      </c>
      <c r="AC1493" s="73">
        <v>0</v>
      </c>
      <c r="AD1493" s="73">
        <v>0</v>
      </c>
      <c r="AE1493" s="73">
        <v>0</v>
      </c>
      <c r="AF1493" s="74">
        <f>tblData[[#This Row],[Gross Sales]]+tblData[[#This Row],[Trade Discounts]]+tblData[[#This Row],[Returns]]</f>
        <v>574</v>
      </c>
      <c r="AG1493" s="74">
        <f>tblData[[#This Row],[Material Cost]]+tblData[[#This Row],[Conversion Cost]]+tblData[[#This Row],[Inbound Freight]]</f>
        <v>-283</v>
      </c>
      <c r="AH1493" s="74">
        <f>tblData[[#This Row],[Net Revenue]]+tblData[[#This Row],[COGS]]</f>
        <v>291</v>
      </c>
      <c r="AI1493" s="74">
        <f>tblData[[#This Row],[Advertising]]+tblData[[#This Row],[Promotions]]</f>
        <v>-119</v>
      </c>
      <c r="AJ1493" s="74">
        <f>tblData[[#This Row],[Outbound Logistics]]+tblData[[#This Row],[Direct Selling]]</f>
        <v>-52</v>
      </c>
      <c r="AK1493" s="74">
        <f>tblData[[#This Row],[Gross Profit]]+tblData[[#This Row],[AP Spend]]+tblData[[#This Row],[Cost to Serve]]</f>
        <v>120</v>
      </c>
    </row>
    <row r="1494" spans="2:37" x14ac:dyDescent="0.25">
      <c r="B1494" s="71" t="s">
        <v>36</v>
      </c>
      <c r="C1494" s="71">
        <v>2026</v>
      </c>
      <c r="D1494" s="71">
        <v>4</v>
      </c>
      <c r="E1494" s="71" t="s">
        <v>44</v>
      </c>
      <c r="F1494" s="71" t="s">
        <v>38</v>
      </c>
      <c r="G1494" s="72">
        <v>236.4</v>
      </c>
      <c r="H1494" s="73">
        <v>3343</v>
      </c>
      <c r="I1494" s="73">
        <v>-542</v>
      </c>
      <c r="J1494" s="73">
        <v>-40</v>
      </c>
      <c r="K1494" s="73">
        <v>-733</v>
      </c>
      <c r="L1494" s="73">
        <v>-181</v>
      </c>
      <c r="M1494" s="73">
        <v>-112</v>
      </c>
      <c r="N1494" s="73">
        <v>-180</v>
      </c>
      <c r="O1494" s="73">
        <v>-106</v>
      </c>
      <c r="P1494" s="73">
        <v>-138</v>
      </c>
      <c r="Q1494" s="73">
        <v>-100</v>
      </c>
      <c r="R1494" s="73">
        <v>0</v>
      </c>
      <c r="S1494" s="73">
        <v>0</v>
      </c>
      <c r="T1494" s="73">
        <v>0</v>
      </c>
      <c r="U1494" s="73">
        <v>0</v>
      </c>
      <c r="V1494" s="73">
        <v>0</v>
      </c>
      <c r="W1494" s="73">
        <v>0</v>
      </c>
      <c r="X1494" s="73">
        <v>0</v>
      </c>
      <c r="Y1494" s="73">
        <v>0</v>
      </c>
      <c r="Z1494" s="73">
        <v>4585</v>
      </c>
      <c r="AA1494" s="73">
        <v>3246</v>
      </c>
      <c r="AB1494" s="73">
        <v>0</v>
      </c>
      <c r="AC1494" s="73">
        <v>0</v>
      </c>
      <c r="AD1494" s="73">
        <v>0</v>
      </c>
      <c r="AE1494" s="73">
        <v>0</v>
      </c>
      <c r="AF1494" s="74">
        <f>tblData[[#This Row],[Gross Sales]]+tblData[[#This Row],[Trade Discounts]]+tblData[[#This Row],[Returns]]</f>
        <v>2761</v>
      </c>
      <c r="AG1494" s="74">
        <f>tblData[[#This Row],[Material Cost]]+tblData[[#This Row],[Conversion Cost]]+tblData[[#This Row],[Inbound Freight]]</f>
        <v>-1026</v>
      </c>
      <c r="AH1494" s="74">
        <f>tblData[[#This Row],[Net Revenue]]+tblData[[#This Row],[COGS]]</f>
        <v>1735</v>
      </c>
      <c r="AI1494" s="74">
        <f>tblData[[#This Row],[Advertising]]+tblData[[#This Row],[Promotions]]</f>
        <v>-286</v>
      </c>
      <c r="AJ1494" s="74">
        <f>tblData[[#This Row],[Outbound Logistics]]+tblData[[#This Row],[Direct Selling]]</f>
        <v>-238</v>
      </c>
      <c r="AK1494" s="74">
        <f>tblData[[#This Row],[Gross Profit]]+tblData[[#This Row],[AP Spend]]+tblData[[#This Row],[Cost to Serve]]</f>
        <v>1211</v>
      </c>
    </row>
    <row r="1495" spans="2:37" x14ac:dyDescent="0.25">
      <c r="B1495" s="71" t="s">
        <v>36</v>
      </c>
      <c r="C1495" s="71">
        <v>2026</v>
      </c>
      <c r="D1495" s="71">
        <v>4</v>
      </c>
      <c r="E1495" s="71" t="s">
        <v>44</v>
      </c>
      <c r="F1495" s="71" t="s">
        <v>39</v>
      </c>
      <c r="G1495" s="72">
        <v>317.60000000000002</v>
      </c>
      <c r="H1495" s="73">
        <v>2875</v>
      </c>
      <c r="I1495" s="73">
        <v>-466</v>
      </c>
      <c r="J1495" s="73">
        <v>-35</v>
      </c>
      <c r="K1495" s="73">
        <v>-757</v>
      </c>
      <c r="L1495" s="73">
        <v>-186</v>
      </c>
      <c r="M1495" s="73">
        <v>-116</v>
      </c>
      <c r="N1495" s="73">
        <v>-103</v>
      </c>
      <c r="O1495" s="73">
        <v>-61</v>
      </c>
      <c r="P1495" s="73">
        <v>-118</v>
      </c>
      <c r="Q1495" s="73">
        <v>-86</v>
      </c>
      <c r="R1495" s="73">
        <v>0</v>
      </c>
      <c r="S1495" s="73">
        <v>0</v>
      </c>
      <c r="T1495" s="73">
        <v>0</v>
      </c>
      <c r="U1495" s="73">
        <v>0</v>
      </c>
      <c r="V1495" s="73">
        <v>0</v>
      </c>
      <c r="W1495" s="73">
        <v>0</v>
      </c>
      <c r="X1495" s="73">
        <v>0</v>
      </c>
      <c r="Y1495" s="73">
        <v>0</v>
      </c>
      <c r="Z1495" s="73">
        <v>3932</v>
      </c>
      <c r="AA1495" s="73">
        <v>2844</v>
      </c>
      <c r="AB1495" s="73">
        <v>0</v>
      </c>
      <c r="AC1495" s="73">
        <v>0</v>
      </c>
      <c r="AD1495" s="73">
        <v>0</v>
      </c>
      <c r="AE1495" s="73">
        <v>0</v>
      </c>
      <c r="AF1495" s="74">
        <f>tblData[[#This Row],[Gross Sales]]+tblData[[#This Row],[Trade Discounts]]+tblData[[#This Row],[Returns]]</f>
        <v>2374</v>
      </c>
      <c r="AG1495" s="74">
        <f>tblData[[#This Row],[Material Cost]]+tblData[[#This Row],[Conversion Cost]]+tblData[[#This Row],[Inbound Freight]]</f>
        <v>-1059</v>
      </c>
      <c r="AH1495" s="74">
        <f>tblData[[#This Row],[Net Revenue]]+tblData[[#This Row],[COGS]]</f>
        <v>1315</v>
      </c>
      <c r="AI1495" s="74">
        <f>tblData[[#This Row],[Advertising]]+tblData[[#This Row],[Promotions]]</f>
        <v>-164</v>
      </c>
      <c r="AJ1495" s="74">
        <f>tblData[[#This Row],[Outbound Logistics]]+tblData[[#This Row],[Direct Selling]]</f>
        <v>-204</v>
      </c>
      <c r="AK1495" s="74">
        <f>tblData[[#This Row],[Gross Profit]]+tblData[[#This Row],[AP Spend]]+tblData[[#This Row],[Cost to Serve]]</f>
        <v>947</v>
      </c>
    </row>
    <row r="1496" spans="2:37" x14ac:dyDescent="0.25">
      <c r="B1496" s="71" t="s">
        <v>36</v>
      </c>
      <c r="C1496" s="71">
        <v>2026</v>
      </c>
      <c r="D1496" s="71">
        <v>4</v>
      </c>
      <c r="E1496" s="71" t="s">
        <v>44</v>
      </c>
      <c r="F1496" s="71" t="s">
        <v>40</v>
      </c>
      <c r="G1496" s="72">
        <v>306.8</v>
      </c>
      <c r="H1496" s="73">
        <v>2156</v>
      </c>
      <c r="I1496" s="73">
        <v>-349</v>
      </c>
      <c r="J1496" s="73">
        <v>-26</v>
      </c>
      <c r="K1496" s="73">
        <v>-630</v>
      </c>
      <c r="L1496" s="73">
        <v>-155</v>
      </c>
      <c r="M1496" s="73">
        <v>-97</v>
      </c>
      <c r="N1496" s="73">
        <v>-51</v>
      </c>
      <c r="O1496" s="73">
        <v>-30</v>
      </c>
      <c r="P1496" s="73">
        <v>-89</v>
      </c>
      <c r="Q1496" s="73">
        <v>-65</v>
      </c>
      <c r="R1496" s="73">
        <v>0</v>
      </c>
      <c r="S1496" s="73">
        <v>0</v>
      </c>
      <c r="T1496" s="73">
        <v>0</v>
      </c>
      <c r="U1496" s="73">
        <v>0</v>
      </c>
      <c r="V1496" s="73">
        <v>0</v>
      </c>
      <c r="W1496" s="73">
        <v>0</v>
      </c>
      <c r="X1496" s="73">
        <v>0</v>
      </c>
      <c r="Y1496" s="73">
        <v>0</v>
      </c>
      <c r="Z1496" s="73">
        <v>2909</v>
      </c>
      <c r="AA1496" s="73">
        <v>2202</v>
      </c>
      <c r="AB1496" s="73">
        <v>0</v>
      </c>
      <c r="AC1496" s="73">
        <v>0</v>
      </c>
      <c r="AD1496" s="73">
        <v>0</v>
      </c>
      <c r="AE1496" s="73">
        <v>0</v>
      </c>
      <c r="AF1496" s="74">
        <f>tblData[[#This Row],[Gross Sales]]+tblData[[#This Row],[Trade Discounts]]+tblData[[#This Row],[Returns]]</f>
        <v>1781</v>
      </c>
      <c r="AG1496" s="74">
        <f>tblData[[#This Row],[Material Cost]]+tblData[[#This Row],[Conversion Cost]]+tblData[[#This Row],[Inbound Freight]]</f>
        <v>-882</v>
      </c>
      <c r="AH1496" s="74">
        <f>tblData[[#This Row],[Net Revenue]]+tblData[[#This Row],[COGS]]</f>
        <v>899</v>
      </c>
      <c r="AI1496" s="74">
        <f>tblData[[#This Row],[Advertising]]+tblData[[#This Row],[Promotions]]</f>
        <v>-81</v>
      </c>
      <c r="AJ1496" s="74">
        <f>tblData[[#This Row],[Outbound Logistics]]+tblData[[#This Row],[Direct Selling]]</f>
        <v>-154</v>
      </c>
      <c r="AK1496" s="74">
        <f>tblData[[#This Row],[Gross Profit]]+tblData[[#This Row],[AP Spend]]+tblData[[#This Row],[Cost to Serve]]</f>
        <v>664</v>
      </c>
    </row>
    <row r="1497" spans="2:37" x14ac:dyDescent="0.25">
      <c r="B1497" s="71" t="s">
        <v>36</v>
      </c>
      <c r="C1497" s="71">
        <v>2026</v>
      </c>
      <c r="D1497" s="71">
        <v>4</v>
      </c>
      <c r="E1497" s="71" t="s">
        <v>44</v>
      </c>
      <c r="F1497" s="71" t="s">
        <v>41</v>
      </c>
      <c r="G1497" s="72">
        <v>152.69999999999999</v>
      </c>
      <c r="H1497" s="73">
        <v>1691</v>
      </c>
      <c r="I1497" s="73">
        <v>-274</v>
      </c>
      <c r="J1497" s="73">
        <v>-20</v>
      </c>
      <c r="K1497" s="73">
        <v>-408</v>
      </c>
      <c r="L1497" s="73">
        <v>-100</v>
      </c>
      <c r="M1497" s="73">
        <v>-63</v>
      </c>
      <c r="N1497" s="73">
        <v>-110</v>
      </c>
      <c r="O1497" s="73">
        <v>-65</v>
      </c>
      <c r="P1497" s="73">
        <v>-70</v>
      </c>
      <c r="Q1497" s="73">
        <v>-51</v>
      </c>
      <c r="R1497" s="73">
        <v>0</v>
      </c>
      <c r="S1497" s="73">
        <v>0</v>
      </c>
      <c r="T1497" s="73">
        <v>0</v>
      </c>
      <c r="U1497" s="73">
        <v>0</v>
      </c>
      <c r="V1497" s="73">
        <v>0</v>
      </c>
      <c r="W1497" s="73">
        <v>0</v>
      </c>
      <c r="X1497" s="73">
        <v>0</v>
      </c>
      <c r="Y1497" s="73">
        <v>0</v>
      </c>
      <c r="Z1497" s="73">
        <v>2321</v>
      </c>
      <c r="AA1497" s="73">
        <v>1718</v>
      </c>
      <c r="AB1497" s="73">
        <v>0</v>
      </c>
      <c r="AC1497" s="73">
        <v>0</v>
      </c>
      <c r="AD1497" s="73">
        <v>0</v>
      </c>
      <c r="AE1497" s="73">
        <v>0</v>
      </c>
      <c r="AF1497" s="74">
        <f>tblData[[#This Row],[Gross Sales]]+tblData[[#This Row],[Trade Discounts]]+tblData[[#This Row],[Returns]]</f>
        <v>1397</v>
      </c>
      <c r="AG1497" s="74">
        <f>tblData[[#This Row],[Material Cost]]+tblData[[#This Row],[Conversion Cost]]+tblData[[#This Row],[Inbound Freight]]</f>
        <v>-571</v>
      </c>
      <c r="AH1497" s="74">
        <f>tblData[[#This Row],[Net Revenue]]+tblData[[#This Row],[COGS]]</f>
        <v>826</v>
      </c>
      <c r="AI1497" s="74">
        <f>tblData[[#This Row],[Advertising]]+tblData[[#This Row],[Promotions]]</f>
        <v>-175</v>
      </c>
      <c r="AJ1497" s="74">
        <f>tblData[[#This Row],[Outbound Logistics]]+tblData[[#This Row],[Direct Selling]]</f>
        <v>-121</v>
      </c>
      <c r="AK1497" s="74">
        <f>tblData[[#This Row],[Gross Profit]]+tblData[[#This Row],[AP Spend]]+tblData[[#This Row],[Cost to Serve]]</f>
        <v>530</v>
      </c>
    </row>
    <row r="1498" spans="2:37" x14ac:dyDescent="0.25">
      <c r="B1498" s="71" t="s">
        <v>36</v>
      </c>
      <c r="C1498" s="71">
        <v>2026</v>
      </c>
      <c r="D1498" s="71">
        <v>4</v>
      </c>
      <c r="E1498" s="71" t="s">
        <v>44</v>
      </c>
      <c r="F1498" s="71" t="s">
        <v>42</v>
      </c>
      <c r="G1498" s="72">
        <v>187.1</v>
      </c>
      <c r="H1498" s="73">
        <v>1123</v>
      </c>
      <c r="I1498" s="73">
        <v>-182</v>
      </c>
      <c r="J1498" s="73">
        <v>-13</v>
      </c>
      <c r="K1498" s="73">
        <v>-361</v>
      </c>
      <c r="L1498" s="73">
        <v>-89</v>
      </c>
      <c r="M1498" s="73">
        <v>-55</v>
      </c>
      <c r="N1498" s="73">
        <v>-21</v>
      </c>
      <c r="O1498" s="73">
        <v>-13</v>
      </c>
      <c r="P1498" s="73">
        <v>-46</v>
      </c>
      <c r="Q1498" s="73">
        <v>-34</v>
      </c>
      <c r="R1498" s="73">
        <v>0</v>
      </c>
      <c r="S1498" s="73">
        <v>0</v>
      </c>
      <c r="T1498" s="73">
        <v>0</v>
      </c>
      <c r="U1498" s="73">
        <v>0</v>
      </c>
      <c r="V1498" s="73">
        <v>0</v>
      </c>
      <c r="W1498" s="73">
        <v>0</v>
      </c>
      <c r="X1498" s="73">
        <v>0</v>
      </c>
      <c r="Y1498" s="73">
        <v>0</v>
      </c>
      <c r="Z1498" s="73">
        <v>1510</v>
      </c>
      <c r="AA1498" s="73">
        <v>1940</v>
      </c>
      <c r="AB1498" s="73">
        <v>0</v>
      </c>
      <c r="AC1498" s="73">
        <v>0</v>
      </c>
      <c r="AD1498" s="73">
        <v>0</v>
      </c>
      <c r="AE1498" s="73">
        <v>0</v>
      </c>
      <c r="AF1498" s="74">
        <f>tblData[[#This Row],[Gross Sales]]+tblData[[#This Row],[Trade Discounts]]+tblData[[#This Row],[Returns]]</f>
        <v>928</v>
      </c>
      <c r="AG1498" s="74">
        <f>tblData[[#This Row],[Material Cost]]+tblData[[#This Row],[Conversion Cost]]+tblData[[#This Row],[Inbound Freight]]</f>
        <v>-505</v>
      </c>
      <c r="AH1498" s="74">
        <f>tblData[[#This Row],[Net Revenue]]+tblData[[#This Row],[COGS]]</f>
        <v>423</v>
      </c>
      <c r="AI1498" s="74">
        <f>tblData[[#This Row],[Advertising]]+tblData[[#This Row],[Promotions]]</f>
        <v>-34</v>
      </c>
      <c r="AJ1498" s="74">
        <f>tblData[[#This Row],[Outbound Logistics]]+tblData[[#This Row],[Direct Selling]]</f>
        <v>-80</v>
      </c>
      <c r="AK1498" s="74">
        <f>tblData[[#This Row],[Gross Profit]]+tblData[[#This Row],[AP Spend]]+tblData[[#This Row],[Cost to Serve]]</f>
        <v>309</v>
      </c>
    </row>
    <row r="1499" spans="2:37" x14ac:dyDescent="0.25">
      <c r="B1499" s="71" t="s">
        <v>36</v>
      </c>
      <c r="C1499" s="71">
        <v>2026</v>
      </c>
      <c r="D1499" s="71">
        <v>4</v>
      </c>
      <c r="E1499" s="71" t="s">
        <v>44</v>
      </c>
      <c r="F1499" s="71" t="s">
        <v>43</v>
      </c>
      <c r="G1499" s="72">
        <v>34.4</v>
      </c>
      <c r="H1499" s="73">
        <v>622</v>
      </c>
      <c r="I1499" s="73">
        <v>-101</v>
      </c>
      <c r="J1499" s="73">
        <v>-7</v>
      </c>
      <c r="K1499" s="73">
        <v>-173</v>
      </c>
      <c r="L1499" s="73">
        <v>-43</v>
      </c>
      <c r="M1499" s="73">
        <v>-26</v>
      </c>
      <c r="N1499" s="73">
        <v>-60</v>
      </c>
      <c r="O1499" s="73">
        <v>-35</v>
      </c>
      <c r="P1499" s="73">
        <v>-26</v>
      </c>
      <c r="Q1499" s="73">
        <v>-19</v>
      </c>
      <c r="R1499" s="73">
        <v>0</v>
      </c>
      <c r="S1499" s="73">
        <v>0</v>
      </c>
      <c r="T1499" s="73">
        <v>0</v>
      </c>
      <c r="U1499" s="73">
        <v>0</v>
      </c>
      <c r="V1499" s="73">
        <v>0</v>
      </c>
      <c r="W1499" s="73">
        <v>0</v>
      </c>
      <c r="X1499" s="73">
        <v>0</v>
      </c>
      <c r="Y1499" s="73">
        <v>0</v>
      </c>
      <c r="Z1499" s="73">
        <v>847</v>
      </c>
      <c r="AA1499" s="73">
        <v>948</v>
      </c>
      <c r="AB1499" s="73">
        <v>0</v>
      </c>
      <c r="AC1499" s="73">
        <v>0</v>
      </c>
      <c r="AD1499" s="73">
        <v>0</v>
      </c>
      <c r="AE1499" s="73">
        <v>0</v>
      </c>
      <c r="AF1499" s="74">
        <f>tblData[[#This Row],[Gross Sales]]+tblData[[#This Row],[Trade Discounts]]+tblData[[#This Row],[Returns]]</f>
        <v>514</v>
      </c>
      <c r="AG1499" s="74">
        <f>tblData[[#This Row],[Material Cost]]+tblData[[#This Row],[Conversion Cost]]+tblData[[#This Row],[Inbound Freight]]</f>
        <v>-242</v>
      </c>
      <c r="AH1499" s="74">
        <f>tblData[[#This Row],[Net Revenue]]+tblData[[#This Row],[COGS]]</f>
        <v>272</v>
      </c>
      <c r="AI1499" s="74">
        <f>tblData[[#This Row],[Advertising]]+tblData[[#This Row],[Promotions]]</f>
        <v>-95</v>
      </c>
      <c r="AJ1499" s="74">
        <f>tblData[[#This Row],[Outbound Logistics]]+tblData[[#This Row],[Direct Selling]]</f>
        <v>-45</v>
      </c>
      <c r="AK1499" s="74">
        <f>tblData[[#This Row],[Gross Profit]]+tblData[[#This Row],[AP Spend]]+tblData[[#This Row],[Cost to Serve]]</f>
        <v>132</v>
      </c>
    </row>
    <row r="1500" spans="2:37" x14ac:dyDescent="0.25">
      <c r="B1500" s="71" t="s">
        <v>36</v>
      </c>
      <c r="C1500" s="71">
        <v>2026</v>
      </c>
      <c r="D1500" s="71">
        <v>4</v>
      </c>
      <c r="E1500" s="71" t="s">
        <v>45</v>
      </c>
      <c r="F1500" s="71" t="s">
        <v>38</v>
      </c>
      <c r="G1500" s="72">
        <v>139.5</v>
      </c>
      <c r="H1500" s="73">
        <v>1949</v>
      </c>
      <c r="I1500" s="73">
        <v>-452</v>
      </c>
      <c r="J1500" s="73">
        <v>-19</v>
      </c>
      <c r="K1500" s="73">
        <v>-427</v>
      </c>
      <c r="L1500" s="73">
        <v>-105</v>
      </c>
      <c r="M1500" s="73">
        <v>-66</v>
      </c>
      <c r="N1500" s="73">
        <v>-105</v>
      </c>
      <c r="O1500" s="73">
        <v>-62</v>
      </c>
      <c r="P1500" s="73">
        <v>-70</v>
      </c>
      <c r="Q1500" s="73">
        <v>-39</v>
      </c>
      <c r="R1500" s="73">
        <v>0</v>
      </c>
      <c r="S1500" s="73">
        <v>0</v>
      </c>
      <c r="T1500" s="73">
        <v>0</v>
      </c>
      <c r="U1500" s="73">
        <v>0</v>
      </c>
      <c r="V1500" s="73">
        <v>0</v>
      </c>
      <c r="W1500" s="73">
        <v>0</v>
      </c>
      <c r="X1500" s="73">
        <v>0</v>
      </c>
      <c r="Y1500" s="73">
        <v>0</v>
      </c>
      <c r="Z1500" s="73">
        <v>2244</v>
      </c>
      <c r="AA1500" s="73">
        <v>1912</v>
      </c>
      <c r="AB1500" s="73">
        <v>0</v>
      </c>
      <c r="AC1500" s="73">
        <v>0</v>
      </c>
      <c r="AD1500" s="73">
        <v>0</v>
      </c>
      <c r="AE1500" s="73">
        <v>0</v>
      </c>
      <c r="AF1500" s="74">
        <f>tblData[[#This Row],[Gross Sales]]+tblData[[#This Row],[Trade Discounts]]+tblData[[#This Row],[Returns]]</f>
        <v>1478</v>
      </c>
      <c r="AG1500" s="74">
        <f>tblData[[#This Row],[Material Cost]]+tblData[[#This Row],[Conversion Cost]]+tblData[[#This Row],[Inbound Freight]]</f>
        <v>-598</v>
      </c>
      <c r="AH1500" s="74">
        <f>tblData[[#This Row],[Net Revenue]]+tblData[[#This Row],[COGS]]</f>
        <v>880</v>
      </c>
      <c r="AI1500" s="74">
        <f>tblData[[#This Row],[Advertising]]+tblData[[#This Row],[Promotions]]</f>
        <v>-167</v>
      </c>
      <c r="AJ1500" s="74">
        <f>tblData[[#This Row],[Outbound Logistics]]+tblData[[#This Row],[Direct Selling]]</f>
        <v>-109</v>
      </c>
      <c r="AK1500" s="74">
        <f>tblData[[#This Row],[Gross Profit]]+tblData[[#This Row],[AP Spend]]+tblData[[#This Row],[Cost to Serve]]</f>
        <v>604</v>
      </c>
    </row>
    <row r="1501" spans="2:37" x14ac:dyDescent="0.25">
      <c r="B1501" s="71" t="s">
        <v>36</v>
      </c>
      <c r="C1501" s="71">
        <v>2026</v>
      </c>
      <c r="D1501" s="71">
        <v>4</v>
      </c>
      <c r="E1501" s="71" t="s">
        <v>45</v>
      </c>
      <c r="F1501" s="71" t="s">
        <v>39</v>
      </c>
      <c r="G1501" s="72">
        <v>181.5</v>
      </c>
      <c r="H1501" s="73">
        <v>1623</v>
      </c>
      <c r="I1501" s="73">
        <v>-377</v>
      </c>
      <c r="J1501" s="73">
        <v>-16</v>
      </c>
      <c r="K1501" s="73">
        <v>-427</v>
      </c>
      <c r="L1501" s="73">
        <v>-105</v>
      </c>
      <c r="M1501" s="73">
        <v>-65</v>
      </c>
      <c r="N1501" s="73">
        <v>-60</v>
      </c>
      <c r="O1501" s="73">
        <v>-35</v>
      </c>
      <c r="P1501" s="73">
        <v>-59</v>
      </c>
      <c r="Q1501" s="73">
        <v>-32</v>
      </c>
      <c r="R1501" s="73">
        <v>0</v>
      </c>
      <c r="S1501" s="73">
        <v>0</v>
      </c>
      <c r="T1501" s="73">
        <v>0</v>
      </c>
      <c r="U1501" s="73">
        <v>0</v>
      </c>
      <c r="V1501" s="73">
        <v>0</v>
      </c>
      <c r="W1501" s="73">
        <v>0</v>
      </c>
      <c r="X1501" s="73">
        <v>0</v>
      </c>
      <c r="Y1501" s="73">
        <v>0</v>
      </c>
      <c r="Z1501" s="73">
        <v>1833</v>
      </c>
      <c r="AA1501" s="73">
        <v>1596</v>
      </c>
      <c r="AB1501" s="73">
        <v>0</v>
      </c>
      <c r="AC1501" s="73">
        <v>0</v>
      </c>
      <c r="AD1501" s="73">
        <v>0</v>
      </c>
      <c r="AE1501" s="73">
        <v>0</v>
      </c>
      <c r="AF1501" s="74">
        <f>tblData[[#This Row],[Gross Sales]]+tblData[[#This Row],[Trade Discounts]]+tblData[[#This Row],[Returns]]</f>
        <v>1230</v>
      </c>
      <c r="AG1501" s="74">
        <f>tblData[[#This Row],[Material Cost]]+tblData[[#This Row],[Conversion Cost]]+tblData[[#This Row],[Inbound Freight]]</f>
        <v>-597</v>
      </c>
      <c r="AH1501" s="74">
        <f>tblData[[#This Row],[Net Revenue]]+tblData[[#This Row],[COGS]]</f>
        <v>633</v>
      </c>
      <c r="AI1501" s="74">
        <f>tblData[[#This Row],[Advertising]]+tblData[[#This Row],[Promotions]]</f>
        <v>-95</v>
      </c>
      <c r="AJ1501" s="74">
        <f>tblData[[#This Row],[Outbound Logistics]]+tblData[[#This Row],[Direct Selling]]</f>
        <v>-91</v>
      </c>
      <c r="AK1501" s="74">
        <f>tblData[[#This Row],[Gross Profit]]+tblData[[#This Row],[AP Spend]]+tblData[[#This Row],[Cost to Serve]]</f>
        <v>447</v>
      </c>
    </row>
    <row r="1502" spans="2:37" x14ac:dyDescent="0.25">
      <c r="B1502" s="71" t="s">
        <v>36</v>
      </c>
      <c r="C1502" s="71">
        <v>2026</v>
      </c>
      <c r="D1502" s="71">
        <v>4</v>
      </c>
      <c r="E1502" s="71" t="s">
        <v>45</v>
      </c>
      <c r="F1502" s="71" t="s">
        <v>40</v>
      </c>
      <c r="G1502" s="72">
        <v>171.2</v>
      </c>
      <c r="H1502" s="73">
        <v>1189</v>
      </c>
      <c r="I1502" s="73">
        <v>-276</v>
      </c>
      <c r="J1502" s="73">
        <v>-12</v>
      </c>
      <c r="K1502" s="73">
        <v>-348</v>
      </c>
      <c r="L1502" s="73">
        <v>-86</v>
      </c>
      <c r="M1502" s="73">
        <v>-53</v>
      </c>
      <c r="N1502" s="73">
        <v>-30</v>
      </c>
      <c r="O1502" s="73">
        <v>-18</v>
      </c>
      <c r="P1502" s="73">
        <v>-43</v>
      </c>
      <c r="Q1502" s="73">
        <v>-24</v>
      </c>
      <c r="R1502" s="73">
        <v>0</v>
      </c>
      <c r="S1502" s="73">
        <v>0</v>
      </c>
      <c r="T1502" s="73">
        <v>0</v>
      </c>
      <c r="U1502" s="73">
        <v>0</v>
      </c>
      <c r="V1502" s="73">
        <v>0</v>
      </c>
      <c r="W1502" s="73">
        <v>0</v>
      </c>
      <c r="X1502" s="73">
        <v>0</v>
      </c>
      <c r="Y1502" s="73">
        <v>0</v>
      </c>
      <c r="Z1502" s="73">
        <v>1364</v>
      </c>
      <c r="AA1502" s="73">
        <v>1242</v>
      </c>
      <c r="AB1502" s="73">
        <v>0</v>
      </c>
      <c r="AC1502" s="73">
        <v>0</v>
      </c>
      <c r="AD1502" s="73">
        <v>0</v>
      </c>
      <c r="AE1502" s="73">
        <v>0</v>
      </c>
      <c r="AF1502" s="74">
        <f>tblData[[#This Row],[Gross Sales]]+tblData[[#This Row],[Trade Discounts]]+tblData[[#This Row],[Returns]]</f>
        <v>901</v>
      </c>
      <c r="AG1502" s="74">
        <f>tblData[[#This Row],[Material Cost]]+tblData[[#This Row],[Conversion Cost]]+tblData[[#This Row],[Inbound Freight]]</f>
        <v>-487</v>
      </c>
      <c r="AH1502" s="74">
        <f>tblData[[#This Row],[Net Revenue]]+tblData[[#This Row],[COGS]]</f>
        <v>414</v>
      </c>
      <c r="AI1502" s="74">
        <f>tblData[[#This Row],[Advertising]]+tblData[[#This Row],[Promotions]]</f>
        <v>-48</v>
      </c>
      <c r="AJ1502" s="74">
        <f>tblData[[#This Row],[Outbound Logistics]]+tblData[[#This Row],[Direct Selling]]</f>
        <v>-67</v>
      </c>
      <c r="AK1502" s="74">
        <f>tblData[[#This Row],[Gross Profit]]+tblData[[#This Row],[AP Spend]]+tblData[[#This Row],[Cost to Serve]]</f>
        <v>299</v>
      </c>
    </row>
    <row r="1503" spans="2:37" x14ac:dyDescent="0.25">
      <c r="B1503" s="71" t="s">
        <v>36</v>
      </c>
      <c r="C1503" s="71">
        <v>2026</v>
      </c>
      <c r="D1503" s="71">
        <v>4</v>
      </c>
      <c r="E1503" s="71" t="s">
        <v>45</v>
      </c>
      <c r="F1503" s="71" t="s">
        <v>41</v>
      </c>
      <c r="G1503" s="72">
        <v>85.2</v>
      </c>
      <c r="H1503" s="73">
        <v>933</v>
      </c>
      <c r="I1503" s="73">
        <v>-216</v>
      </c>
      <c r="J1503" s="73">
        <v>-9</v>
      </c>
      <c r="K1503" s="73">
        <v>-225</v>
      </c>
      <c r="L1503" s="73">
        <v>-55</v>
      </c>
      <c r="M1503" s="73">
        <v>-34</v>
      </c>
      <c r="N1503" s="73">
        <v>-64</v>
      </c>
      <c r="O1503" s="73">
        <v>-38</v>
      </c>
      <c r="P1503" s="73">
        <v>-34</v>
      </c>
      <c r="Q1503" s="73">
        <v>-19</v>
      </c>
      <c r="R1503" s="73">
        <v>0</v>
      </c>
      <c r="S1503" s="73">
        <v>0</v>
      </c>
      <c r="T1503" s="73">
        <v>0</v>
      </c>
      <c r="U1503" s="73">
        <v>0</v>
      </c>
      <c r="V1503" s="73">
        <v>0</v>
      </c>
      <c r="W1503" s="73">
        <v>0</v>
      </c>
      <c r="X1503" s="73">
        <v>0</v>
      </c>
      <c r="Y1503" s="73">
        <v>0</v>
      </c>
      <c r="Z1503" s="73">
        <v>1060</v>
      </c>
      <c r="AA1503" s="73">
        <v>944</v>
      </c>
      <c r="AB1503" s="73">
        <v>0</v>
      </c>
      <c r="AC1503" s="73">
        <v>0</v>
      </c>
      <c r="AD1503" s="73">
        <v>0</v>
      </c>
      <c r="AE1503" s="73">
        <v>0</v>
      </c>
      <c r="AF1503" s="74">
        <f>tblData[[#This Row],[Gross Sales]]+tblData[[#This Row],[Trade Discounts]]+tblData[[#This Row],[Returns]]</f>
        <v>708</v>
      </c>
      <c r="AG1503" s="74">
        <f>tblData[[#This Row],[Material Cost]]+tblData[[#This Row],[Conversion Cost]]+tblData[[#This Row],[Inbound Freight]]</f>
        <v>-314</v>
      </c>
      <c r="AH1503" s="74">
        <f>tblData[[#This Row],[Net Revenue]]+tblData[[#This Row],[COGS]]</f>
        <v>394</v>
      </c>
      <c r="AI1503" s="74">
        <f>tblData[[#This Row],[Advertising]]+tblData[[#This Row],[Promotions]]</f>
        <v>-102</v>
      </c>
      <c r="AJ1503" s="74">
        <f>tblData[[#This Row],[Outbound Logistics]]+tblData[[#This Row],[Direct Selling]]</f>
        <v>-53</v>
      </c>
      <c r="AK1503" s="74">
        <f>tblData[[#This Row],[Gross Profit]]+tblData[[#This Row],[AP Spend]]+tblData[[#This Row],[Cost to Serve]]</f>
        <v>239</v>
      </c>
    </row>
    <row r="1504" spans="2:37" x14ac:dyDescent="0.25">
      <c r="B1504" s="71" t="s">
        <v>36</v>
      </c>
      <c r="C1504" s="71">
        <v>2026</v>
      </c>
      <c r="D1504" s="71">
        <v>4</v>
      </c>
      <c r="E1504" s="71" t="s">
        <v>45</v>
      </c>
      <c r="F1504" s="71" t="s">
        <v>42</v>
      </c>
      <c r="G1504" s="72">
        <v>101.1</v>
      </c>
      <c r="H1504" s="73">
        <v>600</v>
      </c>
      <c r="I1504" s="73">
        <v>-139</v>
      </c>
      <c r="J1504" s="73">
        <v>-6</v>
      </c>
      <c r="K1504" s="73">
        <v>-193</v>
      </c>
      <c r="L1504" s="73">
        <v>-47</v>
      </c>
      <c r="M1504" s="73">
        <v>-30</v>
      </c>
      <c r="N1504" s="73">
        <v>-12</v>
      </c>
      <c r="O1504" s="73">
        <v>-7</v>
      </c>
      <c r="P1504" s="73">
        <v>-22</v>
      </c>
      <c r="Q1504" s="73">
        <v>-12</v>
      </c>
      <c r="R1504" s="73">
        <v>0</v>
      </c>
      <c r="S1504" s="73">
        <v>0</v>
      </c>
      <c r="T1504" s="73">
        <v>0</v>
      </c>
      <c r="U1504" s="73">
        <v>0</v>
      </c>
      <c r="V1504" s="73">
        <v>0</v>
      </c>
      <c r="W1504" s="73">
        <v>0</v>
      </c>
      <c r="X1504" s="73">
        <v>0</v>
      </c>
      <c r="Y1504" s="73">
        <v>0</v>
      </c>
      <c r="Z1504" s="73">
        <v>698</v>
      </c>
      <c r="AA1504" s="73">
        <v>1078</v>
      </c>
      <c r="AB1504" s="73">
        <v>0</v>
      </c>
      <c r="AC1504" s="73">
        <v>0</v>
      </c>
      <c r="AD1504" s="73">
        <v>0</v>
      </c>
      <c r="AE1504" s="73">
        <v>0</v>
      </c>
      <c r="AF1504" s="74">
        <f>tblData[[#This Row],[Gross Sales]]+tblData[[#This Row],[Trade Discounts]]+tblData[[#This Row],[Returns]]</f>
        <v>455</v>
      </c>
      <c r="AG1504" s="74">
        <f>tblData[[#This Row],[Material Cost]]+tblData[[#This Row],[Conversion Cost]]+tblData[[#This Row],[Inbound Freight]]</f>
        <v>-270</v>
      </c>
      <c r="AH1504" s="74">
        <f>tblData[[#This Row],[Net Revenue]]+tblData[[#This Row],[COGS]]</f>
        <v>185</v>
      </c>
      <c r="AI1504" s="74">
        <f>tblData[[#This Row],[Advertising]]+tblData[[#This Row],[Promotions]]</f>
        <v>-19</v>
      </c>
      <c r="AJ1504" s="74">
        <f>tblData[[#This Row],[Outbound Logistics]]+tblData[[#This Row],[Direct Selling]]</f>
        <v>-34</v>
      </c>
      <c r="AK1504" s="74">
        <f>tblData[[#This Row],[Gross Profit]]+tblData[[#This Row],[AP Spend]]+tblData[[#This Row],[Cost to Serve]]</f>
        <v>132</v>
      </c>
    </row>
    <row r="1505" spans="2:37" x14ac:dyDescent="0.25">
      <c r="B1505" s="71" t="s">
        <v>36</v>
      </c>
      <c r="C1505" s="71">
        <v>2026</v>
      </c>
      <c r="D1505" s="71">
        <v>4</v>
      </c>
      <c r="E1505" s="71" t="s">
        <v>45</v>
      </c>
      <c r="F1505" s="71" t="s">
        <v>43</v>
      </c>
      <c r="G1505" s="72">
        <v>19.8</v>
      </c>
      <c r="H1505" s="73">
        <v>354</v>
      </c>
      <c r="I1505" s="73">
        <v>-82</v>
      </c>
      <c r="J1505" s="73">
        <v>-4</v>
      </c>
      <c r="K1505" s="73">
        <v>-98</v>
      </c>
      <c r="L1505" s="73">
        <v>-24</v>
      </c>
      <c r="M1505" s="73">
        <v>-15</v>
      </c>
      <c r="N1505" s="73">
        <v>-35</v>
      </c>
      <c r="O1505" s="73">
        <v>-21</v>
      </c>
      <c r="P1505" s="73">
        <v>-13</v>
      </c>
      <c r="Q1505" s="73">
        <v>-7</v>
      </c>
      <c r="R1505" s="73">
        <v>0</v>
      </c>
      <c r="S1505" s="73">
        <v>0</v>
      </c>
      <c r="T1505" s="73">
        <v>0</v>
      </c>
      <c r="U1505" s="73">
        <v>0</v>
      </c>
      <c r="V1505" s="73">
        <v>0</v>
      </c>
      <c r="W1505" s="73">
        <v>0</v>
      </c>
      <c r="X1505" s="73">
        <v>0</v>
      </c>
      <c r="Y1505" s="73">
        <v>0</v>
      </c>
      <c r="Z1505" s="73">
        <v>397</v>
      </c>
      <c r="AA1505" s="73">
        <v>534</v>
      </c>
      <c r="AB1505" s="73">
        <v>0</v>
      </c>
      <c r="AC1505" s="73">
        <v>0</v>
      </c>
      <c r="AD1505" s="73">
        <v>0</v>
      </c>
      <c r="AE1505" s="73">
        <v>0</v>
      </c>
      <c r="AF1505" s="74">
        <f>tblData[[#This Row],[Gross Sales]]+tblData[[#This Row],[Trade Discounts]]+tblData[[#This Row],[Returns]]</f>
        <v>268</v>
      </c>
      <c r="AG1505" s="74">
        <f>tblData[[#This Row],[Material Cost]]+tblData[[#This Row],[Conversion Cost]]+tblData[[#This Row],[Inbound Freight]]</f>
        <v>-137</v>
      </c>
      <c r="AH1505" s="74">
        <f>tblData[[#This Row],[Net Revenue]]+tblData[[#This Row],[COGS]]</f>
        <v>131</v>
      </c>
      <c r="AI1505" s="74">
        <f>tblData[[#This Row],[Advertising]]+tblData[[#This Row],[Promotions]]</f>
        <v>-56</v>
      </c>
      <c r="AJ1505" s="74">
        <f>tblData[[#This Row],[Outbound Logistics]]+tblData[[#This Row],[Direct Selling]]</f>
        <v>-20</v>
      </c>
      <c r="AK1505" s="74">
        <f>tblData[[#This Row],[Gross Profit]]+tblData[[#This Row],[AP Spend]]+tblData[[#This Row],[Cost to Serve]]</f>
        <v>55</v>
      </c>
    </row>
    <row r="1506" spans="2:37" x14ac:dyDescent="0.25">
      <c r="B1506" s="71" t="s">
        <v>36</v>
      </c>
      <c r="C1506" s="71">
        <v>2026</v>
      </c>
      <c r="D1506" s="71">
        <v>4</v>
      </c>
      <c r="E1506" s="71" t="s">
        <v>46</v>
      </c>
      <c r="F1506" s="71" t="s">
        <v>38</v>
      </c>
      <c r="G1506" s="72">
        <v>172.4</v>
      </c>
      <c r="H1506" s="73">
        <v>2432</v>
      </c>
      <c r="I1506" s="73">
        <v>-263</v>
      </c>
      <c r="J1506" s="73">
        <v>-97</v>
      </c>
      <c r="K1506" s="73">
        <v>-533</v>
      </c>
      <c r="L1506" s="73">
        <v>-131</v>
      </c>
      <c r="M1506" s="73">
        <v>-82</v>
      </c>
      <c r="N1506" s="73">
        <v>-120</v>
      </c>
      <c r="O1506" s="73">
        <v>-71</v>
      </c>
      <c r="P1506" s="73">
        <v>-188</v>
      </c>
      <c r="Q1506" s="73">
        <v>-49</v>
      </c>
      <c r="R1506" s="73">
        <v>0</v>
      </c>
      <c r="S1506" s="73">
        <v>0</v>
      </c>
      <c r="T1506" s="73">
        <v>0</v>
      </c>
      <c r="U1506" s="73">
        <v>0</v>
      </c>
      <c r="V1506" s="73">
        <v>0</v>
      </c>
      <c r="W1506" s="73">
        <v>0</v>
      </c>
      <c r="X1506" s="73">
        <v>0</v>
      </c>
      <c r="Y1506" s="73">
        <v>0</v>
      </c>
      <c r="Z1506" s="73">
        <v>1861</v>
      </c>
      <c r="AA1506" s="73">
        <v>2417</v>
      </c>
      <c r="AB1506" s="73">
        <v>0</v>
      </c>
      <c r="AC1506" s="73">
        <v>0</v>
      </c>
      <c r="AD1506" s="73">
        <v>0</v>
      </c>
      <c r="AE1506" s="73">
        <v>0</v>
      </c>
      <c r="AF1506" s="74">
        <f>tblData[[#This Row],[Gross Sales]]+tblData[[#This Row],[Trade Discounts]]+tblData[[#This Row],[Returns]]</f>
        <v>2072</v>
      </c>
      <c r="AG1506" s="74">
        <f>tblData[[#This Row],[Material Cost]]+tblData[[#This Row],[Conversion Cost]]+tblData[[#This Row],[Inbound Freight]]</f>
        <v>-746</v>
      </c>
      <c r="AH1506" s="74">
        <f>tblData[[#This Row],[Net Revenue]]+tblData[[#This Row],[COGS]]</f>
        <v>1326</v>
      </c>
      <c r="AI1506" s="74">
        <f>tblData[[#This Row],[Advertising]]+tblData[[#This Row],[Promotions]]</f>
        <v>-191</v>
      </c>
      <c r="AJ1506" s="74">
        <f>tblData[[#This Row],[Outbound Logistics]]+tblData[[#This Row],[Direct Selling]]</f>
        <v>-237</v>
      </c>
      <c r="AK1506" s="74">
        <f>tblData[[#This Row],[Gross Profit]]+tblData[[#This Row],[AP Spend]]+tblData[[#This Row],[Cost to Serve]]</f>
        <v>898</v>
      </c>
    </row>
    <row r="1507" spans="2:37" x14ac:dyDescent="0.25">
      <c r="B1507" s="71" t="s">
        <v>36</v>
      </c>
      <c r="C1507" s="71">
        <v>2026</v>
      </c>
      <c r="D1507" s="71">
        <v>4</v>
      </c>
      <c r="E1507" s="71" t="s">
        <v>46</v>
      </c>
      <c r="F1507" s="71" t="s">
        <v>39</v>
      </c>
      <c r="G1507" s="72">
        <v>232.3</v>
      </c>
      <c r="H1507" s="73">
        <v>2099</v>
      </c>
      <c r="I1507" s="73">
        <v>-227</v>
      </c>
      <c r="J1507" s="73">
        <v>-84</v>
      </c>
      <c r="K1507" s="73">
        <v>-552</v>
      </c>
      <c r="L1507" s="73">
        <v>-136</v>
      </c>
      <c r="M1507" s="73">
        <v>-85</v>
      </c>
      <c r="N1507" s="73">
        <v>-68</v>
      </c>
      <c r="O1507" s="73">
        <v>-40</v>
      </c>
      <c r="P1507" s="73">
        <v>-162</v>
      </c>
      <c r="Q1507" s="73">
        <v>-42</v>
      </c>
      <c r="R1507" s="73">
        <v>0</v>
      </c>
      <c r="S1507" s="73">
        <v>0</v>
      </c>
      <c r="T1507" s="73">
        <v>0</v>
      </c>
      <c r="U1507" s="73">
        <v>0</v>
      </c>
      <c r="V1507" s="73">
        <v>0</v>
      </c>
      <c r="W1507" s="73">
        <v>0</v>
      </c>
      <c r="X1507" s="73">
        <v>0</v>
      </c>
      <c r="Y1507" s="73">
        <v>0</v>
      </c>
      <c r="Z1507" s="73">
        <v>1550</v>
      </c>
      <c r="AA1507" s="73">
        <v>2058</v>
      </c>
      <c r="AB1507" s="73">
        <v>0</v>
      </c>
      <c r="AC1507" s="73">
        <v>0</v>
      </c>
      <c r="AD1507" s="73">
        <v>0</v>
      </c>
      <c r="AE1507" s="73">
        <v>0</v>
      </c>
      <c r="AF1507" s="74">
        <f>tblData[[#This Row],[Gross Sales]]+tblData[[#This Row],[Trade Discounts]]+tblData[[#This Row],[Returns]]</f>
        <v>1788</v>
      </c>
      <c r="AG1507" s="74">
        <f>tblData[[#This Row],[Material Cost]]+tblData[[#This Row],[Conversion Cost]]+tblData[[#This Row],[Inbound Freight]]</f>
        <v>-773</v>
      </c>
      <c r="AH1507" s="74">
        <f>tblData[[#This Row],[Net Revenue]]+tblData[[#This Row],[COGS]]</f>
        <v>1015</v>
      </c>
      <c r="AI1507" s="74">
        <f>tblData[[#This Row],[Advertising]]+tblData[[#This Row],[Promotions]]</f>
        <v>-108</v>
      </c>
      <c r="AJ1507" s="74">
        <f>tblData[[#This Row],[Outbound Logistics]]+tblData[[#This Row],[Direct Selling]]</f>
        <v>-204</v>
      </c>
      <c r="AK1507" s="74">
        <f>tblData[[#This Row],[Gross Profit]]+tblData[[#This Row],[AP Spend]]+tblData[[#This Row],[Cost to Serve]]</f>
        <v>703</v>
      </c>
    </row>
    <row r="1508" spans="2:37" x14ac:dyDescent="0.25">
      <c r="B1508" s="71" t="s">
        <v>36</v>
      </c>
      <c r="C1508" s="71">
        <v>2026</v>
      </c>
      <c r="D1508" s="71">
        <v>4</v>
      </c>
      <c r="E1508" s="71" t="s">
        <v>46</v>
      </c>
      <c r="F1508" s="71" t="s">
        <v>40</v>
      </c>
      <c r="G1508" s="72">
        <v>213.9</v>
      </c>
      <c r="H1508" s="73">
        <v>1500</v>
      </c>
      <c r="I1508" s="73">
        <v>-162</v>
      </c>
      <c r="J1508" s="73">
        <v>-60</v>
      </c>
      <c r="K1508" s="73">
        <v>-439</v>
      </c>
      <c r="L1508" s="73">
        <v>-108</v>
      </c>
      <c r="M1508" s="73">
        <v>-67</v>
      </c>
      <c r="N1508" s="73">
        <v>-34</v>
      </c>
      <c r="O1508" s="73">
        <v>-20</v>
      </c>
      <c r="P1508" s="73">
        <v>-116</v>
      </c>
      <c r="Q1508" s="73">
        <v>-30</v>
      </c>
      <c r="R1508" s="73">
        <v>0</v>
      </c>
      <c r="S1508" s="73">
        <v>0</v>
      </c>
      <c r="T1508" s="73">
        <v>0</v>
      </c>
      <c r="U1508" s="73">
        <v>0</v>
      </c>
      <c r="V1508" s="73">
        <v>0</v>
      </c>
      <c r="W1508" s="73">
        <v>0</v>
      </c>
      <c r="X1508" s="73">
        <v>0</v>
      </c>
      <c r="Y1508" s="73">
        <v>0</v>
      </c>
      <c r="Z1508" s="73">
        <v>1134</v>
      </c>
      <c r="AA1508" s="73">
        <v>1575</v>
      </c>
      <c r="AB1508" s="73">
        <v>0</v>
      </c>
      <c r="AC1508" s="73">
        <v>0</v>
      </c>
      <c r="AD1508" s="73">
        <v>0</v>
      </c>
      <c r="AE1508" s="73">
        <v>0</v>
      </c>
      <c r="AF1508" s="74">
        <f>tblData[[#This Row],[Gross Sales]]+tblData[[#This Row],[Trade Discounts]]+tblData[[#This Row],[Returns]]</f>
        <v>1278</v>
      </c>
      <c r="AG1508" s="74">
        <f>tblData[[#This Row],[Material Cost]]+tblData[[#This Row],[Conversion Cost]]+tblData[[#This Row],[Inbound Freight]]</f>
        <v>-614</v>
      </c>
      <c r="AH1508" s="74">
        <f>tblData[[#This Row],[Net Revenue]]+tblData[[#This Row],[COGS]]</f>
        <v>664</v>
      </c>
      <c r="AI1508" s="74">
        <f>tblData[[#This Row],[Advertising]]+tblData[[#This Row],[Promotions]]</f>
        <v>-54</v>
      </c>
      <c r="AJ1508" s="74">
        <f>tblData[[#This Row],[Outbound Logistics]]+tblData[[#This Row],[Direct Selling]]</f>
        <v>-146</v>
      </c>
      <c r="AK1508" s="74">
        <f>tblData[[#This Row],[Gross Profit]]+tblData[[#This Row],[AP Spend]]+tblData[[#This Row],[Cost to Serve]]</f>
        <v>464</v>
      </c>
    </row>
    <row r="1509" spans="2:37" x14ac:dyDescent="0.25">
      <c r="B1509" s="71" t="s">
        <v>36</v>
      </c>
      <c r="C1509" s="71">
        <v>2026</v>
      </c>
      <c r="D1509" s="71">
        <v>4</v>
      </c>
      <c r="E1509" s="71" t="s">
        <v>46</v>
      </c>
      <c r="F1509" s="71" t="s">
        <v>41</v>
      </c>
      <c r="G1509" s="72">
        <v>110.3</v>
      </c>
      <c r="H1509" s="73">
        <v>1220</v>
      </c>
      <c r="I1509" s="73">
        <v>-132</v>
      </c>
      <c r="J1509" s="73">
        <v>-49</v>
      </c>
      <c r="K1509" s="73">
        <v>-294</v>
      </c>
      <c r="L1509" s="73">
        <v>-72</v>
      </c>
      <c r="M1509" s="73">
        <v>-45</v>
      </c>
      <c r="N1509" s="73">
        <v>-73</v>
      </c>
      <c r="O1509" s="73">
        <v>-43</v>
      </c>
      <c r="P1509" s="73">
        <v>-94</v>
      </c>
      <c r="Q1509" s="73">
        <v>-24</v>
      </c>
      <c r="R1509" s="73">
        <v>0</v>
      </c>
      <c r="S1509" s="73">
        <v>0</v>
      </c>
      <c r="T1509" s="73">
        <v>0</v>
      </c>
      <c r="U1509" s="73">
        <v>0</v>
      </c>
      <c r="V1509" s="73">
        <v>0</v>
      </c>
      <c r="W1509" s="73">
        <v>0</v>
      </c>
      <c r="X1509" s="73">
        <v>0</v>
      </c>
      <c r="Y1509" s="73">
        <v>0</v>
      </c>
      <c r="Z1509" s="73">
        <v>886</v>
      </c>
      <c r="AA1509" s="73">
        <v>1204</v>
      </c>
      <c r="AB1509" s="73">
        <v>0</v>
      </c>
      <c r="AC1509" s="73">
        <v>0</v>
      </c>
      <c r="AD1509" s="73">
        <v>0</v>
      </c>
      <c r="AE1509" s="73">
        <v>0</v>
      </c>
      <c r="AF1509" s="74">
        <f>tblData[[#This Row],[Gross Sales]]+tblData[[#This Row],[Trade Discounts]]+tblData[[#This Row],[Returns]]</f>
        <v>1039</v>
      </c>
      <c r="AG1509" s="74">
        <f>tblData[[#This Row],[Material Cost]]+tblData[[#This Row],[Conversion Cost]]+tblData[[#This Row],[Inbound Freight]]</f>
        <v>-411</v>
      </c>
      <c r="AH1509" s="74">
        <f>tblData[[#This Row],[Net Revenue]]+tblData[[#This Row],[COGS]]</f>
        <v>628</v>
      </c>
      <c r="AI1509" s="74">
        <f>tblData[[#This Row],[Advertising]]+tblData[[#This Row],[Promotions]]</f>
        <v>-116</v>
      </c>
      <c r="AJ1509" s="74">
        <f>tblData[[#This Row],[Outbound Logistics]]+tblData[[#This Row],[Direct Selling]]</f>
        <v>-118</v>
      </c>
      <c r="AK1509" s="74">
        <f>tblData[[#This Row],[Gross Profit]]+tblData[[#This Row],[AP Spend]]+tblData[[#This Row],[Cost to Serve]]</f>
        <v>394</v>
      </c>
    </row>
    <row r="1510" spans="2:37" x14ac:dyDescent="0.25">
      <c r="B1510" s="71" t="s">
        <v>36</v>
      </c>
      <c r="C1510" s="71">
        <v>2026</v>
      </c>
      <c r="D1510" s="71">
        <v>4</v>
      </c>
      <c r="E1510" s="71" t="s">
        <v>46</v>
      </c>
      <c r="F1510" s="71" t="s">
        <v>42</v>
      </c>
      <c r="G1510" s="72">
        <v>129.69999999999999</v>
      </c>
      <c r="H1510" s="73">
        <v>777</v>
      </c>
      <c r="I1510" s="73">
        <v>-84</v>
      </c>
      <c r="J1510" s="73">
        <v>-31</v>
      </c>
      <c r="K1510" s="73">
        <v>-250</v>
      </c>
      <c r="L1510" s="73">
        <v>-62</v>
      </c>
      <c r="M1510" s="73">
        <v>-38</v>
      </c>
      <c r="N1510" s="73">
        <v>-14</v>
      </c>
      <c r="O1510" s="73">
        <v>-8</v>
      </c>
      <c r="P1510" s="73">
        <v>-60</v>
      </c>
      <c r="Q1510" s="73">
        <v>-16</v>
      </c>
      <c r="R1510" s="73">
        <v>0</v>
      </c>
      <c r="S1510" s="73">
        <v>0</v>
      </c>
      <c r="T1510" s="73">
        <v>0</v>
      </c>
      <c r="U1510" s="73">
        <v>0</v>
      </c>
      <c r="V1510" s="73">
        <v>0</v>
      </c>
      <c r="W1510" s="73">
        <v>0</v>
      </c>
      <c r="X1510" s="73">
        <v>0</v>
      </c>
      <c r="Y1510" s="73">
        <v>0</v>
      </c>
      <c r="Z1510" s="73">
        <v>579</v>
      </c>
      <c r="AA1510" s="73">
        <v>1365</v>
      </c>
      <c r="AB1510" s="73">
        <v>0</v>
      </c>
      <c r="AC1510" s="73">
        <v>0</v>
      </c>
      <c r="AD1510" s="73">
        <v>0</v>
      </c>
      <c r="AE1510" s="73">
        <v>0</v>
      </c>
      <c r="AF1510" s="74">
        <f>tblData[[#This Row],[Gross Sales]]+tblData[[#This Row],[Trade Discounts]]+tblData[[#This Row],[Returns]]</f>
        <v>662</v>
      </c>
      <c r="AG1510" s="74">
        <f>tblData[[#This Row],[Material Cost]]+tblData[[#This Row],[Conversion Cost]]+tblData[[#This Row],[Inbound Freight]]</f>
        <v>-350</v>
      </c>
      <c r="AH1510" s="74">
        <f>tblData[[#This Row],[Net Revenue]]+tblData[[#This Row],[COGS]]</f>
        <v>312</v>
      </c>
      <c r="AI1510" s="74">
        <f>tblData[[#This Row],[Advertising]]+tblData[[#This Row],[Promotions]]</f>
        <v>-22</v>
      </c>
      <c r="AJ1510" s="74">
        <f>tblData[[#This Row],[Outbound Logistics]]+tblData[[#This Row],[Direct Selling]]</f>
        <v>-76</v>
      </c>
      <c r="AK1510" s="74">
        <f>tblData[[#This Row],[Gross Profit]]+tblData[[#This Row],[AP Spend]]+tblData[[#This Row],[Cost to Serve]]</f>
        <v>214</v>
      </c>
    </row>
    <row r="1511" spans="2:37" x14ac:dyDescent="0.25">
      <c r="B1511" s="71" t="s">
        <v>36</v>
      </c>
      <c r="C1511" s="71">
        <v>2026</v>
      </c>
      <c r="D1511" s="71">
        <v>4</v>
      </c>
      <c r="E1511" s="71" t="s">
        <v>46</v>
      </c>
      <c r="F1511" s="71" t="s">
        <v>43</v>
      </c>
      <c r="G1511" s="72">
        <v>24.5</v>
      </c>
      <c r="H1511" s="73">
        <v>441</v>
      </c>
      <c r="I1511" s="73">
        <v>-48</v>
      </c>
      <c r="J1511" s="73">
        <v>-18</v>
      </c>
      <c r="K1511" s="73">
        <v>-123</v>
      </c>
      <c r="L1511" s="73">
        <v>-30</v>
      </c>
      <c r="M1511" s="73">
        <v>-19</v>
      </c>
      <c r="N1511" s="73">
        <v>-40</v>
      </c>
      <c r="O1511" s="73">
        <v>-24</v>
      </c>
      <c r="P1511" s="73">
        <v>-34</v>
      </c>
      <c r="Q1511" s="73">
        <v>-9</v>
      </c>
      <c r="R1511" s="73">
        <v>0</v>
      </c>
      <c r="S1511" s="73">
        <v>0</v>
      </c>
      <c r="T1511" s="73">
        <v>0</v>
      </c>
      <c r="U1511" s="73">
        <v>0</v>
      </c>
      <c r="V1511" s="73">
        <v>0</v>
      </c>
      <c r="W1511" s="73">
        <v>0</v>
      </c>
      <c r="X1511" s="73">
        <v>0</v>
      </c>
      <c r="Y1511" s="73">
        <v>0</v>
      </c>
      <c r="Z1511" s="73">
        <v>332</v>
      </c>
      <c r="AA1511" s="73">
        <v>682</v>
      </c>
      <c r="AB1511" s="73">
        <v>0</v>
      </c>
      <c r="AC1511" s="73">
        <v>0</v>
      </c>
      <c r="AD1511" s="73">
        <v>0</v>
      </c>
      <c r="AE1511" s="73">
        <v>0</v>
      </c>
      <c r="AF1511" s="74">
        <f>tblData[[#This Row],[Gross Sales]]+tblData[[#This Row],[Trade Discounts]]+tblData[[#This Row],[Returns]]</f>
        <v>375</v>
      </c>
      <c r="AG1511" s="74">
        <f>tblData[[#This Row],[Material Cost]]+tblData[[#This Row],[Conversion Cost]]+tblData[[#This Row],[Inbound Freight]]</f>
        <v>-172</v>
      </c>
      <c r="AH1511" s="74">
        <f>tblData[[#This Row],[Net Revenue]]+tblData[[#This Row],[COGS]]</f>
        <v>203</v>
      </c>
      <c r="AI1511" s="74">
        <f>tblData[[#This Row],[Advertising]]+tblData[[#This Row],[Promotions]]</f>
        <v>-64</v>
      </c>
      <c r="AJ1511" s="74">
        <f>tblData[[#This Row],[Outbound Logistics]]+tblData[[#This Row],[Direct Selling]]</f>
        <v>-43</v>
      </c>
      <c r="AK1511" s="74">
        <f>tblData[[#This Row],[Gross Profit]]+tblData[[#This Row],[AP Spend]]+tblData[[#This Row],[Cost to Serve]]</f>
        <v>96</v>
      </c>
    </row>
    <row r="1512" spans="2:37" x14ac:dyDescent="0.25">
      <c r="B1512" s="71" t="s">
        <v>36</v>
      </c>
      <c r="C1512" s="71">
        <v>2026</v>
      </c>
      <c r="D1512" s="71">
        <v>4</v>
      </c>
      <c r="E1512" s="71" t="s">
        <v>47</v>
      </c>
      <c r="F1512" s="71" t="s">
        <v>38</v>
      </c>
      <c r="G1512" s="72">
        <v>65.900000000000006</v>
      </c>
      <c r="H1512" s="73">
        <v>934</v>
      </c>
      <c r="I1512" s="73">
        <v>-28</v>
      </c>
      <c r="J1512" s="73">
        <v>-47</v>
      </c>
      <c r="K1512" s="73">
        <v>-205</v>
      </c>
      <c r="L1512" s="73">
        <v>-50</v>
      </c>
      <c r="M1512" s="73">
        <v>-31</v>
      </c>
      <c r="N1512" s="73">
        <v>-45</v>
      </c>
      <c r="O1512" s="73">
        <v>-27</v>
      </c>
      <c r="P1512" s="73">
        <v>-115</v>
      </c>
      <c r="Q1512" s="73">
        <v>-37</v>
      </c>
      <c r="R1512" s="73">
        <v>0</v>
      </c>
      <c r="S1512" s="73">
        <v>0</v>
      </c>
      <c r="T1512" s="73">
        <v>0</v>
      </c>
      <c r="U1512" s="73">
        <v>0</v>
      </c>
      <c r="V1512" s="73">
        <v>0</v>
      </c>
      <c r="W1512" s="73">
        <v>0</v>
      </c>
      <c r="X1512" s="73">
        <v>0</v>
      </c>
      <c r="Y1512" s="73">
        <v>0</v>
      </c>
      <c r="Z1512" s="73">
        <v>158</v>
      </c>
      <c r="AA1512" s="73">
        <v>887</v>
      </c>
      <c r="AB1512" s="73">
        <v>0</v>
      </c>
      <c r="AC1512" s="73">
        <v>0</v>
      </c>
      <c r="AD1512" s="73">
        <v>0</v>
      </c>
      <c r="AE1512" s="73">
        <v>0</v>
      </c>
      <c r="AF1512" s="74">
        <f>tblData[[#This Row],[Gross Sales]]+tblData[[#This Row],[Trade Discounts]]+tblData[[#This Row],[Returns]]</f>
        <v>859</v>
      </c>
      <c r="AG1512" s="74">
        <f>tblData[[#This Row],[Material Cost]]+tblData[[#This Row],[Conversion Cost]]+tblData[[#This Row],[Inbound Freight]]</f>
        <v>-286</v>
      </c>
      <c r="AH1512" s="74">
        <f>tblData[[#This Row],[Net Revenue]]+tblData[[#This Row],[COGS]]</f>
        <v>573</v>
      </c>
      <c r="AI1512" s="74">
        <f>tblData[[#This Row],[Advertising]]+tblData[[#This Row],[Promotions]]</f>
        <v>-72</v>
      </c>
      <c r="AJ1512" s="74">
        <f>tblData[[#This Row],[Outbound Logistics]]+tblData[[#This Row],[Direct Selling]]</f>
        <v>-152</v>
      </c>
      <c r="AK1512" s="74">
        <f>tblData[[#This Row],[Gross Profit]]+tblData[[#This Row],[AP Spend]]+tblData[[#This Row],[Cost to Serve]]</f>
        <v>349</v>
      </c>
    </row>
    <row r="1513" spans="2:37" x14ac:dyDescent="0.25">
      <c r="B1513" s="71" t="s">
        <v>36</v>
      </c>
      <c r="C1513" s="71">
        <v>2026</v>
      </c>
      <c r="D1513" s="71">
        <v>4</v>
      </c>
      <c r="E1513" s="71" t="s">
        <v>47</v>
      </c>
      <c r="F1513" s="71" t="s">
        <v>39</v>
      </c>
      <c r="G1513" s="72">
        <v>85.9</v>
      </c>
      <c r="H1513" s="73">
        <v>779</v>
      </c>
      <c r="I1513" s="73">
        <v>-23</v>
      </c>
      <c r="J1513" s="73">
        <v>-39</v>
      </c>
      <c r="K1513" s="73">
        <v>-205</v>
      </c>
      <c r="L1513" s="73">
        <v>-51</v>
      </c>
      <c r="M1513" s="73">
        <v>-31</v>
      </c>
      <c r="N1513" s="73">
        <v>-26</v>
      </c>
      <c r="O1513" s="73">
        <v>-15</v>
      </c>
      <c r="P1513" s="73">
        <v>-96</v>
      </c>
      <c r="Q1513" s="73">
        <v>-31</v>
      </c>
      <c r="R1513" s="73">
        <v>0</v>
      </c>
      <c r="S1513" s="73">
        <v>0</v>
      </c>
      <c r="T1513" s="73">
        <v>0</v>
      </c>
      <c r="U1513" s="73">
        <v>0</v>
      </c>
      <c r="V1513" s="73">
        <v>0</v>
      </c>
      <c r="W1513" s="73">
        <v>0</v>
      </c>
      <c r="X1513" s="73">
        <v>0</v>
      </c>
      <c r="Y1513" s="73">
        <v>0</v>
      </c>
      <c r="Z1513" s="73">
        <v>131</v>
      </c>
      <c r="AA1513" s="73">
        <v>752</v>
      </c>
      <c r="AB1513" s="73">
        <v>0</v>
      </c>
      <c r="AC1513" s="73">
        <v>0</v>
      </c>
      <c r="AD1513" s="73">
        <v>0</v>
      </c>
      <c r="AE1513" s="73">
        <v>0</v>
      </c>
      <c r="AF1513" s="74">
        <f>tblData[[#This Row],[Gross Sales]]+tblData[[#This Row],[Trade Discounts]]+tblData[[#This Row],[Returns]]</f>
        <v>717</v>
      </c>
      <c r="AG1513" s="74">
        <f>tblData[[#This Row],[Material Cost]]+tblData[[#This Row],[Conversion Cost]]+tblData[[#This Row],[Inbound Freight]]</f>
        <v>-287</v>
      </c>
      <c r="AH1513" s="74">
        <f>tblData[[#This Row],[Net Revenue]]+tblData[[#This Row],[COGS]]</f>
        <v>430</v>
      </c>
      <c r="AI1513" s="74">
        <f>tblData[[#This Row],[Advertising]]+tblData[[#This Row],[Promotions]]</f>
        <v>-41</v>
      </c>
      <c r="AJ1513" s="74">
        <f>tblData[[#This Row],[Outbound Logistics]]+tblData[[#This Row],[Direct Selling]]</f>
        <v>-127</v>
      </c>
      <c r="AK1513" s="74">
        <f>tblData[[#This Row],[Gross Profit]]+tblData[[#This Row],[AP Spend]]+tblData[[#This Row],[Cost to Serve]]</f>
        <v>262</v>
      </c>
    </row>
    <row r="1514" spans="2:37" x14ac:dyDescent="0.25">
      <c r="B1514" s="71" t="s">
        <v>36</v>
      </c>
      <c r="C1514" s="71">
        <v>2026</v>
      </c>
      <c r="D1514" s="71">
        <v>4</v>
      </c>
      <c r="E1514" s="71" t="s">
        <v>47</v>
      </c>
      <c r="F1514" s="71" t="s">
        <v>40</v>
      </c>
      <c r="G1514" s="72">
        <v>82.8</v>
      </c>
      <c r="H1514" s="73">
        <v>583</v>
      </c>
      <c r="I1514" s="73">
        <v>-17</v>
      </c>
      <c r="J1514" s="73">
        <v>-29</v>
      </c>
      <c r="K1514" s="73">
        <v>-170</v>
      </c>
      <c r="L1514" s="73">
        <v>-42</v>
      </c>
      <c r="M1514" s="73">
        <v>-26</v>
      </c>
      <c r="N1514" s="73">
        <v>-13</v>
      </c>
      <c r="O1514" s="73">
        <v>-8</v>
      </c>
      <c r="P1514" s="73">
        <v>-72</v>
      </c>
      <c r="Q1514" s="73">
        <v>-23</v>
      </c>
      <c r="R1514" s="73">
        <v>0</v>
      </c>
      <c r="S1514" s="73">
        <v>0</v>
      </c>
      <c r="T1514" s="73">
        <v>0</v>
      </c>
      <c r="U1514" s="73">
        <v>0</v>
      </c>
      <c r="V1514" s="73">
        <v>0</v>
      </c>
      <c r="W1514" s="73">
        <v>0</v>
      </c>
      <c r="X1514" s="73">
        <v>0</v>
      </c>
      <c r="Y1514" s="73">
        <v>0</v>
      </c>
      <c r="Z1514" s="73">
        <v>98</v>
      </c>
      <c r="AA1514" s="73">
        <v>587</v>
      </c>
      <c r="AB1514" s="73">
        <v>0</v>
      </c>
      <c r="AC1514" s="73">
        <v>0</v>
      </c>
      <c r="AD1514" s="73">
        <v>0</v>
      </c>
      <c r="AE1514" s="73">
        <v>0</v>
      </c>
      <c r="AF1514" s="74">
        <f>tblData[[#This Row],[Gross Sales]]+tblData[[#This Row],[Trade Discounts]]+tblData[[#This Row],[Returns]]</f>
        <v>537</v>
      </c>
      <c r="AG1514" s="74">
        <f>tblData[[#This Row],[Material Cost]]+tblData[[#This Row],[Conversion Cost]]+tblData[[#This Row],[Inbound Freight]]</f>
        <v>-238</v>
      </c>
      <c r="AH1514" s="74">
        <f>tblData[[#This Row],[Net Revenue]]+tblData[[#This Row],[COGS]]</f>
        <v>299</v>
      </c>
      <c r="AI1514" s="74">
        <f>tblData[[#This Row],[Advertising]]+tblData[[#This Row],[Promotions]]</f>
        <v>-21</v>
      </c>
      <c r="AJ1514" s="74">
        <f>tblData[[#This Row],[Outbound Logistics]]+tblData[[#This Row],[Direct Selling]]</f>
        <v>-95</v>
      </c>
      <c r="AK1514" s="74">
        <f>tblData[[#This Row],[Gross Profit]]+tblData[[#This Row],[AP Spend]]+tblData[[#This Row],[Cost to Serve]]</f>
        <v>183</v>
      </c>
    </row>
    <row r="1515" spans="2:37" x14ac:dyDescent="0.25">
      <c r="B1515" s="71" t="s">
        <v>36</v>
      </c>
      <c r="C1515" s="71">
        <v>2026</v>
      </c>
      <c r="D1515" s="71">
        <v>4</v>
      </c>
      <c r="E1515" s="71" t="s">
        <v>47</v>
      </c>
      <c r="F1515" s="71" t="s">
        <v>41</v>
      </c>
      <c r="G1515" s="72">
        <v>39.299999999999997</v>
      </c>
      <c r="H1515" s="73">
        <v>436</v>
      </c>
      <c r="I1515" s="73">
        <v>-13</v>
      </c>
      <c r="J1515" s="73">
        <v>-22</v>
      </c>
      <c r="K1515" s="73">
        <v>-105</v>
      </c>
      <c r="L1515" s="73">
        <v>-26</v>
      </c>
      <c r="M1515" s="73">
        <v>-16</v>
      </c>
      <c r="N1515" s="73">
        <v>-27</v>
      </c>
      <c r="O1515" s="73">
        <v>-16</v>
      </c>
      <c r="P1515" s="73">
        <v>-54</v>
      </c>
      <c r="Q1515" s="73">
        <v>-17</v>
      </c>
      <c r="R1515" s="73">
        <v>0</v>
      </c>
      <c r="S1515" s="73">
        <v>0</v>
      </c>
      <c r="T1515" s="73">
        <v>0</v>
      </c>
      <c r="U1515" s="73">
        <v>0</v>
      </c>
      <c r="V1515" s="73">
        <v>0</v>
      </c>
      <c r="W1515" s="73">
        <v>0</v>
      </c>
      <c r="X1515" s="73">
        <v>0</v>
      </c>
      <c r="Y1515" s="73">
        <v>0</v>
      </c>
      <c r="Z1515" s="73">
        <v>76</v>
      </c>
      <c r="AA1515" s="73">
        <v>445</v>
      </c>
      <c r="AB1515" s="73">
        <v>0</v>
      </c>
      <c r="AC1515" s="73">
        <v>0</v>
      </c>
      <c r="AD1515" s="73">
        <v>0</v>
      </c>
      <c r="AE1515" s="73">
        <v>0</v>
      </c>
      <c r="AF1515" s="74">
        <f>tblData[[#This Row],[Gross Sales]]+tblData[[#This Row],[Trade Discounts]]+tblData[[#This Row],[Returns]]</f>
        <v>401</v>
      </c>
      <c r="AG1515" s="74">
        <f>tblData[[#This Row],[Material Cost]]+tblData[[#This Row],[Conversion Cost]]+tblData[[#This Row],[Inbound Freight]]</f>
        <v>-147</v>
      </c>
      <c r="AH1515" s="74">
        <f>tblData[[#This Row],[Net Revenue]]+tblData[[#This Row],[COGS]]</f>
        <v>254</v>
      </c>
      <c r="AI1515" s="74">
        <f>tblData[[#This Row],[Advertising]]+tblData[[#This Row],[Promotions]]</f>
        <v>-43</v>
      </c>
      <c r="AJ1515" s="74">
        <f>tblData[[#This Row],[Outbound Logistics]]+tblData[[#This Row],[Direct Selling]]</f>
        <v>-71</v>
      </c>
      <c r="AK1515" s="74">
        <f>tblData[[#This Row],[Gross Profit]]+tblData[[#This Row],[AP Spend]]+tblData[[#This Row],[Cost to Serve]]</f>
        <v>140</v>
      </c>
    </row>
    <row r="1516" spans="2:37" x14ac:dyDescent="0.25">
      <c r="B1516" s="71" t="s">
        <v>36</v>
      </c>
      <c r="C1516" s="71">
        <v>2026</v>
      </c>
      <c r="D1516" s="71">
        <v>4</v>
      </c>
      <c r="E1516" s="71" t="s">
        <v>47</v>
      </c>
      <c r="F1516" s="71" t="s">
        <v>42</v>
      </c>
      <c r="G1516" s="72">
        <v>48.4</v>
      </c>
      <c r="H1516" s="73">
        <v>291</v>
      </c>
      <c r="I1516" s="73">
        <v>-9</v>
      </c>
      <c r="J1516" s="73">
        <v>-15</v>
      </c>
      <c r="K1516" s="73">
        <v>-94</v>
      </c>
      <c r="L1516" s="73">
        <v>-23</v>
      </c>
      <c r="M1516" s="73">
        <v>-14</v>
      </c>
      <c r="N1516" s="73">
        <v>-5</v>
      </c>
      <c r="O1516" s="73">
        <v>-3</v>
      </c>
      <c r="P1516" s="73">
        <v>-36</v>
      </c>
      <c r="Q1516" s="73">
        <v>-12</v>
      </c>
      <c r="R1516" s="73">
        <v>0</v>
      </c>
      <c r="S1516" s="73">
        <v>0</v>
      </c>
      <c r="T1516" s="73">
        <v>0</v>
      </c>
      <c r="U1516" s="73">
        <v>0</v>
      </c>
      <c r="V1516" s="73">
        <v>0</v>
      </c>
      <c r="W1516" s="73">
        <v>0</v>
      </c>
      <c r="X1516" s="73">
        <v>0</v>
      </c>
      <c r="Y1516" s="73">
        <v>0</v>
      </c>
      <c r="Z1516" s="73">
        <v>49</v>
      </c>
      <c r="AA1516" s="73">
        <v>504</v>
      </c>
      <c r="AB1516" s="73">
        <v>0</v>
      </c>
      <c r="AC1516" s="73">
        <v>0</v>
      </c>
      <c r="AD1516" s="73">
        <v>0</v>
      </c>
      <c r="AE1516" s="73">
        <v>0</v>
      </c>
      <c r="AF1516" s="74">
        <f>tblData[[#This Row],[Gross Sales]]+tblData[[#This Row],[Trade Discounts]]+tblData[[#This Row],[Returns]]</f>
        <v>267</v>
      </c>
      <c r="AG1516" s="74">
        <f>tblData[[#This Row],[Material Cost]]+tblData[[#This Row],[Conversion Cost]]+tblData[[#This Row],[Inbound Freight]]</f>
        <v>-131</v>
      </c>
      <c r="AH1516" s="74">
        <f>tblData[[#This Row],[Net Revenue]]+tblData[[#This Row],[COGS]]</f>
        <v>136</v>
      </c>
      <c r="AI1516" s="74">
        <f>tblData[[#This Row],[Advertising]]+tblData[[#This Row],[Promotions]]</f>
        <v>-8</v>
      </c>
      <c r="AJ1516" s="74">
        <f>tblData[[#This Row],[Outbound Logistics]]+tblData[[#This Row],[Direct Selling]]</f>
        <v>-48</v>
      </c>
      <c r="AK1516" s="74">
        <f>tblData[[#This Row],[Gross Profit]]+tblData[[#This Row],[AP Spend]]+tblData[[#This Row],[Cost to Serve]]</f>
        <v>80</v>
      </c>
    </row>
    <row r="1517" spans="2:37" x14ac:dyDescent="0.25">
      <c r="B1517" s="71" t="s">
        <v>36</v>
      </c>
      <c r="C1517" s="71">
        <v>2026</v>
      </c>
      <c r="D1517" s="71">
        <v>4</v>
      </c>
      <c r="E1517" s="71" t="s">
        <v>47</v>
      </c>
      <c r="F1517" s="71" t="s">
        <v>43</v>
      </c>
      <c r="G1517" s="72">
        <v>9.1</v>
      </c>
      <c r="H1517" s="73">
        <v>165</v>
      </c>
      <c r="I1517" s="73">
        <v>-5</v>
      </c>
      <c r="J1517" s="73">
        <v>-8</v>
      </c>
      <c r="K1517" s="73">
        <v>-46</v>
      </c>
      <c r="L1517" s="73">
        <v>-11</v>
      </c>
      <c r="M1517" s="73">
        <v>-7</v>
      </c>
      <c r="N1517" s="73">
        <v>-15</v>
      </c>
      <c r="O1517" s="73">
        <v>-9</v>
      </c>
      <c r="P1517" s="73">
        <v>-20</v>
      </c>
      <c r="Q1517" s="73">
        <v>-7</v>
      </c>
      <c r="R1517" s="73">
        <v>0</v>
      </c>
      <c r="S1517" s="73">
        <v>0</v>
      </c>
      <c r="T1517" s="73">
        <v>0</v>
      </c>
      <c r="U1517" s="73">
        <v>0</v>
      </c>
      <c r="V1517" s="73">
        <v>0</v>
      </c>
      <c r="W1517" s="73">
        <v>0</v>
      </c>
      <c r="X1517" s="73">
        <v>0</v>
      </c>
      <c r="Y1517" s="73">
        <v>0</v>
      </c>
      <c r="Z1517" s="73">
        <v>28</v>
      </c>
      <c r="AA1517" s="73">
        <v>251</v>
      </c>
      <c r="AB1517" s="73">
        <v>0</v>
      </c>
      <c r="AC1517" s="73">
        <v>0</v>
      </c>
      <c r="AD1517" s="73">
        <v>0</v>
      </c>
      <c r="AE1517" s="73">
        <v>0</v>
      </c>
      <c r="AF1517" s="74">
        <f>tblData[[#This Row],[Gross Sales]]+tblData[[#This Row],[Trade Discounts]]+tblData[[#This Row],[Returns]]</f>
        <v>152</v>
      </c>
      <c r="AG1517" s="74">
        <f>tblData[[#This Row],[Material Cost]]+tblData[[#This Row],[Conversion Cost]]+tblData[[#This Row],[Inbound Freight]]</f>
        <v>-64</v>
      </c>
      <c r="AH1517" s="74">
        <f>tblData[[#This Row],[Net Revenue]]+tblData[[#This Row],[COGS]]</f>
        <v>88</v>
      </c>
      <c r="AI1517" s="74">
        <f>tblData[[#This Row],[Advertising]]+tblData[[#This Row],[Promotions]]</f>
        <v>-24</v>
      </c>
      <c r="AJ1517" s="74">
        <f>tblData[[#This Row],[Outbound Logistics]]+tblData[[#This Row],[Direct Selling]]</f>
        <v>-27</v>
      </c>
      <c r="AK1517" s="74">
        <f>tblData[[#This Row],[Gross Profit]]+tblData[[#This Row],[AP Spend]]+tblData[[#This Row],[Cost to Serve]]</f>
        <v>37</v>
      </c>
    </row>
    <row r="1518" spans="2:37" x14ac:dyDescent="0.25">
      <c r="B1518" s="71" t="s">
        <v>36</v>
      </c>
      <c r="C1518" s="71">
        <v>2026</v>
      </c>
      <c r="D1518" s="71">
        <v>4</v>
      </c>
      <c r="E1518" s="71" t="s">
        <v>48</v>
      </c>
      <c r="F1518" s="71" t="s">
        <v>38</v>
      </c>
      <c r="G1518" s="72">
        <v>102.2</v>
      </c>
      <c r="H1518" s="73">
        <v>1440</v>
      </c>
      <c r="I1518" s="73">
        <v>-130</v>
      </c>
      <c r="J1518" s="73">
        <v>-14</v>
      </c>
      <c r="K1518" s="73">
        <v>-316</v>
      </c>
      <c r="L1518" s="73">
        <v>-78</v>
      </c>
      <c r="M1518" s="73">
        <v>-48</v>
      </c>
      <c r="N1518" s="73">
        <v>-75</v>
      </c>
      <c r="O1518" s="73">
        <v>-44</v>
      </c>
      <c r="P1518" s="73">
        <v>-44</v>
      </c>
      <c r="Q1518" s="73">
        <v>-22</v>
      </c>
      <c r="R1518" s="73">
        <v>0</v>
      </c>
      <c r="S1518" s="73">
        <v>0</v>
      </c>
      <c r="T1518" s="73">
        <v>0</v>
      </c>
      <c r="U1518" s="73">
        <v>0</v>
      </c>
      <c r="V1518" s="73">
        <v>0</v>
      </c>
      <c r="W1518" s="73">
        <v>0</v>
      </c>
      <c r="X1518" s="73">
        <v>0</v>
      </c>
      <c r="Y1518" s="73">
        <v>0</v>
      </c>
      <c r="Z1518" s="73">
        <v>2945</v>
      </c>
      <c r="AA1518" s="73">
        <v>1389</v>
      </c>
      <c r="AB1518" s="73">
        <v>0</v>
      </c>
      <c r="AC1518" s="73">
        <v>0</v>
      </c>
      <c r="AD1518" s="73">
        <v>0</v>
      </c>
      <c r="AE1518" s="73">
        <v>0</v>
      </c>
      <c r="AF1518" s="74">
        <f>tblData[[#This Row],[Gross Sales]]+tblData[[#This Row],[Trade Discounts]]+tblData[[#This Row],[Returns]]</f>
        <v>1296</v>
      </c>
      <c r="AG1518" s="74">
        <f>tblData[[#This Row],[Material Cost]]+tblData[[#This Row],[Conversion Cost]]+tblData[[#This Row],[Inbound Freight]]</f>
        <v>-442</v>
      </c>
      <c r="AH1518" s="74">
        <f>tblData[[#This Row],[Net Revenue]]+tblData[[#This Row],[COGS]]</f>
        <v>854</v>
      </c>
      <c r="AI1518" s="74">
        <f>tblData[[#This Row],[Advertising]]+tblData[[#This Row],[Promotions]]</f>
        <v>-119</v>
      </c>
      <c r="AJ1518" s="74">
        <f>tblData[[#This Row],[Outbound Logistics]]+tblData[[#This Row],[Direct Selling]]</f>
        <v>-66</v>
      </c>
      <c r="AK1518" s="74">
        <f>tblData[[#This Row],[Gross Profit]]+tblData[[#This Row],[AP Spend]]+tblData[[#This Row],[Cost to Serve]]</f>
        <v>669</v>
      </c>
    </row>
    <row r="1519" spans="2:37" x14ac:dyDescent="0.25">
      <c r="B1519" s="71" t="s">
        <v>36</v>
      </c>
      <c r="C1519" s="71">
        <v>2026</v>
      </c>
      <c r="D1519" s="71">
        <v>4</v>
      </c>
      <c r="E1519" s="71" t="s">
        <v>48</v>
      </c>
      <c r="F1519" s="71" t="s">
        <v>39</v>
      </c>
      <c r="G1519" s="72">
        <v>134.1</v>
      </c>
      <c r="H1519" s="73">
        <v>1210</v>
      </c>
      <c r="I1519" s="73">
        <v>-109</v>
      </c>
      <c r="J1519" s="73">
        <v>-12</v>
      </c>
      <c r="K1519" s="73">
        <v>-318</v>
      </c>
      <c r="L1519" s="73">
        <v>-78</v>
      </c>
      <c r="M1519" s="73">
        <v>-49</v>
      </c>
      <c r="N1519" s="73">
        <v>-43</v>
      </c>
      <c r="O1519" s="73">
        <v>-25</v>
      </c>
      <c r="P1519" s="73">
        <v>-37</v>
      </c>
      <c r="Q1519" s="73">
        <v>-18</v>
      </c>
      <c r="R1519" s="73">
        <v>0</v>
      </c>
      <c r="S1519" s="73">
        <v>0</v>
      </c>
      <c r="T1519" s="73">
        <v>0</v>
      </c>
      <c r="U1519" s="73">
        <v>0</v>
      </c>
      <c r="V1519" s="73">
        <v>0</v>
      </c>
      <c r="W1519" s="73">
        <v>0</v>
      </c>
      <c r="X1519" s="73">
        <v>0</v>
      </c>
      <c r="Y1519" s="73">
        <v>0</v>
      </c>
      <c r="Z1519" s="73">
        <v>2465</v>
      </c>
      <c r="AA1519" s="73">
        <v>1188</v>
      </c>
      <c r="AB1519" s="73">
        <v>0</v>
      </c>
      <c r="AC1519" s="73">
        <v>0</v>
      </c>
      <c r="AD1519" s="73">
        <v>0</v>
      </c>
      <c r="AE1519" s="73">
        <v>0</v>
      </c>
      <c r="AF1519" s="74">
        <f>tblData[[#This Row],[Gross Sales]]+tblData[[#This Row],[Trade Discounts]]+tblData[[#This Row],[Returns]]</f>
        <v>1089</v>
      </c>
      <c r="AG1519" s="74">
        <f>tblData[[#This Row],[Material Cost]]+tblData[[#This Row],[Conversion Cost]]+tblData[[#This Row],[Inbound Freight]]</f>
        <v>-445</v>
      </c>
      <c r="AH1519" s="74">
        <f>tblData[[#This Row],[Net Revenue]]+tblData[[#This Row],[COGS]]</f>
        <v>644</v>
      </c>
      <c r="AI1519" s="74">
        <f>tblData[[#This Row],[Advertising]]+tblData[[#This Row],[Promotions]]</f>
        <v>-68</v>
      </c>
      <c r="AJ1519" s="74">
        <f>tblData[[#This Row],[Outbound Logistics]]+tblData[[#This Row],[Direct Selling]]</f>
        <v>-55</v>
      </c>
      <c r="AK1519" s="74">
        <f>tblData[[#This Row],[Gross Profit]]+tblData[[#This Row],[AP Spend]]+tblData[[#This Row],[Cost to Serve]]</f>
        <v>521</v>
      </c>
    </row>
    <row r="1520" spans="2:37" x14ac:dyDescent="0.25">
      <c r="B1520" s="71" t="s">
        <v>36</v>
      </c>
      <c r="C1520" s="71">
        <v>2026</v>
      </c>
      <c r="D1520" s="71">
        <v>4</v>
      </c>
      <c r="E1520" s="71" t="s">
        <v>48</v>
      </c>
      <c r="F1520" s="71" t="s">
        <v>40</v>
      </c>
      <c r="G1520" s="72">
        <v>126.1</v>
      </c>
      <c r="H1520" s="73">
        <v>883</v>
      </c>
      <c r="I1520" s="73">
        <v>-79</v>
      </c>
      <c r="J1520" s="73">
        <v>-9</v>
      </c>
      <c r="K1520" s="73">
        <v>-258</v>
      </c>
      <c r="L1520" s="73">
        <v>-64</v>
      </c>
      <c r="M1520" s="73">
        <v>-40</v>
      </c>
      <c r="N1520" s="73">
        <v>-21</v>
      </c>
      <c r="O1520" s="73">
        <v>-13</v>
      </c>
      <c r="P1520" s="73">
        <v>-27</v>
      </c>
      <c r="Q1520" s="73">
        <v>-13</v>
      </c>
      <c r="R1520" s="73">
        <v>0</v>
      </c>
      <c r="S1520" s="73">
        <v>0</v>
      </c>
      <c r="T1520" s="73">
        <v>0</v>
      </c>
      <c r="U1520" s="73">
        <v>0</v>
      </c>
      <c r="V1520" s="73">
        <v>0</v>
      </c>
      <c r="W1520" s="73">
        <v>0</v>
      </c>
      <c r="X1520" s="73">
        <v>0</v>
      </c>
      <c r="Y1520" s="73">
        <v>0</v>
      </c>
      <c r="Z1520" s="73">
        <v>1843</v>
      </c>
      <c r="AA1520" s="73">
        <v>930</v>
      </c>
      <c r="AB1520" s="73">
        <v>0</v>
      </c>
      <c r="AC1520" s="73">
        <v>0</v>
      </c>
      <c r="AD1520" s="73">
        <v>0</v>
      </c>
      <c r="AE1520" s="73">
        <v>0</v>
      </c>
      <c r="AF1520" s="74">
        <f>tblData[[#This Row],[Gross Sales]]+tblData[[#This Row],[Trade Discounts]]+tblData[[#This Row],[Returns]]</f>
        <v>795</v>
      </c>
      <c r="AG1520" s="74">
        <f>tblData[[#This Row],[Material Cost]]+tblData[[#This Row],[Conversion Cost]]+tblData[[#This Row],[Inbound Freight]]</f>
        <v>-362</v>
      </c>
      <c r="AH1520" s="74">
        <f>tblData[[#This Row],[Net Revenue]]+tblData[[#This Row],[COGS]]</f>
        <v>433</v>
      </c>
      <c r="AI1520" s="74">
        <f>tblData[[#This Row],[Advertising]]+tblData[[#This Row],[Promotions]]</f>
        <v>-34</v>
      </c>
      <c r="AJ1520" s="74">
        <f>tblData[[#This Row],[Outbound Logistics]]+tblData[[#This Row],[Direct Selling]]</f>
        <v>-40</v>
      </c>
      <c r="AK1520" s="74">
        <f>tblData[[#This Row],[Gross Profit]]+tblData[[#This Row],[AP Spend]]+tblData[[#This Row],[Cost to Serve]]</f>
        <v>359</v>
      </c>
    </row>
    <row r="1521" spans="2:37" x14ac:dyDescent="0.25">
      <c r="B1521" s="71" t="s">
        <v>36</v>
      </c>
      <c r="C1521" s="71">
        <v>2026</v>
      </c>
      <c r="D1521" s="71">
        <v>4</v>
      </c>
      <c r="E1521" s="71" t="s">
        <v>48</v>
      </c>
      <c r="F1521" s="71" t="s">
        <v>41</v>
      </c>
      <c r="G1521" s="72">
        <v>65.900000000000006</v>
      </c>
      <c r="H1521" s="73">
        <v>727</v>
      </c>
      <c r="I1521" s="73">
        <v>-65</v>
      </c>
      <c r="J1521" s="73">
        <v>-7</v>
      </c>
      <c r="K1521" s="73">
        <v>-175</v>
      </c>
      <c r="L1521" s="73">
        <v>-43</v>
      </c>
      <c r="M1521" s="73">
        <v>-27</v>
      </c>
      <c r="N1521" s="73">
        <v>-46</v>
      </c>
      <c r="O1521" s="73">
        <v>-27</v>
      </c>
      <c r="P1521" s="73">
        <v>-22</v>
      </c>
      <c r="Q1521" s="73">
        <v>-11</v>
      </c>
      <c r="R1521" s="73">
        <v>0</v>
      </c>
      <c r="S1521" s="73">
        <v>0</v>
      </c>
      <c r="T1521" s="73">
        <v>0</v>
      </c>
      <c r="U1521" s="73">
        <v>0</v>
      </c>
      <c r="V1521" s="73">
        <v>0</v>
      </c>
      <c r="W1521" s="73">
        <v>0</v>
      </c>
      <c r="X1521" s="73">
        <v>0</v>
      </c>
      <c r="Y1521" s="73">
        <v>0</v>
      </c>
      <c r="Z1521" s="73">
        <v>1477</v>
      </c>
      <c r="AA1521" s="73">
        <v>729</v>
      </c>
      <c r="AB1521" s="73">
        <v>0</v>
      </c>
      <c r="AC1521" s="73">
        <v>0</v>
      </c>
      <c r="AD1521" s="73">
        <v>0</v>
      </c>
      <c r="AE1521" s="73">
        <v>0</v>
      </c>
      <c r="AF1521" s="74">
        <f>tblData[[#This Row],[Gross Sales]]+tblData[[#This Row],[Trade Discounts]]+tblData[[#This Row],[Returns]]</f>
        <v>655</v>
      </c>
      <c r="AG1521" s="74">
        <f>tblData[[#This Row],[Material Cost]]+tblData[[#This Row],[Conversion Cost]]+tblData[[#This Row],[Inbound Freight]]</f>
        <v>-245</v>
      </c>
      <c r="AH1521" s="74">
        <f>tblData[[#This Row],[Net Revenue]]+tblData[[#This Row],[COGS]]</f>
        <v>410</v>
      </c>
      <c r="AI1521" s="74">
        <f>tblData[[#This Row],[Advertising]]+tblData[[#This Row],[Promotions]]</f>
        <v>-73</v>
      </c>
      <c r="AJ1521" s="74">
        <f>tblData[[#This Row],[Outbound Logistics]]+tblData[[#This Row],[Direct Selling]]</f>
        <v>-33</v>
      </c>
      <c r="AK1521" s="74">
        <f>tblData[[#This Row],[Gross Profit]]+tblData[[#This Row],[AP Spend]]+tblData[[#This Row],[Cost to Serve]]</f>
        <v>304</v>
      </c>
    </row>
    <row r="1522" spans="2:37" x14ac:dyDescent="0.25">
      <c r="B1522" s="71" t="s">
        <v>36</v>
      </c>
      <c r="C1522" s="71">
        <v>2026</v>
      </c>
      <c r="D1522" s="71">
        <v>4</v>
      </c>
      <c r="E1522" s="71" t="s">
        <v>48</v>
      </c>
      <c r="F1522" s="71" t="s">
        <v>42</v>
      </c>
      <c r="G1522" s="72">
        <v>75.8</v>
      </c>
      <c r="H1522" s="73">
        <v>453</v>
      </c>
      <c r="I1522" s="73">
        <v>-41</v>
      </c>
      <c r="J1522" s="73">
        <v>-5</v>
      </c>
      <c r="K1522" s="73">
        <v>-146</v>
      </c>
      <c r="L1522" s="73">
        <v>-36</v>
      </c>
      <c r="M1522" s="73">
        <v>-22</v>
      </c>
      <c r="N1522" s="73">
        <v>-9</v>
      </c>
      <c r="O1522" s="73">
        <v>-5</v>
      </c>
      <c r="P1522" s="73">
        <v>-14</v>
      </c>
      <c r="Q1522" s="73">
        <v>-7</v>
      </c>
      <c r="R1522" s="73">
        <v>0</v>
      </c>
      <c r="S1522" s="73">
        <v>0</v>
      </c>
      <c r="T1522" s="73">
        <v>0</v>
      </c>
      <c r="U1522" s="73">
        <v>0</v>
      </c>
      <c r="V1522" s="73">
        <v>0</v>
      </c>
      <c r="W1522" s="73">
        <v>0</v>
      </c>
      <c r="X1522" s="73">
        <v>0</v>
      </c>
      <c r="Y1522" s="73">
        <v>0</v>
      </c>
      <c r="Z1522" s="73">
        <v>942</v>
      </c>
      <c r="AA1522" s="73">
        <v>806</v>
      </c>
      <c r="AB1522" s="73">
        <v>0</v>
      </c>
      <c r="AC1522" s="73">
        <v>0</v>
      </c>
      <c r="AD1522" s="73">
        <v>0</v>
      </c>
      <c r="AE1522" s="73">
        <v>0</v>
      </c>
      <c r="AF1522" s="74">
        <f>tblData[[#This Row],[Gross Sales]]+tblData[[#This Row],[Trade Discounts]]+tblData[[#This Row],[Returns]]</f>
        <v>407</v>
      </c>
      <c r="AG1522" s="74">
        <f>tblData[[#This Row],[Material Cost]]+tblData[[#This Row],[Conversion Cost]]+tblData[[#This Row],[Inbound Freight]]</f>
        <v>-204</v>
      </c>
      <c r="AH1522" s="74">
        <f>tblData[[#This Row],[Net Revenue]]+tblData[[#This Row],[COGS]]</f>
        <v>203</v>
      </c>
      <c r="AI1522" s="74">
        <f>tblData[[#This Row],[Advertising]]+tblData[[#This Row],[Promotions]]</f>
        <v>-14</v>
      </c>
      <c r="AJ1522" s="74">
        <f>tblData[[#This Row],[Outbound Logistics]]+tblData[[#This Row],[Direct Selling]]</f>
        <v>-21</v>
      </c>
      <c r="AK1522" s="74">
        <f>tblData[[#This Row],[Gross Profit]]+tblData[[#This Row],[AP Spend]]+tblData[[#This Row],[Cost to Serve]]</f>
        <v>168</v>
      </c>
    </row>
    <row r="1523" spans="2:37" x14ac:dyDescent="0.25">
      <c r="B1523" s="71" t="s">
        <v>36</v>
      </c>
      <c r="C1523" s="71">
        <v>2026</v>
      </c>
      <c r="D1523" s="71">
        <v>4</v>
      </c>
      <c r="E1523" s="71" t="s">
        <v>48</v>
      </c>
      <c r="F1523" s="71" t="s">
        <v>43</v>
      </c>
      <c r="G1523" s="72">
        <v>14.7</v>
      </c>
      <c r="H1523" s="73">
        <v>265</v>
      </c>
      <c r="I1523" s="73">
        <v>-24</v>
      </c>
      <c r="J1523" s="73">
        <v>-3</v>
      </c>
      <c r="K1523" s="73">
        <v>-74</v>
      </c>
      <c r="L1523" s="73">
        <v>-18</v>
      </c>
      <c r="M1523" s="73">
        <v>-11</v>
      </c>
      <c r="N1523" s="73">
        <v>-25</v>
      </c>
      <c r="O1523" s="73">
        <v>-15</v>
      </c>
      <c r="P1523" s="73">
        <v>-8</v>
      </c>
      <c r="Q1523" s="73">
        <v>-4</v>
      </c>
      <c r="R1523" s="73">
        <v>0</v>
      </c>
      <c r="S1523" s="73">
        <v>0</v>
      </c>
      <c r="T1523" s="73">
        <v>0</v>
      </c>
      <c r="U1523" s="73">
        <v>0</v>
      </c>
      <c r="V1523" s="73">
        <v>0</v>
      </c>
      <c r="W1523" s="73">
        <v>0</v>
      </c>
      <c r="X1523" s="73">
        <v>0</v>
      </c>
      <c r="Y1523" s="73">
        <v>0</v>
      </c>
      <c r="Z1523" s="73">
        <v>541</v>
      </c>
      <c r="AA1523" s="73">
        <v>403</v>
      </c>
      <c r="AB1523" s="73">
        <v>0</v>
      </c>
      <c r="AC1523" s="73">
        <v>0</v>
      </c>
      <c r="AD1523" s="73">
        <v>0</v>
      </c>
      <c r="AE1523" s="73">
        <v>0</v>
      </c>
      <c r="AF1523" s="74">
        <f>tblData[[#This Row],[Gross Sales]]+tblData[[#This Row],[Trade Discounts]]+tblData[[#This Row],[Returns]]</f>
        <v>238</v>
      </c>
      <c r="AG1523" s="74">
        <f>tblData[[#This Row],[Material Cost]]+tblData[[#This Row],[Conversion Cost]]+tblData[[#This Row],[Inbound Freight]]</f>
        <v>-103</v>
      </c>
      <c r="AH1523" s="74">
        <f>tblData[[#This Row],[Net Revenue]]+tblData[[#This Row],[COGS]]</f>
        <v>135</v>
      </c>
      <c r="AI1523" s="74">
        <f>tblData[[#This Row],[Advertising]]+tblData[[#This Row],[Promotions]]</f>
        <v>-40</v>
      </c>
      <c r="AJ1523" s="74">
        <f>tblData[[#This Row],[Outbound Logistics]]+tblData[[#This Row],[Direct Selling]]</f>
        <v>-12</v>
      </c>
      <c r="AK1523" s="74">
        <f>tblData[[#This Row],[Gross Profit]]+tblData[[#This Row],[AP Spend]]+tblData[[#This Row],[Cost to Serve]]</f>
        <v>83</v>
      </c>
    </row>
    <row r="1524" spans="2:37" x14ac:dyDescent="0.25">
      <c r="B1524" s="71" t="s">
        <v>36</v>
      </c>
      <c r="C1524" s="71">
        <v>2026</v>
      </c>
      <c r="D1524" s="71">
        <v>4</v>
      </c>
      <c r="E1524" s="71" t="s">
        <v>49</v>
      </c>
      <c r="F1524" s="71" t="s">
        <v>49</v>
      </c>
      <c r="G1524" s="72">
        <v>0</v>
      </c>
      <c r="H1524" s="73">
        <v>0</v>
      </c>
      <c r="I1524" s="73">
        <v>0</v>
      </c>
      <c r="J1524" s="73">
        <v>0</v>
      </c>
      <c r="K1524" s="73">
        <v>0</v>
      </c>
      <c r="L1524" s="73">
        <v>0</v>
      </c>
      <c r="M1524" s="73">
        <v>0</v>
      </c>
      <c r="N1524" s="73">
        <v>0</v>
      </c>
      <c r="O1524" s="73">
        <v>0</v>
      </c>
      <c r="P1524" s="73">
        <v>0</v>
      </c>
      <c r="Q1524" s="73">
        <v>0</v>
      </c>
      <c r="R1524" s="73">
        <v>-4288</v>
      </c>
      <c r="S1524" s="73">
        <v>-1000</v>
      </c>
      <c r="T1524" s="73">
        <v>-1280</v>
      </c>
      <c r="U1524" s="73">
        <v>-1085</v>
      </c>
      <c r="V1524" s="73">
        <v>-1480</v>
      </c>
      <c r="W1524" s="73">
        <v>-703</v>
      </c>
      <c r="X1524" s="73">
        <v>-1414</v>
      </c>
      <c r="Y1524" s="73">
        <v>-1340</v>
      </c>
      <c r="Z1524" s="73">
        <v>0</v>
      </c>
      <c r="AA1524" s="73">
        <v>0</v>
      </c>
      <c r="AB1524" s="73">
        <v>32863</v>
      </c>
      <c r="AC1524" s="73">
        <v>63938</v>
      </c>
      <c r="AD1524" s="73">
        <v>187500</v>
      </c>
      <c r="AE1524" s="73">
        <v>1181</v>
      </c>
      <c r="AF1524" s="74">
        <f>tblData[[#This Row],[Gross Sales]]+tblData[[#This Row],[Trade Discounts]]+tblData[[#This Row],[Returns]]</f>
        <v>0</v>
      </c>
      <c r="AG1524" s="74">
        <f>tblData[[#This Row],[Material Cost]]+tblData[[#This Row],[Conversion Cost]]+tblData[[#This Row],[Inbound Freight]]</f>
        <v>0</v>
      </c>
      <c r="AH1524" s="74">
        <f>tblData[[#This Row],[Net Revenue]]+tblData[[#This Row],[COGS]]</f>
        <v>0</v>
      </c>
      <c r="AI1524" s="74">
        <f>tblData[[#This Row],[Advertising]]+tblData[[#This Row],[Promotions]]</f>
        <v>0</v>
      </c>
      <c r="AJ1524" s="74">
        <f>tblData[[#This Row],[Outbound Logistics]]+tblData[[#This Row],[Direct Selling]]</f>
        <v>0</v>
      </c>
      <c r="AK1524" s="74">
        <f>tblData[[#This Row],[Gross Profit]]+tblData[[#This Row],[AP Spend]]+tblData[[#This Row],[Cost to Serve]]</f>
        <v>0</v>
      </c>
    </row>
    <row r="1525" spans="2:37" x14ac:dyDescent="0.25">
      <c r="B1525" s="71" t="s">
        <v>36</v>
      </c>
      <c r="C1525" s="71">
        <v>2026</v>
      </c>
      <c r="D1525" s="71">
        <v>5</v>
      </c>
      <c r="E1525" s="71" t="s">
        <v>37</v>
      </c>
      <c r="F1525" s="71" t="s">
        <v>38</v>
      </c>
      <c r="G1525" s="72">
        <v>299.10000000000002</v>
      </c>
      <c r="H1525" s="73">
        <v>4213</v>
      </c>
      <c r="I1525" s="73">
        <v>-826</v>
      </c>
      <c r="J1525" s="73">
        <v>-63</v>
      </c>
      <c r="K1525" s="73">
        <v>-924</v>
      </c>
      <c r="L1525" s="73">
        <v>-228</v>
      </c>
      <c r="M1525" s="73">
        <v>-142</v>
      </c>
      <c r="N1525" s="73">
        <v>-230</v>
      </c>
      <c r="O1525" s="73">
        <v>-136</v>
      </c>
      <c r="P1525" s="73">
        <v>-174</v>
      </c>
      <c r="Q1525" s="73">
        <v>-126</v>
      </c>
      <c r="R1525" s="73">
        <v>0</v>
      </c>
      <c r="S1525" s="73">
        <v>0</v>
      </c>
      <c r="T1525" s="73">
        <v>0</v>
      </c>
      <c r="U1525" s="73">
        <v>0</v>
      </c>
      <c r="V1525" s="73">
        <v>0</v>
      </c>
      <c r="W1525" s="73">
        <v>0</v>
      </c>
      <c r="X1525" s="73">
        <v>0</v>
      </c>
      <c r="Y1525" s="73">
        <v>0</v>
      </c>
      <c r="Z1525" s="73">
        <v>6293</v>
      </c>
      <c r="AA1525" s="73">
        <v>4262</v>
      </c>
      <c r="AB1525" s="73">
        <v>0</v>
      </c>
      <c r="AC1525" s="73">
        <v>0</v>
      </c>
      <c r="AD1525" s="73">
        <v>0</v>
      </c>
      <c r="AE1525" s="73">
        <v>0</v>
      </c>
      <c r="AF1525" s="74">
        <f>tblData[[#This Row],[Gross Sales]]+tblData[[#This Row],[Trade Discounts]]+tblData[[#This Row],[Returns]]</f>
        <v>3324</v>
      </c>
      <c r="AG1525" s="74">
        <f>tblData[[#This Row],[Material Cost]]+tblData[[#This Row],[Conversion Cost]]+tblData[[#This Row],[Inbound Freight]]</f>
        <v>-1294</v>
      </c>
      <c r="AH1525" s="74">
        <f>tblData[[#This Row],[Net Revenue]]+tblData[[#This Row],[COGS]]</f>
        <v>2030</v>
      </c>
      <c r="AI1525" s="74">
        <f>tblData[[#This Row],[Advertising]]+tblData[[#This Row],[Promotions]]</f>
        <v>-366</v>
      </c>
      <c r="AJ1525" s="74">
        <f>tblData[[#This Row],[Outbound Logistics]]+tblData[[#This Row],[Direct Selling]]</f>
        <v>-300</v>
      </c>
      <c r="AK1525" s="74">
        <f>tblData[[#This Row],[Gross Profit]]+tblData[[#This Row],[AP Spend]]+tblData[[#This Row],[Cost to Serve]]</f>
        <v>1364</v>
      </c>
    </row>
    <row r="1526" spans="2:37" x14ac:dyDescent="0.25">
      <c r="B1526" s="71" t="s">
        <v>36</v>
      </c>
      <c r="C1526" s="71">
        <v>2026</v>
      </c>
      <c r="D1526" s="71">
        <v>5</v>
      </c>
      <c r="E1526" s="71" t="s">
        <v>37</v>
      </c>
      <c r="F1526" s="71" t="s">
        <v>39</v>
      </c>
      <c r="G1526" s="72">
        <v>385.6</v>
      </c>
      <c r="H1526" s="73">
        <v>3477</v>
      </c>
      <c r="I1526" s="73">
        <v>-682</v>
      </c>
      <c r="J1526" s="73">
        <v>-52</v>
      </c>
      <c r="K1526" s="73">
        <v>-915</v>
      </c>
      <c r="L1526" s="73">
        <v>-225</v>
      </c>
      <c r="M1526" s="73">
        <v>-140</v>
      </c>
      <c r="N1526" s="73">
        <v>-132</v>
      </c>
      <c r="O1526" s="73">
        <v>-78</v>
      </c>
      <c r="P1526" s="73">
        <v>-143</v>
      </c>
      <c r="Q1526" s="73">
        <v>-104</v>
      </c>
      <c r="R1526" s="73">
        <v>0</v>
      </c>
      <c r="S1526" s="73">
        <v>0</v>
      </c>
      <c r="T1526" s="73">
        <v>0</v>
      </c>
      <c r="U1526" s="73">
        <v>0</v>
      </c>
      <c r="V1526" s="73">
        <v>0</v>
      </c>
      <c r="W1526" s="73">
        <v>0</v>
      </c>
      <c r="X1526" s="73">
        <v>0</v>
      </c>
      <c r="Y1526" s="73">
        <v>0</v>
      </c>
      <c r="Z1526" s="73">
        <v>5131</v>
      </c>
      <c r="AA1526" s="73">
        <v>3551</v>
      </c>
      <c r="AB1526" s="73">
        <v>0</v>
      </c>
      <c r="AC1526" s="73">
        <v>0</v>
      </c>
      <c r="AD1526" s="73">
        <v>0</v>
      </c>
      <c r="AE1526" s="73">
        <v>0</v>
      </c>
      <c r="AF1526" s="74">
        <f>tblData[[#This Row],[Gross Sales]]+tblData[[#This Row],[Trade Discounts]]+tblData[[#This Row],[Returns]]</f>
        <v>2743</v>
      </c>
      <c r="AG1526" s="74">
        <f>tblData[[#This Row],[Material Cost]]+tblData[[#This Row],[Conversion Cost]]+tblData[[#This Row],[Inbound Freight]]</f>
        <v>-1280</v>
      </c>
      <c r="AH1526" s="74">
        <f>tblData[[#This Row],[Net Revenue]]+tblData[[#This Row],[COGS]]</f>
        <v>1463</v>
      </c>
      <c r="AI1526" s="74">
        <f>tblData[[#This Row],[Advertising]]+tblData[[#This Row],[Promotions]]</f>
        <v>-210</v>
      </c>
      <c r="AJ1526" s="74">
        <f>tblData[[#This Row],[Outbound Logistics]]+tblData[[#This Row],[Direct Selling]]</f>
        <v>-247</v>
      </c>
      <c r="AK1526" s="74">
        <f>tblData[[#This Row],[Gross Profit]]+tblData[[#This Row],[AP Spend]]+tblData[[#This Row],[Cost to Serve]]</f>
        <v>1006</v>
      </c>
    </row>
    <row r="1527" spans="2:37" x14ac:dyDescent="0.25">
      <c r="B1527" s="71" t="s">
        <v>36</v>
      </c>
      <c r="C1527" s="71">
        <v>2026</v>
      </c>
      <c r="D1527" s="71">
        <v>5</v>
      </c>
      <c r="E1527" s="71" t="s">
        <v>37</v>
      </c>
      <c r="F1527" s="71" t="s">
        <v>40</v>
      </c>
      <c r="G1527" s="72">
        <v>371.9</v>
      </c>
      <c r="H1527" s="73">
        <v>2603</v>
      </c>
      <c r="I1527" s="73">
        <v>-510</v>
      </c>
      <c r="J1527" s="73">
        <v>-39</v>
      </c>
      <c r="K1527" s="73">
        <v>-761</v>
      </c>
      <c r="L1527" s="73">
        <v>-187</v>
      </c>
      <c r="M1527" s="73">
        <v>-117</v>
      </c>
      <c r="N1527" s="73">
        <v>-66</v>
      </c>
      <c r="O1527" s="73">
        <v>-39</v>
      </c>
      <c r="P1527" s="73">
        <v>-107</v>
      </c>
      <c r="Q1527" s="73">
        <v>-78</v>
      </c>
      <c r="R1527" s="73">
        <v>0</v>
      </c>
      <c r="S1527" s="73">
        <v>0</v>
      </c>
      <c r="T1527" s="73">
        <v>0</v>
      </c>
      <c r="U1527" s="73">
        <v>0</v>
      </c>
      <c r="V1527" s="73">
        <v>0</v>
      </c>
      <c r="W1527" s="73">
        <v>0</v>
      </c>
      <c r="X1527" s="73">
        <v>0</v>
      </c>
      <c r="Y1527" s="73">
        <v>0</v>
      </c>
      <c r="Z1527" s="73">
        <v>3804</v>
      </c>
      <c r="AA1527" s="73">
        <v>2755</v>
      </c>
      <c r="AB1527" s="73">
        <v>0</v>
      </c>
      <c r="AC1527" s="73">
        <v>0</v>
      </c>
      <c r="AD1527" s="73">
        <v>0</v>
      </c>
      <c r="AE1527" s="73">
        <v>0</v>
      </c>
      <c r="AF1527" s="74">
        <f>tblData[[#This Row],[Gross Sales]]+tblData[[#This Row],[Trade Discounts]]+tblData[[#This Row],[Returns]]</f>
        <v>2054</v>
      </c>
      <c r="AG1527" s="74">
        <f>tblData[[#This Row],[Material Cost]]+tblData[[#This Row],[Conversion Cost]]+tblData[[#This Row],[Inbound Freight]]</f>
        <v>-1065</v>
      </c>
      <c r="AH1527" s="74">
        <f>tblData[[#This Row],[Net Revenue]]+tblData[[#This Row],[COGS]]</f>
        <v>989</v>
      </c>
      <c r="AI1527" s="74">
        <f>tblData[[#This Row],[Advertising]]+tblData[[#This Row],[Promotions]]</f>
        <v>-105</v>
      </c>
      <c r="AJ1527" s="74">
        <f>tblData[[#This Row],[Outbound Logistics]]+tblData[[#This Row],[Direct Selling]]</f>
        <v>-185</v>
      </c>
      <c r="AK1527" s="74">
        <f>tblData[[#This Row],[Gross Profit]]+tblData[[#This Row],[AP Spend]]+tblData[[#This Row],[Cost to Serve]]</f>
        <v>699</v>
      </c>
    </row>
    <row r="1528" spans="2:37" x14ac:dyDescent="0.25">
      <c r="B1528" s="71" t="s">
        <v>36</v>
      </c>
      <c r="C1528" s="71">
        <v>2026</v>
      </c>
      <c r="D1528" s="71">
        <v>5</v>
      </c>
      <c r="E1528" s="71" t="s">
        <v>37</v>
      </c>
      <c r="F1528" s="71" t="s">
        <v>41</v>
      </c>
      <c r="G1528" s="72">
        <v>190.6</v>
      </c>
      <c r="H1528" s="73">
        <v>2102</v>
      </c>
      <c r="I1528" s="73">
        <v>-412</v>
      </c>
      <c r="J1528" s="73">
        <v>-32</v>
      </c>
      <c r="K1528" s="73">
        <v>-507</v>
      </c>
      <c r="L1528" s="73">
        <v>-125</v>
      </c>
      <c r="M1528" s="73">
        <v>-78</v>
      </c>
      <c r="N1528" s="73">
        <v>-141</v>
      </c>
      <c r="O1528" s="73">
        <v>-83</v>
      </c>
      <c r="P1528" s="73">
        <v>-87</v>
      </c>
      <c r="Q1528" s="73">
        <v>-63</v>
      </c>
      <c r="R1528" s="73">
        <v>0</v>
      </c>
      <c r="S1528" s="73">
        <v>0</v>
      </c>
      <c r="T1528" s="73">
        <v>0</v>
      </c>
      <c r="U1528" s="73">
        <v>0</v>
      </c>
      <c r="V1528" s="73">
        <v>0</v>
      </c>
      <c r="W1528" s="73">
        <v>0</v>
      </c>
      <c r="X1528" s="73">
        <v>0</v>
      </c>
      <c r="Y1528" s="73">
        <v>0</v>
      </c>
      <c r="Z1528" s="73">
        <v>3021</v>
      </c>
      <c r="AA1528" s="73">
        <v>2139</v>
      </c>
      <c r="AB1528" s="73">
        <v>0</v>
      </c>
      <c r="AC1528" s="73">
        <v>0</v>
      </c>
      <c r="AD1528" s="73">
        <v>0</v>
      </c>
      <c r="AE1528" s="73">
        <v>0</v>
      </c>
      <c r="AF1528" s="74">
        <f>tblData[[#This Row],[Gross Sales]]+tblData[[#This Row],[Trade Discounts]]+tblData[[#This Row],[Returns]]</f>
        <v>1658</v>
      </c>
      <c r="AG1528" s="74">
        <f>tblData[[#This Row],[Material Cost]]+tblData[[#This Row],[Conversion Cost]]+tblData[[#This Row],[Inbound Freight]]</f>
        <v>-710</v>
      </c>
      <c r="AH1528" s="74">
        <f>tblData[[#This Row],[Net Revenue]]+tblData[[#This Row],[COGS]]</f>
        <v>948</v>
      </c>
      <c r="AI1528" s="74">
        <f>tblData[[#This Row],[Advertising]]+tblData[[#This Row],[Promotions]]</f>
        <v>-224</v>
      </c>
      <c r="AJ1528" s="74">
        <f>tblData[[#This Row],[Outbound Logistics]]+tblData[[#This Row],[Direct Selling]]</f>
        <v>-150</v>
      </c>
      <c r="AK1528" s="74">
        <f>tblData[[#This Row],[Gross Profit]]+tblData[[#This Row],[AP Spend]]+tblData[[#This Row],[Cost to Serve]]</f>
        <v>574</v>
      </c>
    </row>
    <row r="1529" spans="2:37" x14ac:dyDescent="0.25">
      <c r="B1529" s="71" t="s">
        <v>36</v>
      </c>
      <c r="C1529" s="71">
        <v>2026</v>
      </c>
      <c r="D1529" s="71">
        <v>5</v>
      </c>
      <c r="E1529" s="71" t="s">
        <v>37</v>
      </c>
      <c r="F1529" s="71" t="s">
        <v>42</v>
      </c>
      <c r="G1529" s="72">
        <v>219.6</v>
      </c>
      <c r="H1529" s="73">
        <v>1312</v>
      </c>
      <c r="I1529" s="73">
        <v>-257</v>
      </c>
      <c r="J1529" s="73">
        <v>-20</v>
      </c>
      <c r="K1529" s="73">
        <v>-422</v>
      </c>
      <c r="L1529" s="73">
        <v>-104</v>
      </c>
      <c r="M1529" s="73">
        <v>-65</v>
      </c>
      <c r="N1529" s="73">
        <v>-27</v>
      </c>
      <c r="O1529" s="73">
        <v>-16</v>
      </c>
      <c r="P1529" s="73">
        <v>-54</v>
      </c>
      <c r="Q1529" s="73">
        <v>-39</v>
      </c>
      <c r="R1529" s="73">
        <v>0</v>
      </c>
      <c r="S1529" s="73">
        <v>0</v>
      </c>
      <c r="T1529" s="73">
        <v>0</v>
      </c>
      <c r="U1529" s="73">
        <v>0</v>
      </c>
      <c r="V1529" s="73">
        <v>0</v>
      </c>
      <c r="W1529" s="73">
        <v>0</v>
      </c>
      <c r="X1529" s="73">
        <v>0</v>
      </c>
      <c r="Y1529" s="73">
        <v>0</v>
      </c>
      <c r="Z1529" s="73">
        <v>1961</v>
      </c>
      <c r="AA1529" s="73">
        <v>2411</v>
      </c>
      <c r="AB1529" s="73">
        <v>0</v>
      </c>
      <c r="AC1529" s="73">
        <v>0</v>
      </c>
      <c r="AD1529" s="73">
        <v>0</v>
      </c>
      <c r="AE1529" s="73">
        <v>0</v>
      </c>
      <c r="AF1529" s="74">
        <f>tblData[[#This Row],[Gross Sales]]+tblData[[#This Row],[Trade Discounts]]+tblData[[#This Row],[Returns]]</f>
        <v>1035</v>
      </c>
      <c r="AG1529" s="74">
        <f>tblData[[#This Row],[Material Cost]]+tblData[[#This Row],[Conversion Cost]]+tblData[[#This Row],[Inbound Freight]]</f>
        <v>-591</v>
      </c>
      <c r="AH1529" s="74">
        <f>tblData[[#This Row],[Net Revenue]]+tblData[[#This Row],[COGS]]</f>
        <v>444</v>
      </c>
      <c r="AI1529" s="74">
        <f>tblData[[#This Row],[Advertising]]+tblData[[#This Row],[Promotions]]</f>
        <v>-43</v>
      </c>
      <c r="AJ1529" s="74">
        <f>tblData[[#This Row],[Outbound Logistics]]+tblData[[#This Row],[Direct Selling]]</f>
        <v>-93</v>
      </c>
      <c r="AK1529" s="74">
        <f>tblData[[#This Row],[Gross Profit]]+tblData[[#This Row],[AP Spend]]+tblData[[#This Row],[Cost to Serve]]</f>
        <v>308</v>
      </c>
    </row>
    <row r="1530" spans="2:37" x14ac:dyDescent="0.25">
      <c r="B1530" s="71" t="s">
        <v>36</v>
      </c>
      <c r="C1530" s="71">
        <v>2026</v>
      </c>
      <c r="D1530" s="71">
        <v>5</v>
      </c>
      <c r="E1530" s="71" t="s">
        <v>37</v>
      </c>
      <c r="F1530" s="71" t="s">
        <v>43</v>
      </c>
      <c r="G1530" s="72">
        <v>42.2</v>
      </c>
      <c r="H1530" s="73">
        <v>760</v>
      </c>
      <c r="I1530" s="73">
        <v>-149</v>
      </c>
      <c r="J1530" s="73">
        <v>-11</v>
      </c>
      <c r="K1530" s="73">
        <v>-211</v>
      </c>
      <c r="L1530" s="73">
        <v>-52</v>
      </c>
      <c r="M1530" s="73">
        <v>-32</v>
      </c>
      <c r="N1530" s="73">
        <v>-77</v>
      </c>
      <c r="O1530" s="73">
        <v>-45</v>
      </c>
      <c r="P1530" s="73">
        <v>-31</v>
      </c>
      <c r="Q1530" s="73">
        <v>-23</v>
      </c>
      <c r="R1530" s="73">
        <v>0</v>
      </c>
      <c r="S1530" s="73">
        <v>0</v>
      </c>
      <c r="T1530" s="73">
        <v>0</v>
      </c>
      <c r="U1530" s="73">
        <v>0</v>
      </c>
      <c r="V1530" s="73">
        <v>0</v>
      </c>
      <c r="W1530" s="73">
        <v>0</v>
      </c>
      <c r="X1530" s="73">
        <v>0</v>
      </c>
      <c r="Y1530" s="73">
        <v>0</v>
      </c>
      <c r="Z1530" s="73">
        <v>1098</v>
      </c>
      <c r="AA1530" s="73">
        <v>1175</v>
      </c>
      <c r="AB1530" s="73">
        <v>0</v>
      </c>
      <c r="AC1530" s="73">
        <v>0</v>
      </c>
      <c r="AD1530" s="73">
        <v>0</v>
      </c>
      <c r="AE1530" s="73">
        <v>0</v>
      </c>
      <c r="AF1530" s="74">
        <f>tblData[[#This Row],[Gross Sales]]+tblData[[#This Row],[Trade Discounts]]+tblData[[#This Row],[Returns]]</f>
        <v>600</v>
      </c>
      <c r="AG1530" s="74">
        <f>tblData[[#This Row],[Material Cost]]+tblData[[#This Row],[Conversion Cost]]+tblData[[#This Row],[Inbound Freight]]</f>
        <v>-295</v>
      </c>
      <c r="AH1530" s="74">
        <f>tblData[[#This Row],[Net Revenue]]+tblData[[#This Row],[COGS]]</f>
        <v>305</v>
      </c>
      <c r="AI1530" s="74">
        <f>tblData[[#This Row],[Advertising]]+tblData[[#This Row],[Promotions]]</f>
        <v>-122</v>
      </c>
      <c r="AJ1530" s="74">
        <f>tblData[[#This Row],[Outbound Logistics]]+tblData[[#This Row],[Direct Selling]]</f>
        <v>-54</v>
      </c>
      <c r="AK1530" s="74">
        <f>tblData[[#This Row],[Gross Profit]]+tblData[[#This Row],[AP Spend]]+tblData[[#This Row],[Cost to Serve]]</f>
        <v>129</v>
      </c>
    </row>
    <row r="1531" spans="2:37" x14ac:dyDescent="0.25">
      <c r="B1531" s="71" t="s">
        <v>36</v>
      </c>
      <c r="C1531" s="71">
        <v>2026</v>
      </c>
      <c r="D1531" s="71">
        <v>5</v>
      </c>
      <c r="E1531" s="71" t="s">
        <v>44</v>
      </c>
      <c r="F1531" s="71" t="s">
        <v>38</v>
      </c>
      <c r="G1531" s="72">
        <v>253.6</v>
      </c>
      <c r="H1531" s="73">
        <v>3586</v>
      </c>
      <c r="I1531" s="73">
        <v>-581</v>
      </c>
      <c r="J1531" s="73">
        <v>-43</v>
      </c>
      <c r="K1531" s="73">
        <v>-786</v>
      </c>
      <c r="L1531" s="73">
        <v>-194</v>
      </c>
      <c r="M1531" s="73">
        <v>-121</v>
      </c>
      <c r="N1531" s="73">
        <v>-184</v>
      </c>
      <c r="O1531" s="73">
        <v>-109</v>
      </c>
      <c r="P1531" s="73">
        <v>-148</v>
      </c>
      <c r="Q1531" s="73">
        <v>-108</v>
      </c>
      <c r="R1531" s="73">
        <v>0</v>
      </c>
      <c r="S1531" s="73">
        <v>0</v>
      </c>
      <c r="T1531" s="73">
        <v>0</v>
      </c>
      <c r="U1531" s="73">
        <v>0</v>
      </c>
      <c r="V1531" s="73">
        <v>0</v>
      </c>
      <c r="W1531" s="73">
        <v>0</v>
      </c>
      <c r="X1531" s="73">
        <v>0</v>
      </c>
      <c r="Y1531" s="73">
        <v>0</v>
      </c>
      <c r="Z1531" s="73">
        <v>4893</v>
      </c>
      <c r="AA1531" s="73">
        <v>3463</v>
      </c>
      <c r="AB1531" s="73">
        <v>0</v>
      </c>
      <c r="AC1531" s="73">
        <v>0</v>
      </c>
      <c r="AD1531" s="73">
        <v>0</v>
      </c>
      <c r="AE1531" s="73">
        <v>0</v>
      </c>
      <c r="AF1531" s="74">
        <f>tblData[[#This Row],[Gross Sales]]+tblData[[#This Row],[Trade Discounts]]+tblData[[#This Row],[Returns]]</f>
        <v>2962</v>
      </c>
      <c r="AG1531" s="74">
        <f>tblData[[#This Row],[Material Cost]]+tblData[[#This Row],[Conversion Cost]]+tblData[[#This Row],[Inbound Freight]]</f>
        <v>-1101</v>
      </c>
      <c r="AH1531" s="74">
        <f>tblData[[#This Row],[Net Revenue]]+tblData[[#This Row],[COGS]]</f>
        <v>1861</v>
      </c>
      <c r="AI1531" s="74">
        <f>tblData[[#This Row],[Advertising]]+tblData[[#This Row],[Promotions]]</f>
        <v>-293</v>
      </c>
      <c r="AJ1531" s="74">
        <f>tblData[[#This Row],[Outbound Logistics]]+tblData[[#This Row],[Direct Selling]]</f>
        <v>-256</v>
      </c>
      <c r="AK1531" s="74">
        <f>tblData[[#This Row],[Gross Profit]]+tblData[[#This Row],[AP Spend]]+tblData[[#This Row],[Cost to Serve]]</f>
        <v>1312</v>
      </c>
    </row>
    <row r="1532" spans="2:37" x14ac:dyDescent="0.25">
      <c r="B1532" s="71" t="s">
        <v>36</v>
      </c>
      <c r="C1532" s="71">
        <v>2026</v>
      </c>
      <c r="D1532" s="71">
        <v>5</v>
      </c>
      <c r="E1532" s="71" t="s">
        <v>44</v>
      </c>
      <c r="F1532" s="71" t="s">
        <v>39</v>
      </c>
      <c r="G1532" s="72">
        <v>324.8</v>
      </c>
      <c r="H1532" s="73">
        <v>2941</v>
      </c>
      <c r="I1532" s="73">
        <v>-476</v>
      </c>
      <c r="J1532" s="73">
        <v>-35</v>
      </c>
      <c r="K1532" s="73">
        <v>-774</v>
      </c>
      <c r="L1532" s="73">
        <v>-191</v>
      </c>
      <c r="M1532" s="73">
        <v>-119</v>
      </c>
      <c r="N1532" s="73">
        <v>-105</v>
      </c>
      <c r="O1532" s="73">
        <v>-62</v>
      </c>
      <c r="P1532" s="73">
        <v>-121</v>
      </c>
      <c r="Q1532" s="73">
        <v>-88</v>
      </c>
      <c r="R1532" s="73">
        <v>0</v>
      </c>
      <c r="S1532" s="73">
        <v>0</v>
      </c>
      <c r="T1532" s="73">
        <v>0</v>
      </c>
      <c r="U1532" s="73">
        <v>0</v>
      </c>
      <c r="V1532" s="73">
        <v>0</v>
      </c>
      <c r="W1532" s="73">
        <v>0</v>
      </c>
      <c r="X1532" s="73">
        <v>0</v>
      </c>
      <c r="Y1532" s="73">
        <v>0</v>
      </c>
      <c r="Z1532" s="73">
        <v>4154</v>
      </c>
      <c r="AA1532" s="73">
        <v>3004</v>
      </c>
      <c r="AB1532" s="73">
        <v>0</v>
      </c>
      <c r="AC1532" s="73">
        <v>0</v>
      </c>
      <c r="AD1532" s="73">
        <v>0</v>
      </c>
      <c r="AE1532" s="73">
        <v>0</v>
      </c>
      <c r="AF1532" s="74">
        <f>tblData[[#This Row],[Gross Sales]]+tblData[[#This Row],[Trade Discounts]]+tblData[[#This Row],[Returns]]</f>
        <v>2430</v>
      </c>
      <c r="AG1532" s="74">
        <f>tblData[[#This Row],[Material Cost]]+tblData[[#This Row],[Conversion Cost]]+tblData[[#This Row],[Inbound Freight]]</f>
        <v>-1084</v>
      </c>
      <c r="AH1532" s="74">
        <f>tblData[[#This Row],[Net Revenue]]+tblData[[#This Row],[COGS]]</f>
        <v>1346</v>
      </c>
      <c r="AI1532" s="74">
        <f>tblData[[#This Row],[Advertising]]+tblData[[#This Row],[Promotions]]</f>
        <v>-167</v>
      </c>
      <c r="AJ1532" s="74">
        <f>tblData[[#This Row],[Outbound Logistics]]+tblData[[#This Row],[Direct Selling]]</f>
        <v>-209</v>
      </c>
      <c r="AK1532" s="74">
        <f>tblData[[#This Row],[Gross Profit]]+tblData[[#This Row],[AP Spend]]+tblData[[#This Row],[Cost to Serve]]</f>
        <v>970</v>
      </c>
    </row>
    <row r="1533" spans="2:37" x14ac:dyDescent="0.25">
      <c r="B1533" s="71" t="s">
        <v>36</v>
      </c>
      <c r="C1533" s="71">
        <v>2026</v>
      </c>
      <c r="D1533" s="71">
        <v>5</v>
      </c>
      <c r="E1533" s="71" t="s">
        <v>44</v>
      </c>
      <c r="F1533" s="71" t="s">
        <v>40</v>
      </c>
      <c r="G1533" s="72">
        <v>308.39999999999998</v>
      </c>
      <c r="H1533" s="73">
        <v>2167</v>
      </c>
      <c r="I1533" s="73">
        <v>-351</v>
      </c>
      <c r="J1533" s="73">
        <v>-26</v>
      </c>
      <c r="K1533" s="73">
        <v>-634</v>
      </c>
      <c r="L1533" s="73">
        <v>-156</v>
      </c>
      <c r="M1533" s="73">
        <v>-97</v>
      </c>
      <c r="N1533" s="73">
        <v>-53</v>
      </c>
      <c r="O1533" s="73">
        <v>-31</v>
      </c>
      <c r="P1533" s="73">
        <v>-89</v>
      </c>
      <c r="Q1533" s="73">
        <v>-65</v>
      </c>
      <c r="R1533" s="73">
        <v>0</v>
      </c>
      <c r="S1533" s="73">
        <v>0</v>
      </c>
      <c r="T1533" s="73">
        <v>0</v>
      </c>
      <c r="U1533" s="73">
        <v>0</v>
      </c>
      <c r="V1533" s="73">
        <v>0</v>
      </c>
      <c r="W1533" s="73">
        <v>0</v>
      </c>
      <c r="X1533" s="73">
        <v>0</v>
      </c>
      <c r="Y1533" s="73">
        <v>0</v>
      </c>
      <c r="Z1533" s="73">
        <v>3050</v>
      </c>
      <c r="AA1533" s="73">
        <v>2309</v>
      </c>
      <c r="AB1533" s="73">
        <v>0</v>
      </c>
      <c r="AC1533" s="73">
        <v>0</v>
      </c>
      <c r="AD1533" s="73">
        <v>0</v>
      </c>
      <c r="AE1533" s="73">
        <v>0</v>
      </c>
      <c r="AF1533" s="74">
        <f>tblData[[#This Row],[Gross Sales]]+tblData[[#This Row],[Trade Discounts]]+tblData[[#This Row],[Returns]]</f>
        <v>1790</v>
      </c>
      <c r="AG1533" s="74">
        <f>tblData[[#This Row],[Material Cost]]+tblData[[#This Row],[Conversion Cost]]+tblData[[#This Row],[Inbound Freight]]</f>
        <v>-887</v>
      </c>
      <c r="AH1533" s="74">
        <f>tblData[[#This Row],[Net Revenue]]+tblData[[#This Row],[COGS]]</f>
        <v>903</v>
      </c>
      <c r="AI1533" s="74">
        <f>tblData[[#This Row],[Advertising]]+tblData[[#This Row],[Promotions]]</f>
        <v>-84</v>
      </c>
      <c r="AJ1533" s="74">
        <f>tblData[[#This Row],[Outbound Logistics]]+tblData[[#This Row],[Direct Selling]]</f>
        <v>-154</v>
      </c>
      <c r="AK1533" s="74">
        <f>tblData[[#This Row],[Gross Profit]]+tblData[[#This Row],[AP Spend]]+tblData[[#This Row],[Cost to Serve]]</f>
        <v>665</v>
      </c>
    </row>
    <row r="1534" spans="2:37" x14ac:dyDescent="0.25">
      <c r="B1534" s="71" t="s">
        <v>36</v>
      </c>
      <c r="C1534" s="71">
        <v>2026</v>
      </c>
      <c r="D1534" s="71">
        <v>5</v>
      </c>
      <c r="E1534" s="71" t="s">
        <v>44</v>
      </c>
      <c r="F1534" s="71" t="s">
        <v>41</v>
      </c>
      <c r="G1534" s="72">
        <v>150.19999999999999</v>
      </c>
      <c r="H1534" s="73">
        <v>1664</v>
      </c>
      <c r="I1534" s="73">
        <v>-269</v>
      </c>
      <c r="J1534" s="73">
        <v>-20</v>
      </c>
      <c r="K1534" s="73">
        <v>-401</v>
      </c>
      <c r="L1534" s="73">
        <v>-99</v>
      </c>
      <c r="M1534" s="73">
        <v>-61</v>
      </c>
      <c r="N1534" s="73">
        <v>-113</v>
      </c>
      <c r="O1534" s="73">
        <v>-67</v>
      </c>
      <c r="P1534" s="73">
        <v>-69</v>
      </c>
      <c r="Q1534" s="73">
        <v>-50</v>
      </c>
      <c r="R1534" s="73">
        <v>0</v>
      </c>
      <c r="S1534" s="73">
        <v>0</v>
      </c>
      <c r="T1534" s="73">
        <v>0</v>
      </c>
      <c r="U1534" s="73">
        <v>0</v>
      </c>
      <c r="V1534" s="73">
        <v>0</v>
      </c>
      <c r="W1534" s="73">
        <v>0</v>
      </c>
      <c r="X1534" s="73">
        <v>0</v>
      </c>
      <c r="Y1534" s="73">
        <v>0</v>
      </c>
      <c r="Z1534" s="73">
        <v>2396</v>
      </c>
      <c r="AA1534" s="73">
        <v>1773</v>
      </c>
      <c r="AB1534" s="73">
        <v>0</v>
      </c>
      <c r="AC1534" s="73">
        <v>0</v>
      </c>
      <c r="AD1534" s="73">
        <v>0</v>
      </c>
      <c r="AE1534" s="73">
        <v>0</v>
      </c>
      <c r="AF1534" s="74">
        <f>tblData[[#This Row],[Gross Sales]]+tblData[[#This Row],[Trade Discounts]]+tblData[[#This Row],[Returns]]</f>
        <v>1375</v>
      </c>
      <c r="AG1534" s="74">
        <f>tblData[[#This Row],[Material Cost]]+tblData[[#This Row],[Conversion Cost]]+tblData[[#This Row],[Inbound Freight]]</f>
        <v>-561</v>
      </c>
      <c r="AH1534" s="74">
        <f>tblData[[#This Row],[Net Revenue]]+tblData[[#This Row],[COGS]]</f>
        <v>814</v>
      </c>
      <c r="AI1534" s="74">
        <f>tblData[[#This Row],[Advertising]]+tblData[[#This Row],[Promotions]]</f>
        <v>-180</v>
      </c>
      <c r="AJ1534" s="74">
        <f>tblData[[#This Row],[Outbound Logistics]]+tblData[[#This Row],[Direct Selling]]</f>
        <v>-119</v>
      </c>
      <c r="AK1534" s="74">
        <f>tblData[[#This Row],[Gross Profit]]+tblData[[#This Row],[AP Spend]]+tblData[[#This Row],[Cost to Serve]]</f>
        <v>515</v>
      </c>
    </row>
    <row r="1535" spans="2:37" x14ac:dyDescent="0.25">
      <c r="B1535" s="71" t="s">
        <v>36</v>
      </c>
      <c r="C1535" s="71">
        <v>2026</v>
      </c>
      <c r="D1535" s="71">
        <v>5</v>
      </c>
      <c r="E1535" s="71" t="s">
        <v>44</v>
      </c>
      <c r="F1535" s="71" t="s">
        <v>42</v>
      </c>
      <c r="G1535" s="72">
        <v>191</v>
      </c>
      <c r="H1535" s="73">
        <v>1146</v>
      </c>
      <c r="I1535" s="73">
        <v>-186</v>
      </c>
      <c r="J1535" s="73">
        <v>-14</v>
      </c>
      <c r="K1535" s="73">
        <v>-368</v>
      </c>
      <c r="L1535" s="73">
        <v>-91</v>
      </c>
      <c r="M1535" s="73">
        <v>-56</v>
      </c>
      <c r="N1535" s="73">
        <v>-22</v>
      </c>
      <c r="O1535" s="73">
        <v>-13</v>
      </c>
      <c r="P1535" s="73">
        <v>-47</v>
      </c>
      <c r="Q1535" s="73">
        <v>-34</v>
      </c>
      <c r="R1535" s="73">
        <v>0</v>
      </c>
      <c r="S1535" s="73">
        <v>0</v>
      </c>
      <c r="T1535" s="73">
        <v>0</v>
      </c>
      <c r="U1535" s="73">
        <v>0</v>
      </c>
      <c r="V1535" s="73">
        <v>0</v>
      </c>
      <c r="W1535" s="73">
        <v>0</v>
      </c>
      <c r="X1535" s="73">
        <v>0</v>
      </c>
      <c r="Y1535" s="73">
        <v>0</v>
      </c>
      <c r="Z1535" s="73">
        <v>1603</v>
      </c>
      <c r="AA1535" s="73">
        <v>2060</v>
      </c>
      <c r="AB1535" s="73">
        <v>0</v>
      </c>
      <c r="AC1535" s="73">
        <v>0</v>
      </c>
      <c r="AD1535" s="73">
        <v>0</v>
      </c>
      <c r="AE1535" s="73">
        <v>0</v>
      </c>
      <c r="AF1535" s="74">
        <f>tblData[[#This Row],[Gross Sales]]+tblData[[#This Row],[Trade Discounts]]+tblData[[#This Row],[Returns]]</f>
        <v>946</v>
      </c>
      <c r="AG1535" s="74">
        <f>tblData[[#This Row],[Material Cost]]+tblData[[#This Row],[Conversion Cost]]+tblData[[#This Row],[Inbound Freight]]</f>
        <v>-515</v>
      </c>
      <c r="AH1535" s="74">
        <f>tblData[[#This Row],[Net Revenue]]+tblData[[#This Row],[COGS]]</f>
        <v>431</v>
      </c>
      <c r="AI1535" s="74">
        <f>tblData[[#This Row],[Advertising]]+tblData[[#This Row],[Promotions]]</f>
        <v>-35</v>
      </c>
      <c r="AJ1535" s="74">
        <f>tblData[[#This Row],[Outbound Logistics]]+tblData[[#This Row],[Direct Selling]]</f>
        <v>-81</v>
      </c>
      <c r="AK1535" s="74">
        <f>tblData[[#This Row],[Gross Profit]]+tblData[[#This Row],[AP Spend]]+tblData[[#This Row],[Cost to Serve]]</f>
        <v>315</v>
      </c>
    </row>
    <row r="1536" spans="2:37" x14ac:dyDescent="0.25">
      <c r="B1536" s="71" t="s">
        <v>36</v>
      </c>
      <c r="C1536" s="71">
        <v>2026</v>
      </c>
      <c r="D1536" s="71">
        <v>5</v>
      </c>
      <c r="E1536" s="71" t="s">
        <v>44</v>
      </c>
      <c r="F1536" s="71" t="s">
        <v>43</v>
      </c>
      <c r="G1536" s="72">
        <v>35</v>
      </c>
      <c r="H1536" s="73">
        <v>632</v>
      </c>
      <c r="I1536" s="73">
        <v>-102</v>
      </c>
      <c r="J1536" s="73">
        <v>-8</v>
      </c>
      <c r="K1536" s="73">
        <v>-176</v>
      </c>
      <c r="L1536" s="73">
        <v>-43</v>
      </c>
      <c r="M1536" s="73">
        <v>-27</v>
      </c>
      <c r="N1536" s="73">
        <v>-61</v>
      </c>
      <c r="O1536" s="73">
        <v>-36</v>
      </c>
      <c r="P1536" s="73">
        <v>-26</v>
      </c>
      <c r="Q1536" s="73">
        <v>-19</v>
      </c>
      <c r="R1536" s="73">
        <v>0</v>
      </c>
      <c r="S1536" s="73">
        <v>0</v>
      </c>
      <c r="T1536" s="73">
        <v>0</v>
      </c>
      <c r="U1536" s="73">
        <v>0</v>
      </c>
      <c r="V1536" s="73">
        <v>0</v>
      </c>
      <c r="W1536" s="73">
        <v>0</v>
      </c>
      <c r="X1536" s="73">
        <v>0</v>
      </c>
      <c r="Y1536" s="73">
        <v>0</v>
      </c>
      <c r="Z1536" s="73">
        <v>894</v>
      </c>
      <c r="AA1536" s="73">
        <v>1000</v>
      </c>
      <c r="AB1536" s="73">
        <v>0</v>
      </c>
      <c r="AC1536" s="73">
        <v>0</v>
      </c>
      <c r="AD1536" s="73">
        <v>0</v>
      </c>
      <c r="AE1536" s="73">
        <v>0</v>
      </c>
      <c r="AF1536" s="74">
        <f>tblData[[#This Row],[Gross Sales]]+tblData[[#This Row],[Trade Discounts]]+tblData[[#This Row],[Returns]]</f>
        <v>522</v>
      </c>
      <c r="AG1536" s="74">
        <f>tblData[[#This Row],[Material Cost]]+tblData[[#This Row],[Conversion Cost]]+tblData[[#This Row],[Inbound Freight]]</f>
        <v>-246</v>
      </c>
      <c r="AH1536" s="74">
        <f>tblData[[#This Row],[Net Revenue]]+tblData[[#This Row],[COGS]]</f>
        <v>276</v>
      </c>
      <c r="AI1536" s="74">
        <f>tblData[[#This Row],[Advertising]]+tblData[[#This Row],[Promotions]]</f>
        <v>-97</v>
      </c>
      <c r="AJ1536" s="74">
        <f>tblData[[#This Row],[Outbound Logistics]]+tblData[[#This Row],[Direct Selling]]</f>
        <v>-45</v>
      </c>
      <c r="AK1536" s="74">
        <f>tblData[[#This Row],[Gross Profit]]+tblData[[#This Row],[AP Spend]]+tblData[[#This Row],[Cost to Serve]]</f>
        <v>134</v>
      </c>
    </row>
    <row r="1537" spans="2:37" x14ac:dyDescent="0.25">
      <c r="B1537" s="71" t="s">
        <v>36</v>
      </c>
      <c r="C1537" s="71">
        <v>2026</v>
      </c>
      <c r="D1537" s="71">
        <v>5</v>
      </c>
      <c r="E1537" s="71" t="s">
        <v>45</v>
      </c>
      <c r="F1537" s="71" t="s">
        <v>38</v>
      </c>
      <c r="G1537" s="72">
        <v>143</v>
      </c>
      <c r="H1537" s="73">
        <v>1998</v>
      </c>
      <c r="I1537" s="73">
        <v>-463</v>
      </c>
      <c r="J1537" s="73">
        <v>-20</v>
      </c>
      <c r="K1537" s="73">
        <v>-438</v>
      </c>
      <c r="L1537" s="73">
        <v>-108</v>
      </c>
      <c r="M1537" s="73">
        <v>-67</v>
      </c>
      <c r="N1537" s="73">
        <v>-107</v>
      </c>
      <c r="O1537" s="73">
        <v>-63</v>
      </c>
      <c r="P1537" s="73">
        <v>-72</v>
      </c>
      <c r="Q1537" s="73">
        <v>-40</v>
      </c>
      <c r="R1537" s="73">
        <v>0</v>
      </c>
      <c r="S1537" s="73">
        <v>0</v>
      </c>
      <c r="T1537" s="73">
        <v>0</v>
      </c>
      <c r="U1537" s="73">
        <v>0</v>
      </c>
      <c r="V1537" s="73">
        <v>0</v>
      </c>
      <c r="W1537" s="73">
        <v>0</v>
      </c>
      <c r="X1537" s="73">
        <v>0</v>
      </c>
      <c r="Y1537" s="73">
        <v>0</v>
      </c>
      <c r="Z1537" s="73">
        <v>2335</v>
      </c>
      <c r="AA1537" s="73">
        <v>1989</v>
      </c>
      <c r="AB1537" s="73">
        <v>0</v>
      </c>
      <c r="AC1537" s="73">
        <v>0</v>
      </c>
      <c r="AD1537" s="73">
        <v>0</v>
      </c>
      <c r="AE1537" s="73">
        <v>0</v>
      </c>
      <c r="AF1537" s="74">
        <f>tblData[[#This Row],[Gross Sales]]+tblData[[#This Row],[Trade Discounts]]+tblData[[#This Row],[Returns]]</f>
        <v>1515</v>
      </c>
      <c r="AG1537" s="74">
        <f>tblData[[#This Row],[Material Cost]]+tblData[[#This Row],[Conversion Cost]]+tblData[[#This Row],[Inbound Freight]]</f>
        <v>-613</v>
      </c>
      <c r="AH1537" s="74">
        <f>tblData[[#This Row],[Net Revenue]]+tblData[[#This Row],[COGS]]</f>
        <v>902</v>
      </c>
      <c r="AI1537" s="74">
        <f>tblData[[#This Row],[Advertising]]+tblData[[#This Row],[Promotions]]</f>
        <v>-170</v>
      </c>
      <c r="AJ1537" s="74">
        <f>tblData[[#This Row],[Outbound Logistics]]+tblData[[#This Row],[Direct Selling]]</f>
        <v>-112</v>
      </c>
      <c r="AK1537" s="74">
        <f>tblData[[#This Row],[Gross Profit]]+tblData[[#This Row],[AP Spend]]+tblData[[#This Row],[Cost to Serve]]</f>
        <v>620</v>
      </c>
    </row>
    <row r="1538" spans="2:37" x14ac:dyDescent="0.25">
      <c r="B1538" s="71" t="s">
        <v>36</v>
      </c>
      <c r="C1538" s="71">
        <v>2026</v>
      </c>
      <c r="D1538" s="71">
        <v>5</v>
      </c>
      <c r="E1538" s="71" t="s">
        <v>45</v>
      </c>
      <c r="F1538" s="71" t="s">
        <v>39</v>
      </c>
      <c r="G1538" s="72">
        <v>185.9</v>
      </c>
      <c r="H1538" s="73">
        <v>1663</v>
      </c>
      <c r="I1538" s="73">
        <v>-386</v>
      </c>
      <c r="J1538" s="73">
        <v>-17</v>
      </c>
      <c r="K1538" s="73">
        <v>-437</v>
      </c>
      <c r="L1538" s="73">
        <v>-108</v>
      </c>
      <c r="M1538" s="73">
        <v>-67</v>
      </c>
      <c r="N1538" s="73">
        <v>-61</v>
      </c>
      <c r="O1538" s="73">
        <v>-36</v>
      </c>
      <c r="P1538" s="73">
        <v>-60</v>
      </c>
      <c r="Q1538" s="73">
        <v>-33</v>
      </c>
      <c r="R1538" s="73">
        <v>0</v>
      </c>
      <c r="S1538" s="73">
        <v>0</v>
      </c>
      <c r="T1538" s="73">
        <v>0</v>
      </c>
      <c r="U1538" s="73">
        <v>0</v>
      </c>
      <c r="V1538" s="73">
        <v>0</v>
      </c>
      <c r="W1538" s="73">
        <v>0</v>
      </c>
      <c r="X1538" s="73">
        <v>0</v>
      </c>
      <c r="Y1538" s="73">
        <v>0</v>
      </c>
      <c r="Z1538" s="73">
        <v>1927</v>
      </c>
      <c r="AA1538" s="73">
        <v>1677</v>
      </c>
      <c r="AB1538" s="73">
        <v>0</v>
      </c>
      <c r="AC1538" s="73">
        <v>0</v>
      </c>
      <c r="AD1538" s="73">
        <v>0</v>
      </c>
      <c r="AE1538" s="73">
        <v>0</v>
      </c>
      <c r="AF1538" s="74">
        <f>tblData[[#This Row],[Gross Sales]]+tblData[[#This Row],[Trade Discounts]]+tblData[[#This Row],[Returns]]</f>
        <v>1260</v>
      </c>
      <c r="AG1538" s="74">
        <f>tblData[[#This Row],[Material Cost]]+tblData[[#This Row],[Conversion Cost]]+tblData[[#This Row],[Inbound Freight]]</f>
        <v>-612</v>
      </c>
      <c r="AH1538" s="74">
        <f>tblData[[#This Row],[Net Revenue]]+tblData[[#This Row],[COGS]]</f>
        <v>648</v>
      </c>
      <c r="AI1538" s="74">
        <f>tblData[[#This Row],[Advertising]]+tblData[[#This Row],[Promotions]]</f>
        <v>-97</v>
      </c>
      <c r="AJ1538" s="74">
        <f>tblData[[#This Row],[Outbound Logistics]]+tblData[[#This Row],[Direct Selling]]</f>
        <v>-93</v>
      </c>
      <c r="AK1538" s="74">
        <f>tblData[[#This Row],[Gross Profit]]+tblData[[#This Row],[AP Spend]]+tblData[[#This Row],[Cost to Serve]]</f>
        <v>458</v>
      </c>
    </row>
    <row r="1539" spans="2:37" x14ac:dyDescent="0.25">
      <c r="B1539" s="71" t="s">
        <v>36</v>
      </c>
      <c r="C1539" s="71">
        <v>2026</v>
      </c>
      <c r="D1539" s="71">
        <v>5</v>
      </c>
      <c r="E1539" s="71" t="s">
        <v>45</v>
      </c>
      <c r="F1539" s="71" t="s">
        <v>40</v>
      </c>
      <c r="G1539" s="72">
        <v>174.7</v>
      </c>
      <c r="H1539" s="73">
        <v>1213</v>
      </c>
      <c r="I1539" s="73">
        <v>-281</v>
      </c>
      <c r="J1539" s="73">
        <v>-12</v>
      </c>
      <c r="K1539" s="73">
        <v>-355</v>
      </c>
      <c r="L1539" s="73">
        <v>-87</v>
      </c>
      <c r="M1539" s="73">
        <v>-54</v>
      </c>
      <c r="N1539" s="73">
        <v>-31</v>
      </c>
      <c r="O1539" s="73">
        <v>-18</v>
      </c>
      <c r="P1539" s="73">
        <v>-44</v>
      </c>
      <c r="Q1539" s="73">
        <v>-24</v>
      </c>
      <c r="R1539" s="73">
        <v>0</v>
      </c>
      <c r="S1539" s="73">
        <v>0</v>
      </c>
      <c r="T1539" s="73">
        <v>0</v>
      </c>
      <c r="U1539" s="73">
        <v>0</v>
      </c>
      <c r="V1539" s="73">
        <v>0</v>
      </c>
      <c r="W1539" s="73">
        <v>0</v>
      </c>
      <c r="X1539" s="73">
        <v>0</v>
      </c>
      <c r="Y1539" s="73">
        <v>0</v>
      </c>
      <c r="Z1539" s="73">
        <v>1424</v>
      </c>
      <c r="AA1539" s="73">
        <v>1297</v>
      </c>
      <c r="AB1539" s="73">
        <v>0</v>
      </c>
      <c r="AC1539" s="73">
        <v>0</v>
      </c>
      <c r="AD1539" s="73">
        <v>0</v>
      </c>
      <c r="AE1539" s="73">
        <v>0</v>
      </c>
      <c r="AF1539" s="74">
        <f>tblData[[#This Row],[Gross Sales]]+tblData[[#This Row],[Trade Discounts]]+tblData[[#This Row],[Returns]]</f>
        <v>920</v>
      </c>
      <c r="AG1539" s="74">
        <f>tblData[[#This Row],[Material Cost]]+tblData[[#This Row],[Conversion Cost]]+tblData[[#This Row],[Inbound Freight]]</f>
        <v>-496</v>
      </c>
      <c r="AH1539" s="74">
        <f>tblData[[#This Row],[Net Revenue]]+tblData[[#This Row],[COGS]]</f>
        <v>424</v>
      </c>
      <c r="AI1539" s="74">
        <f>tblData[[#This Row],[Advertising]]+tblData[[#This Row],[Promotions]]</f>
        <v>-49</v>
      </c>
      <c r="AJ1539" s="74">
        <f>tblData[[#This Row],[Outbound Logistics]]+tblData[[#This Row],[Direct Selling]]</f>
        <v>-68</v>
      </c>
      <c r="AK1539" s="74">
        <f>tblData[[#This Row],[Gross Profit]]+tblData[[#This Row],[AP Spend]]+tblData[[#This Row],[Cost to Serve]]</f>
        <v>307</v>
      </c>
    </row>
    <row r="1540" spans="2:37" x14ac:dyDescent="0.25">
      <c r="B1540" s="71" t="s">
        <v>36</v>
      </c>
      <c r="C1540" s="71">
        <v>2026</v>
      </c>
      <c r="D1540" s="71">
        <v>5</v>
      </c>
      <c r="E1540" s="71" t="s">
        <v>45</v>
      </c>
      <c r="F1540" s="71" t="s">
        <v>41</v>
      </c>
      <c r="G1540" s="72">
        <v>87.6</v>
      </c>
      <c r="H1540" s="73">
        <v>958</v>
      </c>
      <c r="I1540" s="73">
        <v>-222</v>
      </c>
      <c r="J1540" s="73">
        <v>-10</v>
      </c>
      <c r="K1540" s="73">
        <v>-231</v>
      </c>
      <c r="L1540" s="73">
        <v>-57</v>
      </c>
      <c r="M1540" s="73">
        <v>-35</v>
      </c>
      <c r="N1540" s="73">
        <v>-66</v>
      </c>
      <c r="O1540" s="73">
        <v>-39</v>
      </c>
      <c r="P1540" s="73">
        <v>-35</v>
      </c>
      <c r="Q1540" s="73">
        <v>-19</v>
      </c>
      <c r="R1540" s="73">
        <v>0</v>
      </c>
      <c r="S1540" s="73">
        <v>0</v>
      </c>
      <c r="T1540" s="73">
        <v>0</v>
      </c>
      <c r="U1540" s="73">
        <v>0</v>
      </c>
      <c r="V1540" s="73">
        <v>0</v>
      </c>
      <c r="W1540" s="73">
        <v>0</v>
      </c>
      <c r="X1540" s="73">
        <v>0</v>
      </c>
      <c r="Y1540" s="73">
        <v>0</v>
      </c>
      <c r="Z1540" s="73">
        <v>1111</v>
      </c>
      <c r="AA1540" s="73">
        <v>990</v>
      </c>
      <c r="AB1540" s="73">
        <v>0</v>
      </c>
      <c r="AC1540" s="73">
        <v>0</v>
      </c>
      <c r="AD1540" s="73">
        <v>0</v>
      </c>
      <c r="AE1540" s="73">
        <v>0</v>
      </c>
      <c r="AF1540" s="74">
        <f>tblData[[#This Row],[Gross Sales]]+tblData[[#This Row],[Trade Discounts]]+tblData[[#This Row],[Returns]]</f>
        <v>726</v>
      </c>
      <c r="AG1540" s="74">
        <f>tblData[[#This Row],[Material Cost]]+tblData[[#This Row],[Conversion Cost]]+tblData[[#This Row],[Inbound Freight]]</f>
        <v>-323</v>
      </c>
      <c r="AH1540" s="74">
        <f>tblData[[#This Row],[Net Revenue]]+tblData[[#This Row],[COGS]]</f>
        <v>403</v>
      </c>
      <c r="AI1540" s="74">
        <f>tblData[[#This Row],[Advertising]]+tblData[[#This Row],[Promotions]]</f>
        <v>-105</v>
      </c>
      <c r="AJ1540" s="74">
        <f>tblData[[#This Row],[Outbound Logistics]]+tblData[[#This Row],[Direct Selling]]</f>
        <v>-54</v>
      </c>
      <c r="AK1540" s="74">
        <f>tblData[[#This Row],[Gross Profit]]+tblData[[#This Row],[AP Spend]]+tblData[[#This Row],[Cost to Serve]]</f>
        <v>244</v>
      </c>
    </row>
    <row r="1541" spans="2:37" x14ac:dyDescent="0.25">
      <c r="B1541" s="71" t="s">
        <v>36</v>
      </c>
      <c r="C1541" s="71">
        <v>2026</v>
      </c>
      <c r="D1541" s="71">
        <v>5</v>
      </c>
      <c r="E1541" s="71" t="s">
        <v>45</v>
      </c>
      <c r="F1541" s="71" t="s">
        <v>42</v>
      </c>
      <c r="G1541" s="72">
        <v>105.1</v>
      </c>
      <c r="H1541" s="73">
        <v>623</v>
      </c>
      <c r="I1541" s="73">
        <v>-145</v>
      </c>
      <c r="J1541" s="73">
        <v>-6</v>
      </c>
      <c r="K1541" s="73">
        <v>-200</v>
      </c>
      <c r="L1541" s="73">
        <v>-49</v>
      </c>
      <c r="M1541" s="73">
        <v>-31</v>
      </c>
      <c r="N1541" s="73">
        <v>-13</v>
      </c>
      <c r="O1541" s="73">
        <v>-8</v>
      </c>
      <c r="P1541" s="73">
        <v>-22</v>
      </c>
      <c r="Q1541" s="73">
        <v>-12</v>
      </c>
      <c r="R1541" s="73">
        <v>0</v>
      </c>
      <c r="S1541" s="73">
        <v>0</v>
      </c>
      <c r="T1541" s="73">
        <v>0</v>
      </c>
      <c r="U1541" s="73">
        <v>0</v>
      </c>
      <c r="V1541" s="73">
        <v>0</v>
      </c>
      <c r="W1541" s="73">
        <v>0</v>
      </c>
      <c r="X1541" s="73">
        <v>0</v>
      </c>
      <c r="Y1541" s="73">
        <v>0</v>
      </c>
      <c r="Z1541" s="73">
        <v>733</v>
      </c>
      <c r="AA1541" s="73">
        <v>1133</v>
      </c>
      <c r="AB1541" s="73">
        <v>0</v>
      </c>
      <c r="AC1541" s="73">
        <v>0</v>
      </c>
      <c r="AD1541" s="73">
        <v>0</v>
      </c>
      <c r="AE1541" s="73">
        <v>0</v>
      </c>
      <c r="AF1541" s="74">
        <f>tblData[[#This Row],[Gross Sales]]+tblData[[#This Row],[Trade Discounts]]+tblData[[#This Row],[Returns]]</f>
        <v>472</v>
      </c>
      <c r="AG1541" s="74">
        <f>tblData[[#This Row],[Material Cost]]+tblData[[#This Row],[Conversion Cost]]+tblData[[#This Row],[Inbound Freight]]</f>
        <v>-280</v>
      </c>
      <c r="AH1541" s="74">
        <f>tblData[[#This Row],[Net Revenue]]+tblData[[#This Row],[COGS]]</f>
        <v>192</v>
      </c>
      <c r="AI1541" s="74">
        <f>tblData[[#This Row],[Advertising]]+tblData[[#This Row],[Promotions]]</f>
        <v>-21</v>
      </c>
      <c r="AJ1541" s="74">
        <f>tblData[[#This Row],[Outbound Logistics]]+tblData[[#This Row],[Direct Selling]]</f>
        <v>-34</v>
      </c>
      <c r="AK1541" s="74">
        <f>tblData[[#This Row],[Gross Profit]]+tblData[[#This Row],[AP Spend]]+tblData[[#This Row],[Cost to Serve]]</f>
        <v>137</v>
      </c>
    </row>
    <row r="1542" spans="2:37" x14ac:dyDescent="0.25">
      <c r="B1542" s="71" t="s">
        <v>36</v>
      </c>
      <c r="C1542" s="71">
        <v>2026</v>
      </c>
      <c r="D1542" s="71">
        <v>5</v>
      </c>
      <c r="E1542" s="71" t="s">
        <v>45</v>
      </c>
      <c r="F1542" s="71" t="s">
        <v>43</v>
      </c>
      <c r="G1542" s="72">
        <v>20.100000000000001</v>
      </c>
      <c r="H1542" s="73">
        <v>358</v>
      </c>
      <c r="I1542" s="73">
        <v>-83</v>
      </c>
      <c r="J1542" s="73">
        <v>-4</v>
      </c>
      <c r="K1542" s="73">
        <v>-100</v>
      </c>
      <c r="L1542" s="73">
        <v>-25</v>
      </c>
      <c r="M1542" s="73">
        <v>-15</v>
      </c>
      <c r="N1542" s="73">
        <v>-36</v>
      </c>
      <c r="O1542" s="73">
        <v>-21</v>
      </c>
      <c r="P1542" s="73">
        <v>-13</v>
      </c>
      <c r="Q1542" s="73">
        <v>-7</v>
      </c>
      <c r="R1542" s="73">
        <v>0</v>
      </c>
      <c r="S1542" s="73">
        <v>0</v>
      </c>
      <c r="T1542" s="73">
        <v>0</v>
      </c>
      <c r="U1542" s="73">
        <v>0</v>
      </c>
      <c r="V1542" s="73">
        <v>0</v>
      </c>
      <c r="W1542" s="73">
        <v>0</v>
      </c>
      <c r="X1542" s="73">
        <v>0</v>
      </c>
      <c r="Y1542" s="73">
        <v>0</v>
      </c>
      <c r="Z1542" s="73">
        <v>420</v>
      </c>
      <c r="AA1542" s="73">
        <v>565</v>
      </c>
      <c r="AB1542" s="73">
        <v>0</v>
      </c>
      <c r="AC1542" s="73">
        <v>0</v>
      </c>
      <c r="AD1542" s="73">
        <v>0</v>
      </c>
      <c r="AE1542" s="73">
        <v>0</v>
      </c>
      <c r="AF1542" s="74">
        <f>tblData[[#This Row],[Gross Sales]]+tblData[[#This Row],[Trade Discounts]]+tblData[[#This Row],[Returns]]</f>
        <v>271</v>
      </c>
      <c r="AG1542" s="74">
        <f>tblData[[#This Row],[Material Cost]]+tblData[[#This Row],[Conversion Cost]]+tblData[[#This Row],[Inbound Freight]]</f>
        <v>-140</v>
      </c>
      <c r="AH1542" s="74">
        <f>tblData[[#This Row],[Net Revenue]]+tblData[[#This Row],[COGS]]</f>
        <v>131</v>
      </c>
      <c r="AI1542" s="74">
        <f>tblData[[#This Row],[Advertising]]+tblData[[#This Row],[Promotions]]</f>
        <v>-57</v>
      </c>
      <c r="AJ1542" s="74">
        <f>tblData[[#This Row],[Outbound Logistics]]+tblData[[#This Row],[Direct Selling]]</f>
        <v>-20</v>
      </c>
      <c r="AK1542" s="74">
        <f>tblData[[#This Row],[Gross Profit]]+tblData[[#This Row],[AP Spend]]+tblData[[#This Row],[Cost to Serve]]</f>
        <v>54</v>
      </c>
    </row>
    <row r="1543" spans="2:37" x14ac:dyDescent="0.25">
      <c r="B1543" s="71" t="s">
        <v>36</v>
      </c>
      <c r="C1543" s="71">
        <v>2026</v>
      </c>
      <c r="D1543" s="71">
        <v>5</v>
      </c>
      <c r="E1543" s="71" t="s">
        <v>46</v>
      </c>
      <c r="F1543" s="71" t="s">
        <v>38</v>
      </c>
      <c r="G1543" s="72">
        <v>181.3</v>
      </c>
      <c r="H1543" s="73">
        <v>2559</v>
      </c>
      <c r="I1543" s="73">
        <v>-276</v>
      </c>
      <c r="J1543" s="73">
        <v>-102</v>
      </c>
      <c r="K1543" s="73">
        <v>-561</v>
      </c>
      <c r="L1543" s="73">
        <v>-138</v>
      </c>
      <c r="M1543" s="73">
        <v>-86</v>
      </c>
      <c r="N1543" s="73">
        <v>-123</v>
      </c>
      <c r="O1543" s="73">
        <v>-73</v>
      </c>
      <c r="P1543" s="73">
        <v>-198</v>
      </c>
      <c r="Q1543" s="73">
        <v>-51</v>
      </c>
      <c r="R1543" s="73">
        <v>0</v>
      </c>
      <c r="S1543" s="73">
        <v>0</v>
      </c>
      <c r="T1543" s="73">
        <v>0</v>
      </c>
      <c r="U1543" s="73">
        <v>0</v>
      </c>
      <c r="V1543" s="73">
        <v>0</v>
      </c>
      <c r="W1543" s="73">
        <v>0</v>
      </c>
      <c r="X1543" s="73">
        <v>0</v>
      </c>
      <c r="Y1543" s="73">
        <v>0</v>
      </c>
      <c r="Z1543" s="73">
        <v>1959</v>
      </c>
      <c r="AA1543" s="73">
        <v>2546</v>
      </c>
      <c r="AB1543" s="73">
        <v>0</v>
      </c>
      <c r="AC1543" s="73">
        <v>0</v>
      </c>
      <c r="AD1543" s="73">
        <v>0</v>
      </c>
      <c r="AE1543" s="73">
        <v>0</v>
      </c>
      <c r="AF1543" s="74">
        <f>tblData[[#This Row],[Gross Sales]]+tblData[[#This Row],[Trade Discounts]]+tblData[[#This Row],[Returns]]</f>
        <v>2181</v>
      </c>
      <c r="AG1543" s="74">
        <f>tblData[[#This Row],[Material Cost]]+tblData[[#This Row],[Conversion Cost]]+tblData[[#This Row],[Inbound Freight]]</f>
        <v>-785</v>
      </c>
      <c r="AH1543" s="74">
        <f>tblData[[#This Row],[Net Revenue]]+tblData[[#This Row],[COGS]]</f>
        <v>1396</v>
      </c>
      <c r="AI1543" s="74">
        <f>tblData[[#This Row],[Advertising]]+tblData[[#This Row],[Promotions]]</f>
        <v>-196</v>
      </c>
      <c r="AJ1543" s="74">
        <f>tblData[[#This Row],[Outbound Logistics]]+tblData[[#This Row],[Direct Selling]]</f>
        <v>-249</v>
      </c>
      <c r="AK1543" s="74">
        <f>tblData[[#This Row],[Gross Profit]]+tblData[[#This Row],[AP Spend]]+tblData[[#This Row],[Cost to Serve]]</f>
        <v>951</v>
      </c>
    </row>
    <row r="1544" spans="2:37" x14ac:dyDescent="0.25">
      <c r="B1544" s="71" t="s">
        <v>36</v>
      </c>
      <c r="C1544" s="71">
        <v>2026</v>
      </c>
      <c r="D1544" s="71">
        <v>5</v>
      </c>
      <c r="E1544" s="71" t="s">
        <v>46</v>
      </c>
      <c r="F1544" s="71" t="s">
        <v>39</v>
      </c>
      <c r="G1544" s="72">
        <v>235.5</v>
      </c>
      <c r="H1544" s="73">
        <v>2128</v>
      </c>
      <c r="I1544" s="73">
        <v>-230</v>
      </c>
      <c r="J1544" s="73">
        <v>-85</v>
      </c>
      <c r="K1544" s="73">
        <v>-560</v>
      </c>
      <c r="L1544" s="73">
        <v>-138</v>
      </c>
      <c r="M1544" s="73">
        <v>-86</v>
      </c>
      <c r="N1544" s="73">
        <v>-70</v>
      </c>
      <c r="O1544" s="73">
        <v>-41</v>
      </c>
      <c r="P1544" s="73">
        <v>-164</v>
      </c>
      <c r="Q1544" s="73">
        <v>-43</v>
      </c>
      <c r="R1544" s="73">
        <v>0</v>
      </c>
      <c r="S1544" s="73">
        <v>0</v>
      </c>
      <c r="T1544" s="73">
        <v>0</v>
      </c>
      <c r="U1544" s="73">
        <v>0</v>
      </c>
      <c r="V1544" s="73">
        <v>0</v>
      </c>
      <c r="W1544" s="73">
        <v>0</v>
      </c>
      <c r="X1544" s="73">
        <v>0</v>
      </c>
      <c r="Y1544" s="73">
        <v>0</v>
      </c>
      <c r="Z1544" s="73">
        <v>1632</v>
      </c>
      <c r="AA1544" s="73">
        <v>2166</v>
      </c>
      <c r="AB1544" s="73">
        <v>0</v>
      </c>
      <c r="AC1544" s="73">
        <v>0</v>
      </c>
      <c r="AD1544" s="73">
        <v>0</v>
      </c>
      <c r="AE1544" s="73">
        <v>0</v>
      </c>
      <c r="AF1544" s="74">
        <f>tblData[[#This Row],[Gross Sales]]+tblData[[#This Row],[Trade Discounts]]+tblData[[#This Row],[Returns]]</f>
        <v>1813</v>
      </c>
      <c r="AG1544" s="74">
        <f>tblData[[#This Row],[Material Cost]]+tblData[[#This Row],[Conversion Cost]]+tblData[[#This Row],[Inbound Freight]]</f>
        <v>-784</v>
      </c>
      <c r="AH1544" s="74">
        <f>tblData[[#This Row],[Net Revenue]]+tblData[[#This Row],[COGS]]</f>
        <v>1029</v>
      </c>
      <c r="AI1544" s="74">
        <f>tblData[[#This Row],[Advertising]]+tblData[[#This Row],[Promotions]]</f>
        <v>-111</v>
      </c>
      <c r="AJ1544" s="74">
        <f>tblData[[#This Row],[Outbound Logistics]]+tblData[[#This Row],[Direct Selling]]</f>
        <v>-207</v>
      </c>
      <c r="AK1544" s="74">
        <f>tblData[[#This Row],[Gross Profit]]+tblData[[#This Row],[AP Spend]]+tblData[[#This Row],[Cost to Serve]]</f>
        <v>711</v>
      </c>
    </row>
    <row r="1545" spans="2:37" x14ac:dyDescent="0.25">
      <c r="B1545" s="71" t="s">
        <v>36</v>
      </c>
      <c r="C1545" s="71">
        <v>2026</v>
      </c>
      <c r="D1545" s="71">
        <v>5</v>
      </c>
      <c r="E1545" s="71" t="s">
        <v>46</v>
      </c>
      <c r="F1545" s="71" t="s">
        <v>40</v>
      </c>
      <c r="G1545" s="72">
        <v>215.2</v>
      </c>
      <c r="H1545" s="73">
        <v>1510</v>
      </c>
      <c r="I1545" s="73">
        <v>-163</v>
      </c>
      <c r="J1545" s="73">
        <v>-60</v>
      </c>
      <c r="K1545" s="73">
        <v>-441</v>
      </c>
      <c r="L1545" s="73">
        <v>-109</v>
      </c>
      <c r="M1545" s="73">
        <v>-68</v>
      </c>
      <c r="N1545" s="73">
        <v>-35</v>
      </c>
      <c r="O1545" s="73">
        <v>-21</v>
      </c>
      <c r="P1545" s="73">
        <v>-117</v>
      </c>
      <c r="Q1545" s="73">
        <v>-30</v>
      </c>
      <c r="R1545" s="73">
        <v>0</v>
      </c>
      <c r="S1545" s="73">
        <v>0</v>
      </c>
      <c r="T1545" s="73">
        <v>0</v>
      </c>
      <c r="U1545" s="73">
        <v>0</v>
      </c>
      <c r="V1545" s="73">
        <v>0</v>
      </c>
      <c r="W1545" s="73">
        <v>0</v>
      </c>
      <c r="X1545" s="73">
        <v>0</v>
      </c>
      <c r="Y1545" s="73">
        <v>0</v>
      </c>
      <c r="Z1545" s="73">
        <v>1177</v>
      </c>
      <c r="AA1545" s="73">
        <v>1635</v>
      </c>
      <c r="AB1545" s="73">
        <v>0</v>
      </c>
      <c r="AC1545" s="73">
        <v>0</v>
      </c>
      <c r="AD1545" s="73">
        <v>0</v>
      </c>
      <c r="AE1545" s="73">
        <v>0</v>
      </c>
      <c r="AF1545" s="74">
        <f>tblData[[#This Row],[Gross Sales]]+tblData[[#This Row],[Trade Discounts]]+tblData[[#This Row],[Returns]]</f>
        <v>1287</v>
      </c>
      <c r="AG1545" s="74">
        <f>tblData[[#This Row],[Material Cost]]+tblData[[#This Row],[Conversion Cost]]+tblData[[#This Row],[Inbound Freight]]</f>
        <v>-618</v>
      </c>
      <c r="AH1545" s="74">
        <f>tblData[[#This Row],[Net Revenue]]+tblData[[#This Row],[COGS]]</f>
        <v>669</v>
      </c>
      <c r="AI1545" s="74">
        <f>tblData[[#This Row],[Advertising]]+tblData[[#This Row],[Promotions]]</f>
        <v>-56</v>
      </c>
      <c r="AJ1545" s="74">
        <f>tblData[[#This Row],[Outbound Logistics]]+tblData[[#This Row],[Direct Selling]]</f>
        <v>-147</v>
      </c>
      <c r="AK1545" s="74">
        <f>tblData[[#This Row],[Gross Profit]]+tblData[[#This Row],[AP Spend]]+tblData[[#This Row],[Cost to Serve]]</f>
        <v>466</v>
      </c>
    </row>
    <row r="1546" spans="2:37" x14ac:dyDescent="0.25">
      <c r="B1546" s="71" t="s">
        <v>36</v>
      </c>
      <c r="C1546" s="71">
        <v>2026</v>
      </c>
      <c r="D1546" s="71">
        <v>5</v>
      </c>
      <c r="E1546" s="71" t="s">
        <v>46</v>
      </c>
      <c r="F1546" s="71" t="s">
        <v>41</v>
      </c>
      <c r="G1546" s="72">
        <v>113.6</v>
      </c>
      <c r="H1546" s="73">
        <v>1256</v>
      </c>
      <c r="I1546" s="73">
        <v>-136</v>
      </c>
      <c r="J1546" s="73">
        <v>-50</v>
      </c>
      <c r="K1546" s="73">
        <v>-303</v>
      </c>
      <c r="L1546" s="73">
        <v>-75</v>
      </c>
      <c r="M1546" s="73">
        <v>-46</v>
      </c>
      <c r="N1546" s="73">
        <v>-75</v>
      </c>
      <c r="O1546" s="73">
        <v>-44</v>
      </c>
      <c r="P1546" s="73">
        <v>-97</v>
      </c>
      <c r="Q1546" s="73">
        <v>-25</v>
      </c>
      <c r="R1546" s="73">
        <v>0</v>
      </c>
      <c r="S1546" s="73">
        <v>0</v>
      </c>
      <c r="T1546" s="73">
        <v>0</v>
      </c>
      <c r="U1546" s="73">
        <v>0</v>
      </c>
      <c r="V1546" s="73">
        <v>0</v>
      </c>
      <c r="W1546" s="73">
        <v>0</v>
      </c>
      <c r="X1546" s="73">
        <v>0</v>
      </c>
      <c r="Y1546" s="73">
        <v>0</v>
      </c>
      <c r="Z1546" s="73">
        <v>946</v>
      </c>
      <c r="AA1546" s="73">
        <v>1285</v>
      </c>
      <c r="AB1546" s="73">
        <v>0</v>
      </c>
      <c r="AC1546" s="73">
        <v>0</v>
      </c>
      <c r="AD1546" s="73">
        <v>0</v>
      </c>
      <c r="AE1546" s="73">
        <v>0</v>
      </c>
      <c r="AF1546" s="74">
        <f>tblData[[#This Row],[Gross Sales]]+tblData[[#This Row],[Trade Discounts]]+tblData[[#This Row],[Returns]]</f>
        <v>1070</v>
      </c>
      <c r="AG1546" s="74">
        <f>tblData[[#This Row],[Material Cost]]+tblData[[#This Row],[Conversion Cost]]+tblData[[#This Row],[Inbound Freight]]</f>
        <v>-424</v>
      </c>
      <c r="AH1546" s="74">
        <f>tblData[[#This Row],[Net Revenue]]+tblData[[#This Row],[COGS]]</f>
        <v>646</v>
      </c>
      <c r="AI1546" s="74">
        <f>tblData[[#This Row],[Advertising]]+tblData[[#This Row],[Promotions]]</f>
        <v>-119</v>
      </c>
      <c r="AJ1546" s="74">
        <f>tblData[[#This Row],[Outbound Logistics]]+tblData[[#This Row],[Direct Selling]]</f>
        <v>-122</v>
      </c>
      <c r="AK1546" s="74">
        <f>tblData[[#This Row],[Gross Profit]]+tblData[[#This Row],[AP Spend]]+tblData[[#This Row],[Cost to Serve]]</f>
        <v>405</v>
      </c>
    </row>
    <row r="1547" spans="2:37" x14ac:dyDescent="0.25">
      <c r="B1547" s="71" t="s">
        <v>36</v>
      </c>
      <c r="C1547" s="71">
        <v>2026</v>
      </c>
      <c r="D1547" s="71">
        <v>5</v>
      </c>
      <c r="E1547" s="71" t="s">
        <v>46</v>
      </c>
      <c r="F1547" s="71" t="s">
        <v>42</v>
      </c>
      <c r="G1547" s="72">
        <v>137.69999999999999</v>
      </c>
      <c r="H1547" s="73">
        <v>824</v>
      </c>
      <c r="I1547" s="73">
        <v>-89</v>
      </c>
      <c r="J1547" s="73">
        <v>-33</v>
      </c>
      <c r="K1547" s="73">
        <v>-265</v>
      </c>
      <c r="L1547" s="73">
        <v>-65</v>
      </c>
      <c r="M1547" s="73">
        <v>-41</v>
      </c>
      <c r="N1547" s="73">
        <v>-15</v>
      </c>
      <c r="O1547" s="73">
        <v>-9</v>
      </c>
      <c r="P1547" s="73">
        <v>-64</v>
      </c>
      <c r="Q1547" s="73">
        <v>-16</v>
      </c>
      <c r="R1547" s="73">
        <v>0</v>
      </c>
      <c r="S1547" s="73">
        <v>0</v>
      </c>
      <c r="T1547" s="73">
        <v>0</v>
      </c>
      <c r="U1547" s="73">
        <v>0</v>
      </c>
      <c r="V1547" s="73">
        <v>0</v>
      </c>
      <c r="W1547" s="73">
        <v>0</v>
      </c>
      <c r="X1547" s="73">
        <v>0</v>
      </c>
      <c r="Y1547" s="73">
        <v>0</v>
      </c>
      <c r="Z1547" s="73">
        <v>613</v>
      </c>
      <c r="AA1547" s="73">
        <v>1445</v>
      </c>
      <c r="AB1547" s="73">
        <v>0</v>
      </c>
      <c r="AC1547" s="73">
        <v>0</v>
      </c>
      <c r="AD1547" s="73">
        <v>0</v>
      </c>
      <c r="AE1547" s="73">
        <v>0</v>
      </c>
      <c r="AF1547" s="74">
        <f>tblData[[#This Row],[Gross Sales]]+tblData[[#This Row],[Trade Discounts]]+tblData[[#This Row],[Returns]]</f>
        <v>702</v>
      </c>
      <c r="AG1547" s="74">
        <f>tblData[[#This Row],[Material Cost]]+tblData[[#This Row],[Conversion Cost]]+tblData[[#This Row],[Inbound Freight]]</f>
        <v>-371</v>
      </c>
      <c r="AH1547" s="74">
        <f>tblData[[#This Row],[Net Revenue]]+tblData[[#This Row],[COGS]]</f>
        <v>331</v>
      </c>
      <c r="AI1547" s="74">
        <f>tblData[[#This Row],[Advertising]]+tblData[[#This Row],[Promotions]]</f>
        <v>-24</v>
      </c>
      <c r="AJ1547" s="74">
        <f>tblData[[#This Row],[Outbound Logistics]]+tblData[[#This Row],[Direct Selling]]</f>
        <v>-80</v>
      </c>
      <c r="AK1547" s="74">
        <f>tblData[[#This Row],[Gross Profit]]+tblData[[#This Row],[AP Spend]]+tblData[[#This Row],[Cost to Serve]]</f>
        <v>227</v>
      </c>
    </row>
    <row r="1548" spans="2:37" x14ac:dyDescent="0.25">
      <c r="B1548" s="71" t="s">
        <v>36</v>
      </c>
      <c r="C1548" s="71">
        <v>2026</v>
      </c>
      <c r="D1548" s="71">
        <v>5</v>
      </c>
      <c r="E1548" s="71" t="s">
        <v>46</v>
      </c>
      <c r="F1548" s="71" t="s">
        <v>43</v>
      </c>
      <c r="G1548" s="72">
        <v>25.9</v>
      </c>
      <c r="H1548" s="73">
        <v>468</v>
      </c>
      <c r="I1548" s="73">
        <v>-50</v>
      </c>
      <c r="J1548" s="73">
        <v>-19</v>
      </c>
      <c r="K1548" s="73">
        <v>-130</v>
      </c>
      <c r="L1548" s="73">
        <v>-32</v>
      </c>
      <c r="M1548" s="73">
        <v>-20</v>
      </c>
      <c r="N1548" s="73">
        <v>-41</v>
      </c>
      <c r="O1548" s="73">
        <v>-24</v>
      </c>
      <c r="P1548" s="73">
        <v>-36</v>
      </c>
      <c r="Q1548" s="73">
        <v>-9</v>
      </c>
      <c r="R1548" s="73">
        <v>0</v>
      </c>
      <c r="S1548" s="73">
        <v>0</v>
      </c>
      <c r="T1548" s="73">
        <v>0</v>
      </c>
      <c r="U1548" s="73">
        <v>0</v>
      </c>
      <c r="V1548" s="73">
        <v>0</v>
      </c>
      <c r="W1548" s="73">
        <v>0</v>
      </c>
      <c r="X1548" s="73">
        <v>0</v>
      </c>
      <c r="Y1548" s="73">
        <v>0</v>
      </c>
      <c r="Z1548" s="73">
        <v>351</v>
      </c>
      <c r="AA1548" s="73">
        <v>721</v>
      </c>
      <c r="AB1548" s="73">
        <v>0</v>
      </c>
      <c r="AC1548" s="73">
        <v>0</v>
      </c>
      <c r="AD1548" s="73">
        <v>0</v>
      </c>
      <c r="AE1548" s="73">
        <v>0</v>
      </c>
      <c r="AF1548" s="74">
        <f>tblData[[#This Row],[Gross Sales]]+tblData[[#This Row],[Trade Discounts]]+tblData[[#This Row],[Returns]]</f>
        <v>399</v>
      </c>
      <c r="AG1548" s="74">
        <f>tblData[[#This Row],[Material Cost]]+tblData[[#This Row],[Conversion Cost]]+tblData[[#This Row],[Inbound Freight]]</f>
        <v>-182</v>
      </c>
      <c r="AH1548" s="74">
        <f>tblData[[#This Row],[Net Revenue]]+tblData[[#This Row],[COGS]]</f>
        <v>217</v>
      </c>
      <c r="AI1548" s="74">
        <f>tblData[[#This Row],[Advertising]]+tblData[[#This Row],[Promotions]]</f>
        <v>-65</v>
      </c>
      <c r="AJ1548" s="74">
        <f>tblData[[#This Row],[Outbound Logistics]]+tblData[[#This Row],[Direct Selling]]</f>
        <v>-45</v>
      </c>
      <c r="AK1548" s="74">
        <f>tblData[[#This Row],[Gross Profit]]+tblData[[#This Row],[AP Spend]]+tblData[[#This Row],[Cost to Serve]]</f>
        <v>107</v>
      </c>
    </row>
    <row r="1549" spans="2:37" x14ac:dyDescent="0.25">
      <c r="B1549" s="71" t="s">
        <v>36</v>
      </c>
      <c r="C1549" s="71">
        <v>2026</v>
      </c>
      <c r="D1549" s="71">
        <v>5</v>
      </c>
      <c r="E1549" s="71" t="s">
        <v>47</v>
      </c>
      <c r="F1549" s="71" t="s">
        <v>38</v>
      </c>
      <c r="G1549" s="72">
        <v>64.3</v>
      </c>
      <c r="H1549" s="73">
        <v>912</v>
      </c>
      <c r="I1549" s="73">
        <v>-27</v>
      </c>
      <c r="J1549" s="73">
        <v>-46</v>
      </c>
      <c r="K1549" s="73">
        <v>-200</v>
      </c>
      <c r="L1549" s="73">
        <v>-49</v>
      </c>
      <c r="M1549" s="73">
        <v>-31</v>
      </c>
      <c r="N1549" s="73">
        <v>-46</v>
      </c>
      <c r="O1549" s="73">
        <v>-27</v>
      </c>
      <c r="P1549" s="73">
        <v>-113</v>
      </c>
      <c r="Q1549" s="73">
        <v>-36</v>
      </c>
      <c r="R1549" s="73">
        <v>0</v>
      </c>
      <c r="S1549" s="73">
        <v>0</v>
      </c>
      <c r="T1549" s="73">
        <v>0</v>
      </c>
      <c r="U1549" s="73">
        <v>0</v>
      </c>
      <c r="V1549" s="73">
        <v>0</v>
      </c>
      <c r="W1549" s="73">
        <v>0</v>
      </c>
      <c r="X1549" s="73">
        <v>0</v>
      </c>
      <c r="Y1549" s="73">
        <v>0</v>
      </c>
      <c r="Z1549" s="73">
        <v>165</v>
      </c>
      <c r="AA1549" s="73">
        <v>928</v>
      </c>
      <c r="AB1549" s="73">
        <v>0</v>
      </c>
      <c r="AC1549" s="73">
        <v>0</v>
      </c>
      <c r="AD1549" s="73">
        <v>0</v>
      </c>
      <c r="AE1549" s="73">
        <v>0</v>
      </c>
      <c r="AF1549" s="74">
        <f>tblData[[#This Row],[Gross Sales]]+tblData[[#This Row],[Trade Discounts]]+tblData[[#This Row],[Returns]]</f>
        <v>839</v>
      </c>
      <c r="AG1549" s="74">
        <f>tblData[[#This Row],[Material Cost]]+tblData[[#This Row],[Conversion Cost]]+tblData[[#This Row],[Inbound Freight]]</f>
        <v>-280</v>
      </c>
      <c r="AH1549" s="74">
        <f>tblData[[#This Row],[Net Revenue]]+tblData[[#This Row],[COGS]]</f>
        <v>559</v>
      </c>
      <c r="AI1549" s="74">
        <f>tblData[[#This Row],[Advertising]]+tblData[[#This Row],[Promotions]]</f>
        <v>-73</v>
      </c>
      <c r="AJ1549" s="74">
        <f>tblData[[#This Row],[Outbound Logistics]]+tblData[[#This Row],[Direct Selling]]</f>
        <v>-149</v>
      </c>
      <c r="AK1549" s="74">
        <f>tblData[[#This Row],[Gross Profit]]+tblData[[#This Row],[AP Spend]]+tblData[[#This Row],[Cost to Serve]]</f>
        <v>337</v>
      </c>
    </row>
    <row r="1550" spans="2:37" x14ac:dyDescent="0.25">
      <c r="B1550" s="71" t="s">
        <v>36</v>
      </c>
      <c r="C1550" s="71">
        <v>2026</v>
      </c>
      <c r="D1550" s="71">
        <v>5</v>
      </c>
      <c r="E1550" s="71" t="s">
        <v>47</v>
      </c>
      <c r="F1550" s="71" t="s">
        <v>39</v>
      </c>
      <c r="G1550" s="72">
        <v>87.2</v>
      </c>
      <c r="H1550" s="73">
        <v>791</v>
      </c>
      <c r="I1550" s="73">
        <v>-24</v>
      </c>
      <c r="J1550" s="73">
        <v>-40</v>
      </c>
      <c r="K1550" s="73">
        <v>-208</v>
      </c>
      <c r="L1550" s="73">
        <v>-51</v>
      </c>
      <c r="M1550" s="73">
        <v>-32</v>
      </c>
      <c r="N1550" s="73">
        <v>-26</v>
      </c>
      <c r="O1550" s="73">
        <v>-16</v>
      </c>
      <c r="P1550" s="73">
        <v>-98</v>
      </c>
      <c r="Q1550" s="73">
        <v>-32</v>
      </c>
      <c r="R1550" s="73">
        <v>0</v>
      </c>
      <c r="S1550" s="73">
        <v>0</v>
      </c>
      <c r="T1550" s="73">
        <v>0</v>
      </c>
      <c r="U1550" s="73">
        <v>0</v>
      </c>
      <c r="V1550" s="73">
        <v>0</v>
      </c>
      <c r="W1550" s="73">
        <v>0</v>
      </c>
      <c r="X1550" s="73">
        <v>0</v>
      </c>
      <c r="Y1550" s="73">
        <v>0</v>
      </c>
      <c r="Z1550" s="73">
        <v>140</v>
      </c>
      <c r="AA1550" s="73">
        <v>801</v>
      </c>
      <c r="AB1550" s="73">
        <v>0</v>
      </c>
      <c r="AC1550" s="73">
        <v>0</v>
      </c>
      <c r="AD1550" s="73">
        <v>0</v>
      </c>
      <c r="AE1550" s="73">
        <v>0</v>
      </c>
      <c r="AF1550" s="74">
        <f>tblData[[#This Row],[Gross Sales]]+tblData[[#This Row],[Trade Discounts]]+tblData[[#This Row],[Returns]]</f>
        <v>727</v>
      </c>
      <c r="AG1550" s="74">
        <f>tblData[[#This Row],[Material Cost]]+tblData[[#This Row],[Conversion Cost]]+tblData[[#This Row],[Inbound Freight]]</f>
        <v>-291</v>
      </c>
      <c r="AH1550" s="74">
        <f>tblData[[#This Row],[Net Revenue]]+tblData[[#This Row],[COGS]]</f>
        <v>436</v>
      </c>
      <c r="AI1550" s="74">
        <f>tblData[[#This Row],[Advertising]]+tblData[[#This Row],[Promotions]]</f>
        <v>-42</v>
      </c>
      <c r="AJ1550" s="74">
        <f>tblData[[#This Row],[Outbound Logistics]]+tblData[[#This Row],[Direct Selling]]</f>
        <v>-130</v>
      </c>
      <c r="AK1550" s="74">
        <f>tblData[[#This Row],[Gross Profit]]+tblData[[#This Row],[AP Spend]]+tblData[[#This Row],[Cost to Serve]]</f>
        <v>264</v>
      </c>
    </row>
    <row r="1551" spans="2:37" x14ac:dyDescent="0.25">
      <c r="B1551" s="71" t="s">
        <v>36</v>
      </c>
      <c r="C1551" s="71">
        <v>2026</v>
      </c>
      <c r="D1551" s="71">
        <v>5</v>
      </c>
      <c r="E1551" s="71" t="s">
        <v>47</v>
      </c>
      <c r="F1551" s="71" t="s">
        <v>40</v>
      </c>
      <c r="G1551" s="72">
        <v>81.599999999999994</v>
      </c>
      <c r="H1551" s="73">
        <v>575</v>
      </c>
      <c r="I1551" s="73">
        <v>-17</v>
      </c>
      <c r="J1551" s="73">
        <v>-29</v>
      </c>
      <c r="K1551" s="73">
        <v>-168</v>
      </c>
      <c r="L1551" s="73">
        <v>-41</v>
      </c>
      <c r="M1551" s="73">
        <v>-26</v>
      </c>
      <c r="N1551" s="73">
        <v>-13</v>
      </c>
      <c r="O1551" s="73">
        <v>-8</v>
      </c>
      <c r="P1551" s="73">
        <v>-71</v>
      </c>
      <c r="Q1551" s="73">
        <v>-23</v>
      </c>
      <c r="R1551" s="73">
        <v>0</v>
      </c>
      <c r="S1551" s="73">
        <v>0</v>
      </c>
      <c r="T1551" s="73">
        <v>0</v>
      </c>
      <c r="U1551" s="73">
        <v>0</v>
      </c>
      <c r="V1551" s="73">
        <v>0</v>
      </c>
      <c r="W1551" s="73">
        <v>0</v>
      </c>
      <c r="X1551" s="73">
        <v>0</v>
      </c>
      <c r="Y1551" s="73">
        <v>0</v>
      </c>
      <c r="Z1551" s="73">
        <v>104</v>
      </c>
      <c r="AA1551" s="73">
        <v>622</v>
      </c>
      <c r="AB1551" s="73">
        <v>0</v>
      </c>
      <c r="AC1551" s="73">
        <v>0</v>
      </c>
      <c r="AD1551" s="73">
        <v>0</v>
      </c>
      <c r="AE1551" s="73">
        <v>0</v>
      </c>
      <c r="AF1551" s="74">
        <f>tblData[[#This Row],[Gross Sales]]+tblData[[#This Row],[Trade Discounts]]+tblData[[#This Row],[Returns]]</f>
        <v>529</v>
      </c>
      <c r="AG1551" s="74">
        <f>tblData[[#This Row],[Material Cost]]+tblData[[#This Row],[Conversion Cost]]+tblData[[#This Row],[Inbound Freight]]</f>
        <v>-235</v>
      </c>
      <c r="AH1551" s="74">
        <f>tblData[[#This Row],[Net Revenue]]+tblData[[#This Row],[COGS]]</f>
        <v>294</v>
      </c>
      <c r="AI1551" s="74">
        <f>tblData[[#This Row],[Advertising]]+tblData[[#This Row],[Promotions]]</f>
        <v>-21</v>
      </c>
      <c r="AJ1551" s="74">
        <f>tblData[[#This Row],[Outbound Logistics]]+tblData[[#This Row],[Direct Selling]]</f>
        <v>-94</v>
      </c>
      <c r="AK1551" s="74">
        <f>tblData[[#This Row],[Gross Profit]]+tblData[[#This Row],[AP Spend]]+tblData[[#This Row],[Cost to Serve]]</f>
        <v>179</v>
      </c>
    </row>
    <row r="1552" spans="2:37" x14ac:dyDescent="0.25">
      <c r="B1552" s="71" t="s">
        <v>36</v>
      </c>
      <c r="C1552" s="71">
        <v>2026</v>
      </c>
      <c r="D1552" s="71">
        <v>5</v>
      </c>
      <c r="E1552" s="71" t="s">
        <v>47</v>
      </c>
      <c r="F1552" s="71" t="s">
        <v>41</v>
      </c>
      <c r="G1552" s="72">
        <v>41.9</v>
      </c>
      <c r="H1552" s="73">
        <v>465</v>
      </c>
      <c r="I1552" s="73">
        <v>-14</v>
      </c>
      <c r="J1552" s="73">
        <v>-23</v>
      </c>
      <c r="K1552" s="73">
        <v>-112</v>
      </c>
      <c r="L1552" s="73">
        <v>-28</v>
      </c>
      <c r="M1552" s="73">
        <v>-17</v>
      </c>
      <c r="N1552" s="73">
        <v>-28</v>
      </c>
      <c r="O1552" s="73">
        <v>-17</v>
      </c>
      <c r="P1552" s="73">
        <v>-57</v>
      </c>
      <c r="Q1552" s="73">
        <v>-19</v>
      </c>
      <c r="R1552" s="73">
        <v>0</v>
      </c>
      <c r="S1552" s="73">
        <v>0</v>
      </c>
      <c r="T1552" s="73">
        <v>0</v>
      </c>
      <c r="U1552" s="73">
        <v>0</v>
      </c>
      <c r="V1552" s="73">
        <v>0</v>
      </c>
      <c r="W1552" s="73">
        <v>0</v>
      </c>
      <c r="X1552" s="73">
        <v>0</v>
      </c>
      <c r="Y1552" s="73">
        <v>0</v>
      </c>
      <c r="Z1552" s="73">
        <v>80</v>
      </c>
      <c r="AA1552" s="73">
        <v>471</v>
      </c>
      <c r="AB1552" s="73">
        <v>0</v>
      </c>
      <c r="AC1552" s="73">
        <v>0</v>
      </c>
      <c r="AD1552" s="73">
        <v>0</v>
      </c>
      <c r="AE1552" s="73">
        <v>0</v>
      </c>
      <c r="AF1552" s="74">
        <f>tblData[[#This Row],[Gross Sales]]+tblData[[#This Row],[Trade Discounts]]+tblData[[#This Row],[Returns]]</f>
        <v>428</v>
      </c>
      <c r="AG1552" s="74">
        <f>tblData[[#This Row],[Material Cost]]+tblData[[#This Row],[Conversion Cost]]+tblData[[#This Row],[Inbound Freight]]</f>
        <v>-157</v>
      </c>
      <c r="AH1552" s="74">
        <f>tblData[[#This Row],[Net Revenue]]+tblData[[#This Row],[COGS]]</f>
        <v>271</v>
      </c>
      <c r="AI1552" s="74">
        <f>tblData[[#This Row],[Advertising]]+tblData[[#This Row],[Promotions]]</f>
        <v>-45</v>
      </c>
      <c r="AJ1552" s="74">
        <f>tblData[[#This Row],[Outbound Logistics]]+tblData[[#This Row],[Direct Selling]]</f>
        <v>-76</v>
      </c>
      <c r="AK1552" s="74">
        <f>tblData[[#This Row],[Gross Profit]]+tblData[[#This Row],[AP Spend]]+tblData[[#This Row],[Cost to Serve]]</f>
        <v>150</v>
      </c>
    </row>
    <row r="1553" spans="2:37" x14ac:dyDescent="0.25">
      <c r="B1553" s="71" t="s">
        <v>36</v>
      </c>
      <c r="C1553" s="71">
        <v>2026</v>
      </c>
      <c r="D1553" s="71">
        <v>5</v>
      </c>
      <c r="E1553" s="71" t="s">
        <v>47</v>
      </c>
      <c r="F1553" s="71" t="s">
        <v>42</v>
      </c>
      <c r="G1553" s="72">
        <v>49.9</v>
      </c>
      <c r="H1553" s="73">
        <v>300</v>
      </c>
      <c r="I1553" s="73">
        <v>-9</v>
      </c>
      <c r="J1553" s="73">
        <v>-15</v>
      </c>
      <c r="K1553" s="73">
        <v>-96</v>
      </c>
      <c r="L1553" s="73">
        <v>-24</v>
      </c>
      <c r="M1553" s="73">
        <v>-15</v>
      </c>
      <c r="N1553" s="73">
        <v>-5</v>
      </c>
      <c r="O1553" s="73">
        <v>-3</v>
      </c>
      <c r="P1553" s="73">
        <v>-37</v>
      </c>
      <c r="Q1553" s="73">
        <v>-12</v>
      </c>
      <c r="R1553" s="73">
        <v>0</v>
      </c>
      <c r="S1553" s="73">
        <v>0</v>
      </c>
      <c r="T1553" s="73">
        <v>0</v>
      </c>
      <c r="U1553" s="73">
        <v>0</v>
      </c>
      <c r="V1553" s="73">
        <v>0</v>
      </c>
      <c r="W1553" s="73">
        <v>0</v>
      </c>
      <c r="X1553" s="73">
        <v>0</v>
      </c>
      <c r="Y1553" s="73">
        <v>0</v>
      </c>
      <c r="Z1553" s="73">
        <v>53</v>
      </c>
      <c r="AA1553" s="73">
        <v>536</v>
      </c>
      <c r="AB1553" s="73">
        <v>0</v>
      </c>
      <c r="AC1553" s="73">
        <v>0</v>
      </c>
      <c r="AD1553" s="73">
        <v>0</v>
      </c>
      <c r="AE1553" s="73">
        <v>0</v>
      </c>
      <c r="AF1553" s="74">
        <f>tblData[[#This Row],[Gross Sales]]+tblData[[#This Row],[Trade Discounts]]+tblData[[#This Row],[Returns]]</f>
        <v>276</v>
      </c>
      <c r="AG1553" s="74">
        <f>tblData[[#This Row],[Material Cost]]+tblData[[#This Row],[Conversion Cost]]+tblData[[#This Row],[Inbound Freight]]</f>
        <v>-135</v>
      </c>
      <c r="AH1553" s="74">
        <f>tblData[[#This Row],[Net Revenue]]+tblData[[#This Row],[COGS]]</f>
        <v>141</v>
      </c>
      <c r="AI1553" s="74">
        <f>tblData[[#This Row],[Advertising]]+tblData[[#This Row],[Promotions]]</f>
        <v>-8</v>
      </c>
      <c r="AJ1553" s="74">
        <f>tblData[[#This Row],[Outbound Logistics]]+tblData[[#This Row],[Direct Selling]]</f>
        <v>-49</v>
      </c>
      <c r="AK1553" s="74">
        <f>tblData[[#This Row],[Gross Profit]]+tblData[[#This Row],[AP Spend]]+tblData[[#This Row],[Cost to Serve]]</f>
        <v>84</v>
      </c>
    </row>
    <row r="1554" spans="2:37" x14ac:dyDescent="0.25">
      <c r="B1554" s="71" t="s">
        <v>36</v>
      </c>
      <c r="C1554" s="71">
        <v>2026</v>
      </c>
      <c r="D1554" s="71">
        <v>5</v>
      </c>
      <c r="E1554" s="71" t="s">
        <v>47</v>
      </c>
      <c r="F1554" s="71" t="s">
        <v>43</v>
      </c>
      <c r="G1554" s="72">
        <v>9.6999999999999993</v>
      </c>
      <c r="H1554" s="73">
        <v>175</v>
      </c>
      <c r="I1554" s="73">
        <v>-5</v>
      </c>
      <c r="J1554" s="73">
        <v>-9</v>
      </c>
      <c r="K1554" s="73">
        <v>-49</v>
      </c>
      <c r="L1554" s="73">
        <v>-12</v>
      </c>
      <c r="M1554" s="73">
        <v>-7</v>
      </c>
      <c r="N1554" s="73">
        <v>-15</v>
      </c>
      <c r="O1554" s="73">
        <v>-9</v>
      </c>
      <c r="P1554" s="73">
        <v>-22</v>
      </c>
      <c r="Q1554" s="73">
        <v>-7</v>
      </c>
      <c r="R1554" s="73">
        <v>0</v>
      </c>
      <c r="S1554" s="73">
        <v>0</v>
      </c>
      <c r="T1554" s="73">
        <v>0</v>
      </c>
      <c r="U1554" s="73">
        <v>0</v>
      </c>
      <c r="V1554" s="73">
        <v>0</v>
      </c>
      <c r="W1554" s="73">
        <v>0</v>
      </c>
      <c r="X1554" s="73">
        <v>0</v>
      </c>
      <c r="Y1554" s="73">
        <v>0</v>
      </c>
      <c r="Z1554" s="73">
        <v>30</v>
      </c>
      <c r="AA1554" s="73">
        <v>269</v>
      </c>
      <c r="AB1554" s="73">
        <v>0</v>
      </c>
      <c r="AC1554" s="73">
        <v>0</v>
      </c>
      <c r="AD1554" s="73">
        <v>0</v>
      </c>
      <c r="AE1554" s="73">
        <v>0</v>
      </c>
      <c r="AF1554" s="74">
        <f>tblData[[#This Row],[Gross Sales]]+tblData[[#This Row],[Trade Discounts]]+tblData[[#This Row],[Returns]]</f>
        <v>161</v>
      </c>
      <c r="AG1554" s="74">
        <f>tblData[[#This Row],[Material Cost]]+tblData[[#This Row],[Conversion Cost]]+tblData[[#This Row],[Inbound Freight]]</f>
        <v>-68</v>
      </c>
      <c r="AH1554" s="74">
        <f>tblData[[#This Row],[Net Revenue]]+tblData[[#This Row],[COGS]]</f>
        <v>93</v>
      </c>
      <c r="AI1554" s="74">
        <f>tblData[[#This Row],[Advertising]]+tblData[[#This Row],[Promotions]]</f>
        <v>-24</v>
      </c>
      <c r="AJ1554" s="74">
        <f>tblData[[#This Row],[Outbound Logistics]]+tblData[[#This Row],[Direct Selling]]</f>
        <v>-29</v>
      </c>
      <c r="AK1554" s="74">
        <f>tblData[[#This Row],[Gross Profit]]+tblData[[#This Row],[AP Spend]]+tblData[[#This Row],[Cost to Serve]]</f>
        <v>40</v>
      </c>
    </row>
    <row r="1555" spans="2:37" x14ac:dyDescent="0.25">
      <c r="B1555" s="71" t="s">
        <v>36</v>
      </c>
      <c r="C1555" s="71">
        <v>2026</v>
      </c>
      <c r="D1555" s="71">
        <v>5</v>
      </c>
      <c r="E1555" s="71" t="s">
        <v>48</v>
      </c>
      <c r="F1555" s="71" t="s">
        <v>38</v>
      </c>
      <c r="G1555" s="72">
        <v>105.4</v>
      </c>
      <c r="H1555" s="73">
        <v>1484</v>
      </c>
      <c r="I1555" s="73">
        <v>-134</v>
      </c>
      <c r="J1555" s="73">
        <v>-15</v>
      </c>
      <c r="K1555" s="73">
        <v>-325</v>
      </c>
      <c r="L1555" s="73">
        <v>-80</v>
      </c>
      <c r="M1555" s="73">
        <v>-50</v>
      </c>
      <c r="N1555" s="73">
        <v>-77</v>
      </c>
      <c r="O1555" s="73">
        <v>-45</v>
      </c>
      <c r="P1555" s="73">
        <v>-46</v>
      </c>
      <c r="Q1555" s="73">
        <v>-22</v>
      </c>
      <c r="R1555" s="73">
        <v>0</v>
      </c>
      <c r="S1555" s="73">
        <v>0</v>
      </c>
      <c r="T1555" s="73">
        <v>0</v>
      </c>
      <c r="U1555" s="73">
        <v>0</v>
      </c>
      <c r="V1555" s="73">
        <v>0</v>
      </c>
      <c r="W1555" s="73">
        <v>0</v>
      </c>
      <c r="X1555" s="73">
        <v>0</v>
      </c>
      <c r="Y1555" s="73">
        <v>0</v>
      </c>
      <c r="Z1555" s="73">
        <v>3148</v>
      </c>
      <c r="AA1555" s="73">
        <v>1485</v>
      </c>
      <c r="AB1555" s="73">
        <v>0</v>
      </c>
      <c r="AC1555" s="73">
        <v>0</v>
      </c>
      <c r="AD1555" s="73">
        <v>0</v>
      </c>
      <c r="AE1555" s="73">
        <v>0</v>
      </c>
      <c r="AF1555" s="74">
        <f>tblData[[#This Row],[Gross Sales]]+tblData[[#This Row],[Trade Discounts]]+tblData[[#This Row],[Returns]]</f>
        <v>1335</v>
      </c>
      <c r="AG1555" s="74">
        <f>tblData[[#This Row],[Material Cost]]+tblData[[#This Row],[Conversion Cost]]+tblData[[#This Row],[Inbound Freight]]</f>
        <v>-455</v>
      </c>
      <c r="AH1555" s="74">
        <f>tblData[[#This Row],[Net Revenue]]+tblData[[#This Row],[COGS]]</f>
        <v>880</v>
      </c>
      <c r="AI1555" s="74">
        <f>tblData[[#This Row],[Advertising]]+tblData[[#This Row],[Promotions]]</f>
        <v>-122</v>
      </c>
      <c r="AJ1555" s="74">
        <f>tblData[[#This Row],[Outbound Logistics]]+tblData[[#This Row],[Direct Selling]]</f>
        <v>-68</v>
      </c>
      <c r="AK1555" s="74">
        <f>tblData[[#This Row],[Gross Profit]]+tblData[[#This Row],[AP Spend]]+tblData[[#This Row],[Cost to Serve]]</f>
        <v>690</v>
      </c>
    </row>
    <row r="1556" spans="2:37" x14ac:dyDescent="0.25">
      <c r="B1556" s="71" t="s">
        <v>36</v>
      </c>
      <c r="C1556" s="71">
        <v>2026</v>
      </c>
      <c r="D1556" s="71">
        <v>5</v>
      </c>
      <c r="E1556" s="71" t="s">
        <v>48</v>
      </c>
      <c r="F1556" s="71" t="s">
        <v>39</v>
      </c>
      <c r="G1556" s="72">
        <v>138.30000000000001</v>
      </c>
      <c r="H1556" s="73">
        <v>1247</v>
      </c>
      <c r="I1556" s="73">
        <v>-112</v>
      </c>
      <c r="J1556" s="73">
        <v>-12</v>
      </c>
      <c r="K1556" s="73">
        <v>-328</v>
      </c>
      <c r="L1556" s="73">
        <v>-81</v>
      </c>
      <c r="M1556" s="73">
        <v>-50</v>
      </c>
      <c r="N1556" s="73">
        <v>-44</v>
      </c>
      <c r="O1556" s="73">
        <v>-26</v>
      </c>
      <c r="P1556" s="73">
        <v>-39</v>
      </c>
      <c r="Q1556" s="73">
        <v>-19</v>
      </c>
      <c r="R1556" s="73">
        <v>0</v>
      </c>
      <c r="S1556" s="73">
        <v>0</v>
      </c>
      <c r="T1556" s="73">
        <v>0</v>
      </c>
      <c r="U1556" s="73">
        <v>0</v>
      </c>
      <c r="V1556" s="73">
        <v>0</v>
      </c>
      <c r="W1556" s="73">
        <v>0</v>
      </c>
      <c r="X1556" s="73">
        <v>0</v>
      </c>
      <c r="Y1556" s="73">
        <v>0</v>
      </c>
      <c r="Z1556" s="73">
        <v>2599</v>
      </c>
      <c r="AA1556" s="73">
        <v>1253</v>
      </c>
      <c r="AB1556" s="73">
        <v>0</v>
      </c>
      <c r="AC1556" s="73">
        <v>0</v>
      </c>
      <c r="AD1556" s="73">
        <v>0</v>
      </c>
      <c r="AE1556" s="73">
        <v>0</v>
      </c>
      <c r="AF1556" s="74">
        <f>tblData[[#This Row],[Gross Sales]]+tblData[[#This Row],[Trade Discounts]]+tblData[[#This Row],[Returns]]</f>
        <v>1123</v>
      </c>
      <c r="AG1556" s="74">
        <f>tblData[[#This Row],[Material Cost]]+tblData[[#This Row],[Conversion Cost]]+tblData[[#This Row],[Inbound Freight]]</f>
        <v>-459</v>
      </c>
      <c r="AH1556" s="74">
        <f>tblData[[#This Row],[Net Revenue]]+tblData[[#This Row],[COGS]]</f>
        <v>664</v>
      </c>
      <c r="AI1556" s="74">
        <f>tblData[[#This Row],[Advertising]]+tblData[[#This Row],[Promotions]]</f>
        <v>-70</v>
      </c>
      <c r="AJ1556" s="74">
        <f>tblData[[#This Row],[Outbound Logistics]]+tblData[[#This Row],[Direct Selling]]</f>
        <v>-58</v>
      </c>
      <c r="AK1556" s="74">
        <f>tblData[[#This Row],[Gross Profit]]+tblData[[#This Row],[AP Spend]]+tblData[[#This Row],[Cost to Serve]]</f>
        <v>536</v>
      </c>
    </row>
    <row r="1557" spans="2:37" x14ac:dyDescent="0.25">
      <c r="B1557" s="71" t="s">
        <v>36</v>
      </c>
      <c r="C1557" s="71">
        <v>2026</v>
      </c>
      <c r="D1557" s="71">
        <v>5</v>
      </c>
      <c r="E1557" s="71" t="s">
        <v>48</v>
      </c>
      <c r="F1557" s="71" t="s">
        <v>40</v>
      </c>
      <c r="G1557" s="72">
        <v>129.69999999999999</v>
      </c>
      <c r="H1557" s="73">
        <v>908</v>
      </c>
      <c r="I1557" s="73">
        <v>-82</v>
      </c>
      <c r="J1557" s="73">
        <v>-9</v>
      </c>
      <c r="K1557" s="73">
        <v>-265</v>
      </c>
      <c r="L1557" s="73">
        <v>-65</v>
      </c>
      <c r="M1557" s="73">
        <v>-41</v>
      </c>
      <c r="N1557" s="73">
        <v>-22</v>
      </c>
      <c r="O1557" s="73">
        <v>-13</v>
      </c>
      <c r="P1557" s="73">
        <v>-28</v>
      </c>
      <c r="Q1557" s="73">
        <v>-14</v>
      </c>
      <c r="R1557" s="73">
        <v>0</v>
      </c>
      <c r="S1557" s="73">
        <v>0</v>
      </c>
      <c r="T1557" s="73">
        <v>0</v>
      </c>
      <c r="U1557" s="73">
        <v>0</v>
      </c>
      <c r="V1557" s="73">
        <v>0</v>
      </c>
      <c r="W1557" s="73">
        <v>0</v>
      </c>
      <c r="X1557" s="73">
        <v>0</v>
      </c>
      <c r="Y1557" s="73">
        <v>0</v>
      </c>
      <c r="Z1557" s="73">
        <v>1926</v>
      </c>
      <c r="AA1557" s="73">
        <v>971</v>
      </c>
      <c r="AB1557" s="73">
        <v>0</v>
      </c>
      <c r="AC1557" s="73">
        <v>0</v>
      </c>
      <c r="AD1557" s="73">
        <v>0</v>
      </c>
      <c r="AE1557" s="73">
        <v>0</v>
      </c>
      <c r="AF1557" s="74">
        <f>tblData[[#This Row],[Gross Sales]]+tblData[[#This Row],[Trade Discounts]]+tblData[[#This Row],[Returns]]</f>
        <v>817</v>
      </c>
      <c r="AG1557" s="74">
        <f>tblData[[#This Row],[Material Cost]]+tblData[[#This Row],[Conversion Cost]]+tblData[[#This Row],[Inbound Freight]]</f>
        <v>-371</v>
      </c>
      <c r="AH1557" s="74">
        <f>tblData[[#This Row],[Net Revenue]]+tblData[[#This Row],[COGS]]</f>
        <v>446</v>
      </c>
      <c r="AI1557" s="74">
        <f>tblData[[#This Row],[Advertising]]+tblData[[#This Row],[Promotions]]</f>
        <v>-35</v>
      </c>
      <c r="AJ1557" s="74">
        <f>tblData[[#This Row],[Outbound Logistics]]+tblData[[#This Row],[Direct Selling]]</f>
        <v>-42</v>
      </c>
      <c r="AK1557" s="74">
        <f>tblData[[#This Row],[Gross Profit]]+tblData[[#This Row],[AP Spend]]+tblData[[#This Row],[Cost to Serve]]</f>
        <v>369</v>
      </c>
    </row>
    <row r="1558" spans="2:37" x14ac:dyDescent="0.25">
      <c r="B1558" s="71" t="s">
        <v>36</v>
      </c>
      <c r="C1558" s="71">
        <v>2026</v>
      </c>
      <c r="D1558" s="71">
        <v>5</v>
      </c>
      <c r="E1558" s="71" t="s">
        <v>48</v>
      </c>
      <c r="F1558" s="71" t="s">
        <v>41</v>
      </c>
      <c r="G1558" s="72">
        <v>65.7</v>
      </c>
      <c r="H1558" s="73">
        <v>725</v>
      </c>
      <c r="I1558" s="73">
        <v>-65</v>
      </c>
      <c r="J1558" s="73">
        <v>-7</v>
      </c>
      <c r="K1558" s="73">
        <v>-175</v>
      </c>
      <c r="L1558" s="73">
        <v>-43</v>
      </c>
      <c r="M1558" s="73">
        <v>-27</v>
      </c>
      <c r="N1558" s="73">
        <v>-47</v>
      </c>
      <c r="O1558" s="73">
        <v>-28</v>
      </c>
      <c r="P1558" s="73">
        <v>-22</v>
      </c>
      <c r="Q1558" s="73">
        <v>-11</v>
      </c>
      <c r="R1558" s="73">
        <v>0</v>
      </c>
      <c r="S1558" s="73">
        <v>0</v>
      </c>
      <c r="T1558" s="73">
        <v>0</v>
      </c>
      <c r="U1558" s="73">
        <v>0</v>
      </c>
      <c r="V1558" s="73">
        <v>0</v>
      </c>
      <c r="W1558" s="73">
        <v>0</v>
      </c>
      <c r="X1558" s="73">
        <v>0</v>
      </c>
      <c r="Y1558" s="73">
        <v>0</v>
      </c>
      <c r="Z1558" s="73">
        <v>1546</v>
      </c>
      <c r="AA1558" s="73">
        <v>762</v>
      </c>
      <c r="AB1558" s="73">
        <v>0</v>
      </c>
      <c r="AC1558" s="73">
        <v>0</v>
      </c>
      <c r="AD1558" s="73">
        <v>0</v>
      </c>
      <c r="AE1558" s="73">
        <v>0</v>
      </c>
      <c r="AF1558" s="74">
        <f>tblData[[#This Row],[Gross Sales]]+tblData[[#This Row],[Trade Discounts]]+tblData[[#This Row],[Returns]]</f>
        <v>653</v>
      </c>
      <c r="AG1558" s="74">
        <f>tblData[[#This Row],[Material Cost]]+tblData[[#This Row],[Conversion Cost]]+tblData[[#This Row],[Inbound Freight]]</f>
        <v>-245</v>
      </c>
      <c r="AH1558" s="74">
        <f>tblData[[#This Row],[Net Revenue]]+tblData[[#This Row],[COGS]]</f>
        <v>408</v>
      </c>
      <c r="AI1558" s="74">
        <f>tblData[[#This Row],[Advertising]]+tblData[[#This Row],[Promotions]]</f>
        <v>-75</v>
      </c>
      <c r="AJ1558" s="74">
        <f>tblData[[#This Row],[Outbound Logistics]]+tblData[[#This Row],[Direct Selling]]</f>
        <v>-33</v>
      </c>
      <c r="AK1558" s="74">
        <f>tblData[[#This Row],[Gross Profit]]+tblData[[#This Row],[AP Spend]]+tblData[[#This Row],[Cost to Serve]]</f>
        <v>300</v>
      </c>
    </row>
    <row r="1559" spans="2:37" x14ac:dyDescent="0.25">
      <c r="B1559" s="71" t="s">
        <v>36</v>
      </c>
      <c r="C1559" s="71">
        <v>2026</v>
      </c>
      <c r="D1559" s="71">
        <v>5</v>
      </c>
      <c r="E1559" s="71" t="s">
        <v>48</v>
      </c>
      <c r="F1559" s="71" t="s">
        <v>42</v>
      </c>
      <c r="G1559" s="72">
        <v>79.5</v>
      </c>
      <c r="H1559" s="73">
        <v>475</v>
      </c>
      <c r="I1559" s="73">
        <v>-43</v>
      </c>
      <c r="J1559" s="73">
        <v>-5</v>
      </c>
      <c r="K1559" s="73">
        <v>-153</v>
      </c>
      <c r="L1559" s="73">
        <v>-38</v>
      </c>
      <c r="M1559" s="73">
        <v>-23</v>
      </c>
      <c r="N1559" s="73">
        <v>-9</v>
      </c>
      <c r="O1559" s="73">
        <v>-5</v>
      </c>
      <c r="P1559" s="73">
        <v>-15</v>
      </c>
      <c r="Q1559" s="73">
        <v>-7</v>
      </c>
      <c r="R1559" s="73">
        <v>0</v>
      </c>
      <c r="S1559" s="73">
        <v>0</v>
      </c>
      <c r="T1559" s="73">
        <v>0</v>
      </c>
      <c r="U1559" s="73">
        <v>0</v>
      </c>
      <c r="V1559" s="73">
        <v>0</v>
      </c>
      <c r="W1559" s="73">
        <v>0</v>
      </c>
      <c r="X1559" s="73">
        <v>0</v>
      </c>
      <c r="Y1559" s="73">
        <v>0</v>
      </c>
      <c r="Z1559" s="73">
        <v>991</v>
      </c>
      <c r="AA1559" s="73">
        <v>849</v>
      </c>
      <c r="AB1559" s="73">
        <v>0</v>
      </c>
      <c r="AC1559" s="73">
        <v>0</v>
      </c>
      <c r="AD1559" s="73">
        <v>0</v>
      </c>
      <c r="AE1559" s="73">
        <v>0</v>
      </c>
      <c r="AF1559" s="74">
        <f>tblData[[#This Row],[Gross Sales]]+tblData[[#This Row],[Trade Discounts]]+tblData[[#This Row],[Returns]]</f>
        <v>427</v>
      </c>
      <c r="AG1559" s="74">
        <f>tblData[[#This Row],[Material Cost]]+tblData[[#This Row],[Conversion Cost]]+tblData[[#This Row],[Inbound Freight]]</f>
        <v>-214</v>
      </c>
      <c r="AH1559" s="74">
        <f>tblData[[#This Row],[Net Revenue]]+tblData[[#This Row],[COGS]]</f>
        <v>213</v>
      </c>
      <c r="AI1559" s="74">
        <f>tblData[[#This Row],[Advertising]]+tblData[[#This Row],[Promotions]]</f>
        <v>-14</v>
      </c>
      <c r="AJ1559" s="74">
        <f>tblData[[#This Row],[Outbound Logistics]]+tblData[[#This Row],[Direct Selling]]</f>
        <v>-22</v>
      </c>
      <c r="AK1559" s="74">
        <f>tblData[[#This Row],[Gross Profit]]+tblData[[#This Row],[AP Spend]]+tblData[[#This Row],[Cost to Serve]]</f>
        <v>177</v>
      </c>
    </row>
    <row r="1560" spans="2:37" x14ac:dyDescent="0.25">
      <c r="B1560" s="71" t="s">
        <v>36</v>
      </c>
      <c r="C1560" s="71">
        <v>2026</v>
      </c>
      <c r="D1560" s="71">
        <v>5</v>
      </c>
      <c r="E1560" s="71" t="s">
        <v>48</v>
      </c>
      <c r="F1560" s="71" t="s">
        <v>43</v>
      </c>
      <c r="G1560" s="72">
        <v>15.3</v>
      </c>
      <c r="H1560" s="73">
        <v>275</v>
      </c>
      <c r="I1560" s="73">
        <v>-25</v>
      </c>
      <c r="J1560" s="73">
        <v>-3</v>
      </c>
      <c r="K1560" s="73">
        <v>-76</v>
      </c>
      <c r="L1560" s="73">
        <v>-19</v>
      </c>
      <c r="M1560" s="73">
        <v>-12</v>
      </c>
      <c r="N1560" s="73">
        <v>-26</v>
      </c>
      <c r="O1560" s="73">
        <v>-15</v>
      </c>
      <c r="P1560" s="73">
        <v>-9</v>
      </c>
      <c r="Q1560" s="73">
        <v>-4</v>
      </c>
      <c r="R1560" s="73">
        <v>0</v>
      </c>
      <c r="S1560" s="73">
        <v>0</v>
      </c>
      <c r="T1560" s="73">
        <v>0</v>
      </c>
      <c r="U1560" s="73">
        <v>0</v>
      </c>
      <c r="V1560" s="73">
        <v>0</v>
      </c>
      <c r="W1560" s="73">
        <v>0</v>
      </c>
      <c r="X1560" s="73">
        <v>0</v>
      </c>
      <c r="Y1560" s="73">
        <v>0</v>
      </c>
      <c r="Z1560" s="73">
        <v>574</v>
      </c>
      <c r="AA1560" s="73">
        <v>428</v>
      </c>
      <c r="AB1560" s="73">
        <v>0</v>
      </c>
      <c r="AC1560" s="73">
        <v>0</v>
      </c>
      <c r="AD1560" s="73">
        <v>0</v>
      </c>
      <c r="AE1560" s="73">
        <v>0</v>
      </c>
      <c r="AF1560" s="74">
        <f>tblData[[#This Row],[Gross Sales]]+tblData[[#This Row],[Trade Discounts]]+tblData[[#This Row],[Returns]]</f>
        <v>247</v>
      </c>
      <c r="AG1560" s="74">
        <f>tblData[[#This Row],[Material Cost]]+tblData[[#This Row],[Conversion Cost]]+tblData[[#This Row],[Inbound Freight]]</f>
        <v>-107</v>
      </c>
      <c r="AH1560" s="74">
        <f>tblData[[#This Row],[Net Revenue]]+tblData[[#This Row],[COGS]]</f>
        <v>140</v>
      </c>
      <c r="AI1560" s="74">
        <f>tblData[[#This Row],[Advertising]]+tblData[[#This Row],[Promotions]]</f>
        <v>-41</v>
      </c>
      <c r="AJ1560" s="74">
        <f>tblData[[#This Row],[Outbound Logistics]]+tblData[[#This Row],[Direct Selling]]</f>
        <v>-13</v>
      </c>
      <c r="AK1560" s="74">
        <f>tblData[[#This Row],[Gross Profit]]+tblData[[#This Row],[AP Spend]]+tblData[[#This Row],[Cost to Serve]]</f>
        <v>86</v>
      </c>
    </row>
    <row r="1561" spans="2:37" x14ac:dyDescent="0.25">
      <c r="B1561" s="71" t="s">
        <v>36</v>
      </c>
      <c r="C1561" s="71">
        <v>2026</v>
      </c>
      <c r="D1561" s="71">
        <v>5</v>
      </c>
      <c r="E1561" s="71" t="s">
        <v>49</v>
      </c>
      <c r="F1561" s="71" t="s">
        <v>49</v>
      </c>
      <c r="G1561" s="72">
        <v>0</v>
      </c>
      <c r="H1561" s="73">
        <v>0</v>
      </c>
      <c r="I1561" s="73">
        <v>0</v>
      </c>
      <c r="J1561" s="73">
        <v>0</v>
      </c>
      <c r="K1561" s="73">
        <v>0</v>
      </c>
      <c r="L1561" s="73">
        <v>0</v>
      </c>
      <c r="M1561" s="73">
        <v>0</v>
      </c>
      <c r="N1561" s="73">
        <v>0</v>
      </c>
      <c r="O1561" s="73">
        <v>0</v>
      </c>
      <c r="P1561" s="73">
        <v>0</v>
      </c>
      <c r="Q1561" s="73">
        <v>0</v>
      </c>
      <c r="R1561" s="73">
        <v>-4305</v>
      </c>
      <c r="S1561" s="73">
        <v>-1000</v>
      </c>
      <c r="T1561" s="73">
        <v>-1280</v>
      </c>
      <c r="U1561" s="73">
        <v>-1085</v>
      </c>
      <c r="V1561" s="73">
        <v>-1480</v>
      </c>
      <c r="W1561" s="73">
        <v>-703</v>
      </c>
      <c r="X1561" s="73">
        <v>-1510</v>
      </c>
      <c r="Y1561" s="73">
        <v>-1373</v>
      </c>
      <c r="Z1561" s="73">
        <v>0</v>
      </c>
      <c r="AA1561" s="73">
        <v>0</v>
      </c>
      <c r="AB1561" s="73">
        <v>33659</v>
      </c>
      <c r="AC1561" s="73">
        <v>45162</v>
      </c>
      <c r="AD1561" s="73">
        <v>187500</v>
      </c>
      <c r="AE1561" s="73">
        <v>1184</v>
      </c>
      <c r="AF1561" s="74">
        <f>tblData[[#This Row],[Gross Sales]]+tblData[[#This Row],[Trade Discounts]]+tblData[[#This Row],[Returns]]</f>
        <v>0</v>
      </c>
      <c r="AG1561" s="74">
        <f>tblData[[#This Row],[Material Cost]]+tblData[[#This Row],[Conversion Cost]]+tblData[[#This Row],[Inbound Freight]]</f>
        <v>0</v>
      </c>
      <c r="AH1561" s="74">
        <f>tblData[[#This Row],[Net Revenue]]+tblData[[#This Row],[COGS]]</f>
        <v>0</v>
      </c>
      <c r="AI1561" s="74">
        <f>tblData[[#This Row],[Advertising]]+tblData[[#This Row],[Promotions]]</f>
        <v>0</v>
      </c>
      <c r="AJ1561" s="74">
        <f>tblData[[#This Row],[Outbound Logistics]]+tblData[[#This Row],[Direct Selling]]</f>
        <v>0</v>
      </c>
      <c r="AK1561" s="74">
        <f>tblData[[#This Row],[Gross Profit]]+tblData[[#This Row],[AP Spend]]+tblData[[#This Row],[Cost to Serve]]</f>
        <v>0</v>
      </c>
    </row>
    <row r="1562" spans="2:37" x14ac:dyDescent="0.25">
      <c r="B1562" s="71" t="s">
        <v>36</v>
      </c>
      <c r="C1562" s="71">
        <v>2026</v>
      </c>
      <c r="D1562" s="71">
        <v>6</v>
      </c>
      <c r="E1562" s="71" t="s">
        <v>37</v>
      </c>
      <c r="F1562" s="71" t="s">
        <v>38</v>
      </c>
      <c r="G1562" s="72">
        <v>311.3</v>
      </c>
      <c r="H1562" s="73">
        <v>4385</v>
      </c>
      <c r="I1562" s="73">
        <v>-859</v>
      </c>
      <c r="J1562" s="73">
        <v>-66</v>
      </c>
      <c r="K1562" s="73">
        <v>-961</v>
      </c>
      <c r="L1562" s="73">
        <v>-237</v>
      </c>
      <c r="M1562" s="73">
        <v>-147</v>
      </c>
      <c r="N1562" s="73">
        <v>-236</v>
      </c>
      <c r="O1562" s="73">
        <v>-139</v>
      </c>
      <c r="P1562" s="73">
        <v>-181</v>
      </c>
      <c r="Q1562" s="73">
        <v>-132</v>
      </c>
      <c r="R1562" s="73">
        <v>0</v>
      </c>
      <c r="S1562" s="73">
        <v>0</v>
      </c>
      <c r="T1562" s="73">
        <v>0</v>
      </c>
      <c r="U1562" s="73">
        <v>0</v>
      </c>
      <c r="V1562" s="73">
        <v>0</v>
      </c>
      <c r="W1562" s="73">
        <v>0</v>
      </c>
      <c r="X1562" s="73">
        <v>0</v>
      </c>
      <c r="Y1562" s="73">
        <v>0</v>
      </c>
      <c r="Z1562" s="73">
        <v>6398</v>
      </c>
      <c r="AA1562" s="73">
        <v>4333</v>
      </c>
      <c r="AB1562" s="73">
        <v>0</v>
      </c>
      <c r="AC1562" s="73">
        <v>0</v>
      </c>
      <c r="AD1562" s="73">
        <v>0</v>
      </c>
      <c r="AE1562" s="73">
        <v>0</v>
      </c>
      <c r="AF1562" s="74">
        <f>tblData[[#This Row],[Gross Sales]]+tblData[[#This Row],[Trade Discounts]]+tblData[[#This Row],[Returns]]</f>
        <v>3460</v>
      </c>
      <c r="AG1562" s="74">
        <f>tblData[[#This Row],[Material Cost]]+tblData[[#This Row],[Conversion Cost]]+tblData[[#This Row],[Inbound Freight]]</f>
        <v>-1345</v>
      </c>
      <c r="AH1562" s="74">
        <f>tblData[[#This Row],[Net Revenue]]+tblData[[#This Row],[COGS]]</f>
        <v>2115</v>
      </c>
      <c r="AI1562" s="74">
        <f>tblData[[#This Row],[Advertising]]+tblData[[#This Row],[Promotions]]</f>
        <v>-375</v>
      </c>
      <c r="AJ1562" s="74">
        <f>tblData[[#This Row],[Outbound Logistics]]+tblData[[#This Row],[Direct Selling]]</f>
        <v>-313</v>
      </c>
      <c r="AK1562" s="74">
        <f>tblData[[#This Row],[Gross Profit]]+tblData[[#This Row],[AP Spend]]+tblData[[#This Row],[Cost to Serve]]</f>
        <v>1427</v>
      </c>
    </row>
    <row r="1563" spans="2:37" x14ac:dyDescent="0.25">
      <c r="B1563" s="71" t="s">
        <v>36</v>
      </c>
      <c r="C1563" s="71">
        <v>2026</v>
      </c>
      <c r="D1563" s="71">
        <v>6</v>
      </c>
      <c r="E1563" s="71" t="s">
        <v>37</v>
      </c>
      <c r="F1563" s="71" t="s">
        <v>39</v>
      </c>
      <c r="G1563" s="72">
        <v>393.1</v>
      </c>
      <c r="H1563" s="73">
        <v>3545</v>
      </c>
      <c r="I1563" s="73">
        <v>-695</v>
      </c>
      <c r="J1563" s="73">
        <v>-53</v>
      </c>
      <c r="K1563" s="73">
        <v>-933</v>
      </c>
      <c r="L1563" s="73">
        <v>-230</v>
      </c>
      <c r="M1563" s="73">
        <v>-143</v>
      </c>
      <c r="N1563" s="73">
        <v>-135</v>
      </c>
      <c r="O1563" s="73">
        <v>-80</v>
      </c>
      <c r="P1563" s="73">
        <v>-146</v>
      </c>
      <c r="Q1563" s="73">
        <v>-106</v>
      </c>
      <c r="R1563" s="73">
        <v>0</v>
      </c>
      <c r="S1563" s="73">
        <v>0</v>
      </c>
      <c r="T1563" s="73">
        <v>0</v>
      </c>
      <c r="U1563" s="73">
        <v>0</v>
      </c>
      <c r="V1563" s="73">
        <v>0</v>
      </c>
      <c r="W1563" s="73">
        <v>0</v>
      </c>
      <c r="X1563" s="73">
        <v>0</v>
      </c>
      <c r="Y1563" s="73">
        <v>0</v>
      </c>
      <c r="Z1563" s="73">
        <v>5249</v>
      </c>
      <c r="AA1563" s="73">
        <v>3632</v>
      </c>
      <c r="AB1563" s="73">
        <v>0</v>
      </c>
      <c r="AC1563" s="73">
        <v>0</v>
      </c>
      <c r="AD1563" s="73">
        <v>0</v>
      </c>
      <c r="AE1563" s="73">
        <v>0</v>
      </c>
      <c r="AF1563" s="74">
        <f>tblData[[#This Row],[Gross Sales]]+tblData[[#This Row],[Trade Discounts]]+tblData[[#This Row],[Returns]]</f>
        <v>2797</v>
      </c>
      <c r="AG1563" s="74">
        <f>tblData[[#This Row],[Material Cost]]+tblData[[#This Row],[Conversion Cost]]+tblData[[#This Row],[Inbound Freight]]</f>
        <v>-1306</v>
      </c>
      <c r="AH1563" s="74">
        <f>tblData[[#This Row],[Net Revenue]]+tblData[[#This Row],[COGS]]</f>
        <v>1491</v>
      </c>
      <c r="AI1563" s="74">
        <f>tblData[[#This Row],[Advertising]]+tblData[[#This Row],[Promotions]]</f>
        <v>-215</v>
      </c>
      <c r="AJ1563" s="74">
        <f>tblData[[#This Row],[Outbound Logistics]]+tblData[[#This Row],[Direct Selling]]</f>
        <v>-252</v>
      </c>
      <c r="AK1563" s="74">
        <f>tblData[[#This Row],[Gross Profit]]+tblData[[#This Row],[AP Spend]]+tblData[[#This Row],[Cost to Serve]]</f>
        <v>1024</v>
      </c>
    </row>
    <row r="1564" spans="2:37" x14ac:dyDescent="0.25">
      <c r="B1564" s="71" t="s">
        <v>36</v>
      </c>
      <c r="C1564" s="71">
        <v>2026</v>
      </c>
      <c r="D1564" s="71">
        <v>6</v>
      </c>
      <c r="E1564" s="71" t="s">
        <v>37</v>
      </c>
      <c r="F1564" s="71" t="s">
        <v>40</v>
      </c>
      <c r="G1564" s="72">
        <v>382</v>
      </c>
      <c r="H1564" s="73">
        <v>2674</v>
      </c>
      <c r="I1564" s="73">
        <v>-524</v>
      </c>
      <c r="J1564" s="73">
        <v>-40</v>
      </c>
      <c r="K1564" s="73">
        <v>-782</v>
      </c>
      <c r="L1564" s="73">
        <v>-193</v>
      </c>
      <c r="M1564" s="73">
        <v>-120</v>
      </c>
      <c r="N1564" s="73">
        <v>-67</v>
      </c>
      <c r="O1564" s="73">
        <v>-40</v>
      </c>
      <c r="P1564" s="73">
        <v>-110</v>
      </c>
      <c r="Q1564" s="73">
        <v>-80</v>
      </c>
      <c r="R1564" s="73">
        <v>0</v>
      </c>
      <c r="S1564" s="73">
        <v>0</v>
      </c>
      <c r="T1564" s="73">
        <v>0</v>
      </c>
      <c r="U1564" s="73">
        <v>0</v>
      </c>
      <c r="V1564" s="73">
        <v>0</v>
      </c>
      <c r="W1564" s="73">
        <v>0</v>
      </c>
      <c r="X1564" s="73">
        <v>0</v>
      </c>
      <c r="Y1564" s="73">
        <v>0</v>
      </c>
      <c r="Z1564" s="73">
        <v>3936</v>
      </c>
      <c r="AA1564" s="73">
        <v>2851</v>
      </c>
      <c r="AB1564" s="73">
        <v>0</v>
      </c>
      <c r="AC1564" s="73">
        <v>0</v>
      </c>
      <c r="AD1564" s="73">
        <v>0</v>
      </c>
      <c r="AE1564" s="73">
        <v>0</v>
      </c>
      <c r="AF1564" s="74">
        <f>tblData[[#This Row],[Gross Sales]]+tblData[[#This Row],[Trade Discounts]]+tblData[[#This Row],[Returns]]</f>
        <v>2110</v>
      </c>
      <c r="AG1564" s="74">
        <f>tblData[[#This Row],[Material Cost]]+tblData[[#This Row],[Conversion Cost]]+tblData[[#This Row],[Inbound Freight]]</f>
        <v>-1095</v>
      </c>
      <c r="AH1564" s="74">
        <f>tblData[[#This Row],[Net Revenue]]+tblData[[#This Row],[COGS]]</f>
        <v>1015</v>
      </c>
      <c r="AI1564" s="74">
        <f>tblData[[#This Row],[Advertising]]+tblData[[#This Row],[Promotions]]</f>
        <v>-107</v>
      </c>
      <c r="AJ1564" s="74">
        <f>tblData[[#This Row],[Outbound Logistics]]+tblData[[#This Row],[Direct Selling]]</f>
        <v>-190</v>
      </c>
      <c r="AK1564" s="74">
        <f>tblData[[#This Row],[Gross Profit]]+tblData[[#This Row],[AP Spend]]+tblData[[#This Row],[Cost to Serve]]</f>
        <v>718</v>
      </c>
    </row>
    <row r="1565" spans="2:37" x14ac:dyDescent="0.25">
      <c r="B1565" s="71" t="s">
        <v>36</v>
      </c>
      <c r="C1565" s="71">
        <v>2026</v>
      </c>
      <c r="D1565" s="71">
        <v>6</v>
      </c>
      <c r="E1565" s="71" t="s">
        <v>37</v>
      </c>
      <c r="F1565" s="71" t="s">
        <v>41</v>
      </c>
      <c r="G1565" s="72">
        <v>189.5</v>
      </c>
      <c r="H1565" s="73">
        <v>2091</v>
      </c>
      <c r="I1565" s="73">
        <v>-410</v>
      </c>
      <c r="J1565" s="73">
        <v>-31</v>
      </c>
      <c r="K1565" s="73">
        <v>-504</v>
      </c>
      <c r="L1565" s="73">
        <v>-124</v>
      </c>
      <c r="M1565" s="73">
        <v>-77</v>
      </c>
      <c r="N1565" s="73">
        <v>-144</v>
      </c>
      <c r="O1565" s="73">
        <v>-85</v>
      </c>
      <c r="P1565" s="73">
        <v>-86</v>
      </c>
      <c r="Q1565" s="73">
        <v>-63</v>
      </c>
      <c r="R1565" s="73">
        <v>0</v>
      </c>
      <c r="S1565" s="73">
        <v>0</v>
      </c>
      <c r="T1565" s="73">
        <v>0</v>
      </c>
      <c r="U1565" s="73">
        <v>0</v>
      </c>
      <c r="V1565" s="73">
        <v>0</v>
      </c>
      <c r="W1565" s="73">
        <v>0</v>
      </c>
      <c r="X1565" s="73">
        <v>0</v>
      </c>
      <c r="Y1565" s="73">
        <v>0</v>
      </c>
      <c r="Z1565" s="73">
        <v>3088</v>
      </c>
      <c r="AA1565" s="73">
        <v>2187</v>
      </c>
      <c r="AB1565" s="73">
        <v>0</v>
      </c>
      <c r="AC1565" s="73">
        <v>0</v>
      </c>
      <c r="AD1565" s="73">
        <v>0</v>
      </c>
      <c r="AE1565" s="73">
        <v>0</v>
      </c>
      <c r="AF1565" s="74">
        <f>tblData[[#This Row],[Gross Sales]]+tblData[[#This Row],[Trade Discounts]]+tblData[[#This Row],[Returns]]</f>
        <v>1650</v>
      </c>
      <c r="AG1565" s="74">
        <f>tblData[[#This Row],[Material Cost]]+tblData[[#This Row],[Conversion Cost]]+tblData[[#This Row],[Inbound Freight]]</f>
        <v>-705</v>
      </c>
      <c r="AH1565" s="74">
        <f>tblData[[#This Row],[Net Revenue]]+tblData[[#This Row],[COGS]]</f>
        <v>945</v>
      </c>
      <c r="AI1565" s="74">
        <f>tblData[[#This Row],[Advertising]]+tblData[[#This Row],[Promotions]]</f>
        <v>-229</v>
      </c>
      <c r="AJ1565" s="74">
        <f>tblData[[#This Row],[Outbound Logistics]]+tblData[[#This Row],[Direct Selling]]</f>
        <v>-149</v>
      </c>
      <c r="AK1565" s="74">
        <f>tblData[[#This Row],[Gross Profit]]+tblData[[#This Row],[AP Spend]]+tblData[[#This Row],[Cost to Serve]]</f>
        <v>567</v>
      </c>
    </row>
    <row r="1566" spans="2:37" x14ac:dyDescent="0.25">
      <c r="B1566" s="71" t="s">
        <v>36</v>
      </c>
      <c r="C1566" s="71">
        <v>2026</v>
      </c>
      <c r="D1566" s="71">
        <v>6</v>
      </c>
      <c r="E1566" s="71" t="s">
        <v>37</v>
      </c>
      <c r="F1566" s="71" t="s">
        <v>42</v>
      </c>
      <c r="G1566" s="72">
        <v>226.2</v>
      </c>
      <c r="H1566" s="73">
        <v>1352</v>
      </c>
      <c r="I1566" s="73">
        <v>-265</v>
      </c>
      <c r="J1566" s="73">
        <v>-20</v>
      </c>
      <c r="K1566" s="73">
        <v>-435</v>
      </c>
      <c r="L1566" s="73">
        <v>-107</v>
      </c>
      <c r="M1566" s="73">
        <v>-67</v>
      </c>
      <c r="N1566" s="73">
        <v>-28</v>
      </c>
      <c r="O1566" s="73">
        <v>-17</v>
      </c>
      <c r="P1566" s="73">
        <v>-56</v>
      </c>
      <c r="Q1566" s="73">
        <v>-41</v>
      </c>
      <c r="R1566" s="73">
        <v>0</v>
      </c>
      <c r="S1566" s="73">
        <v>0</v>
      </c>
      <c r="T1566" s="73">
        <v>0</v>
      </c>
      <c r="U1566" s="73">
        <v>0</v>
      </c>
      <c r="V1566" s="73">
        <v>0</v>
      </c>
      <c r="W1566" s="73">
        <v>0</v>
      </c>
      <c r="X1566" s="73">
        <v>0</v>
      </c>
      <c r="Y1566" s="73">
        <v>0</v>
      </c>
      <c r="Z1566" s="73">
        <v>1999</v>
      </c>
      <c r="AA1566" s="73">
        <v>2458</v>
      </c>
      <c r="AB1566" s="73">
        <v>0</v>
      </c>
      <c r="AC1566" s="73">
        <v>0</v>
      </c>
      <c r="AD1566" s="73">
        <v>0</v>
      </c>
      <c r="AE1566" s="73">
        <v>0</v>
      </c>
      <c r="AF1566" s="74">
        <f>tblData[[#This Row],[Gross Sales]]+tblData[[#This Row],[Trade Discounts]]+tblData[[#This Row],[Returns]]</f>
        <v>1067</v>
      </c>
      <c r="AG1566" s="74">
        <f>tblData[[#This Row],[Material Cost]]+tblData[[#This Row],[Conversion Cost]]+tblData[[#This Row],[Inbound Freight]]</f>
        <v>-609</v>
      </c>
      <c r="AH1566" s="74">
        <f>tblData[[#This Row],[Net Revenue]]+tblData[[#This Row],[COGS]]</f>
        <v>458</v>
      </c>
      <c r="AI1566" s="74">
        <f>tblData[[#This Row],[Advertising]]+tblData[[#This Row],[Promotions]]</f>
        <v>-45</v>
      </c>
      <c r="AJ1566" s="74">
        <f>tblData[[#This Row],[Outbound Logistics]]+tblData[[#This Row],[Direct Selling]]</f>
        <v>-97</v>
      </c>
      <c r="AK1566" s="74">
        <f>tblData[[#This Row],[Gross Profit]]+tblData[[#This Row],[AP Spend]]+tblData[[#This Row],[Cost to Serve]]</f>
        <v>316</v>
      </c>
    </row>
    <row r="1567" spans="2:37" x14ac:dyDescent="0.25">
      <c r="B1567" s="71" t="s">
        <v>36</v>
      </c>
      <c r="C1567" s="71">
        <v>2026</v>
      </c>
      <c r="D1567" s="71">
        <v>6</v>
      </c>
      <c r="E1567" s="71" t="s">
        <v>37</v>
      </c>
      <c r="F1567" s="71" t="s">
        <v>43</v>
      </c>
      <c r="G1567" s="72">
        <v>43</v>
      </c>
      <c r="H1567" s="73">
        <v>773</v>
      </c>
      <c r="I1567" s="73">
        <v>-152</v>
      </c>
      <c r="J1567" s="73">
        <v>-12</v>
      </c>
      <c r="K1567" s="73">
        <v>-215</v>
      </c>
      <c r="L1567" s="73">
        <v>-53</v>
      </c>
      <c r="M1567" s="73">
        <v>-33</v>
      </c>
      <c r="N1567" s="73">
        <v>-79</v>
      </c>
      <c r="O1567" s="73">
        <v>-46</v>
      </c>
      <c r="P1567" s="73">
        <v>-32</v>
      </c>
      <c r="Q1567" s="73">
        <v>-23</v>
      </c>
      <c r="R1567" s="73">
        <v>0</v>
      </c>
      <c r="S1567" s="73">
        <v>0</v>
      </c>
      <c r="T1567" s="73">
        <v>0</v>
      </c>
      <c r="U1567" s="73">
        <v>0</v>
      </c>
      <c r="V1567" s="73">
        <v>0</v>
      </c>
      <c r="W1567" s="73">
        <v>0</v>
      </c>
      <c r="X1567" s="73">
        <v>0</v>
      </c>
      <c r="Y1567" s="73">
        <v>0</v>
      </c>
      <c r="Z1567" s="73">
        <v>1134</v>
      </c>
      <c r="AA1567" s="73">
        <v>1214</v>
      </c>
      <c r="AB1567" s="73">
        <v>0</v>
      </c>
      <c r="AC1567" s="73">
        <v>0</v>
      </c>
      <c r="AD1567" s="73">
        <v>0</v>
      </c>
      <c r="AE1567" s="73">
        <v>0</v>
      </c>
      <c r="AF1567" s="74">
        <f>tblData[[#This Row],[Gross Sales]]+tblData[[#This Row],[Trade Discounts]]+tblData[[#This Row],[Returns]]</f>
        <v>609</v>
      </c>
      <c r="AG1567" s="74">
        <f>tblData[[#This Row],[Material Cost]]+tblData[[#This Row],[Conversion Cost]]+tblData[[#This Row],[Inbound Freight]]</f>
        <v>-301</v>
      </c>
      <c r="AH1567" s="74">
        <f>tblData[[#This Row],[Net Revenue]]+tblData[[#This Row],[COGS]]</f>
        <v>308</v>
      </c>
      <c r="AI1567" s="74">
        <f>tblData[[#This Row],[Advertising]]+tblData[[#This Row],[Promotions]]</f>
        <v>-125</v>
      </c>
      <c r="AJ1567" s="74">
        <f>tblData[[#This Row],[Outbound Logistics]]+tblData[[#This Row],[Direct Selling]]</f>
        <v>-55</v>
      </c>
      <c r="AK1567" s="74">
        <f>tblData[[#This Row],[Gross Profit]]+tblData[[#This Row],[AP Spend]]+tblData[[#This Row],[Cost to Serve]]</f>
        <v>128</v>
      </c>
    </row>
    <row r="1568" spans="2:37" x14ac:dyDescent="0.25">
      <c r="B1568" s="71" t="s">
        <v>36</v>
      </c>
      <c r="C1568" s="71">
        <v>2026</v>
      </c>
      <c r="D1568" s="71">
        <v>6</v>
      </c>
      <c r="E1568" s="71" t="s">
        <v>44</v>
      </c>
      <c r="F1568" s="71" t="s">
        <v>38</v>
      </c>
      <c r="G1568" s="72">
        <v>257.89999999999998</v>
      </c>
      <c r="H1568" s="73">
        <v>3647</v>
      </c>
      <c r="I1568" s="73">
        <v>-591</v>
      </c>
      <c r="J1568" s="73">
        <v>-44</v>
      </c>
      <c r="K1568" s="73">
        <v>-800</v>
      </c>
      <c r="L1568" s="73">
        <v>-197</v>
      </c>
      <c r="M1568" s="73">
        <v>-123</v>
      </c>
      <c r="N1568" s="73">
        <v>-189</v>
      </c>
      <c r="O1568" s="73">
        <v>-112</v>
      </c>
      <c r="P1568" s="73">
        <v>-150</v>
      </c>
      <c r="Q1568" s="73">
        <v>-109</v>
      </c>
      <c r="R1568" s="73">
        <v>0</v>
      </c>
      <c r="S1568" s="73">
        <v>0</v>
      </c>
      <c r="T1568" s="73">
        <v>0</v>
      </c>
      <c r="U1568" s="73">
        <v>0</v>
      </c>
      <c r="V1568" s="73">
        <v>0</v>
      </c>
      <c r="W1568" s="73">
        <v>0</v>
      </c>
      <c r="X1568" s="73">
        <v>0</v>
      </c>
      <c r="Y1568" s="73">
        <v>0</v>
      </c>
      <c r="Z1568" s="73">
        <v>5077</v>
      </c>
      <c r="AA1568" s="73">
        <v>3594</v>
      </c>
      <c r="AB1568" s="73">
        <v>0</v>
      </c>
      <c r="AC1568" s="73">
        <v>0</v>
      </c>
      <c r="AD1568" s="73">
        <v>0</v>
      </c>
      <c r="AE1568" s="73">
        <v>0</v>
      </c>
      <c r="AF1568" s="74">
        <f>tblData[[#This Row],[Gross Sales]]+tblData[[#This Row],[Trade Discounts]]+tblData[[#This Row],[Returns]]</f>
        <v>3012</v>
      </c>
      <c r="AG1568" s="74">
        <f>tblData[[#This Row],[Material Cost]]+tblData[[#This Row],[Conversion Cost]]+tblData[[#This Row],[Inbound Freight]]</f>
        <v>-1120</v>
      </c>
      <c r="AH1568" s="74">
        <f>tblData[[#This Row],[Net Revenue]]+tblData[[#This Row],[COGS]]</f>
        <v>1892</v>
      </c>
      <c r="AI1568" s="74">
        <f>tblData[[#This Row],[Advertising]]+tblData[[#This Row],[Promotions]]</f>
        <v>-301</v>
      </c>
      <c r="AJ1568" s="74">
        <f>tblData[[#This Row],[Outbound Logistics]]+tblData[[#This Row],[Direct Selling]]</f>
        <v>-259</v>
      </c>
      <c r="AK1568" s="74">
        <f>tblData[[#This Row],[Gross Profit]]+tblData[[#This Row],[AP Spend]]+tblData[[#This Row],[Cost to Serve]]</f>
        <v>1332</v>
      </c>
    </row>
    <row r="1569" spans="2:37" x14ac:dyDescent="0.25">
      <c r="B1569" s="71" t="s">
        <v>36</v>
      </c>
      <c r="C1569" s="71">
        <v>2026</v>
      </c>
      <c r="D1569" s="71">
        <v>6</v>
      </c>
      <c r="E1569" s="71" t="s">
        <v>44</v>
      </c>
      <c r="F1569" s="71" t="s">
        <v>39</v>
      </c>
      <c r="G1569" s="72">
        <v>330.5</v>
      </c>
      <c r="H1569" s="73">
        <v>2993</v>
      </c>
      <c r="I1569" s="73">
        <v>-485</v>
      </c>
      <c r="J1569" s="73">
        <v>-36</v>
      </c>
      <c r="K1569" s="73">
        <v>-787</v>
      </c>
      <c r="L1569" s="73">
        <v>-194</v>
      </c>
      <c r="M1569" s="73">
        <v>-121</v>
      </c>
      <c r="N1569" s="73">
        <v>-108</v>
      </c>
      <c r="O1569" s="73">
        <v>-64</v>
      </c>
      <c r="P1569" s="73">
        <v>-123</v>
      </c>
      <c r="Q1569" s="73">
        <v>-90</v>
      </c>
      <c r="R1569" s="73">
        <v>0</v>
      </c>
      <c r="S1569" s="73">
        <v>0</v>
      </c>
      <c r="T1569" s="73">
        <v>0</v>
      </c>
      <c r="U1569" s="73">
        <v>0</v>
      </c>
      <c r="V1569" s="73">
        <v>0</v>
      </c>
      <c r="W1569" s="73">
        <v>0</v>
      </c>
      <c r="X1569" s="73">
        <v>0</v>
      </c>
      <c r="Y1569" s="73">
        <v>0</v>
      </c>
      <c r="Z1569" s="73">
        <v>4228</v>
      </c>
      <c r="AA1569" s="73">
        <v>3059</v>
      </c>
      <c r="AB1569" s="73">
        <v>0</v>
      </c>
      <c r="AC1569" s="73">
        <v>0</v>
      </c>
      <c r="AD1569" s="73">
        <v>0</v>
      </c>
      <c r="AE1569" s="73">
        <v>0</v>
      </c>
      <c r="AF1569" s="74">
        <f>tblData[[#This Row],[Gross Sales]]+tblData[[#This Row],[Trade Discounts]]+tblData[[#This Row],[Returns]]</f>
        <v>2472</v>
      </c>
      <c r="AG1569" s="74">
        <f>tblData[[#This Row],[Material Cost]]+tblData[[#This Row],[Conversion Cost]]+tblData[[#This Row],[Inbound Freight]]</f>
        <v>-1102</v>
      </c>
      <c r="AH1569" s="74">
        <f>tblData[[#This Row],[Net Revenue]]+tblData[[#This Row],[COGS]]</f>
        <v>1370</v>
      </c>
      <c r="AI1569" s="74">
        <f>tblData[[#This Row],[Advertising]]+tblData[[#This Row],[Promotions]]</f>
        <v>-172</v>
      </c>
      <c r="AJ1569" s="74">
        <f>tblData[[#This Row],[Outbound Logistics]]+tblData[[#This Row],[Direct Selling]]</f>
        <v>-213</v>
      </c>
      <c r="AK1569" s="74">
        <f>tblData[[#This Row],[Gross Profit]]+tblData[[#This Row],[AP Spend]]+tblData[[#This Row],[Cost to Serve]]</f>
        <v>985</v>
      </c>
    </row>
    <row r="1570" spans="2:37" x14ac:dyDescent="0.25">
      <c r="B1570" s="71" t="s">
        <v>36</v>
      </c>
      <c r="C1570" s="71">
        <v>2026</v>
      </c>
      <c r="D1570" s="71">
        <v>6</v>
      </c>
      <c r="E1570" s="71" t="s">
        <v>44</v>
      </c>
      <c r="F1570" s="71" t="s">
        <v>40</v>
      </c>
      <c r="G1570" s="72">
        <v>318.7</v>
      </c>
      <c r="H1570" s="73">
        <v>2240</v>
      </c>
      <c r="I1570" s="73">
        <v>-363</v>
      </c>
      <c r="J1570" s="73">
        <v>-27</v>
      </c>
      <c r="K1570" s="73">
        <v>-655</v>
      </c>
      <c r="L1570" s="73">
        <v>-161</v>
      </c>
      <c r="M1570" s="73">
        <v>-100</v>
      </c>
      <c r="N1570" s="73">
        <v>-54</v>
      </c>
      <c r="O1570" s="73">
        <v>-32</v>
      </c>
      <c r="P1570" s="73">
        <v>-92</v>
      </c>
      <c r="Q1570" s="73">
        <v>-67</v>
      </c>
      <c r="R1570" s="73">
        <v>0</v>
      </c>
      <c r="S1570" s="73">
        <v>0</v>
      </c>
      <c r="T1570" s="73">
        <v>0</v>
      </c>
      <c r="U1570" s="73">
        <v>0</v>
      </c>
      <c r="V1570" s="73">
        <v>0</v>
      </c>
      <c r="W1570" s="73">
        <v>0</v>
      </c>
      <c r="X1570" s="73">
        <v>0</v>
      </c>
      <c r="Y1570" s="73">
        <v>0</v>
      </c>
      <c r="Z1570" s="73">
        <v>3151</v>
      </c>
      <c r="AA1570" s="73">
        <v>2385</v>
      </c>
      <c r="AB1570" s="73">
        <v>0</v>
      </c>
      <c r="AC1570" s="73">
        <v>0</v>
      </c>
      <c r="AD1570" s="73">
        <v>0</v>
      </c>
      <c r="AE1570" s="73">
        <v>0</v>
      </c>
      <c r="AF1570" s="74">
        <f>tblData[[#This Row],[Gross Sales]]+tblData[[#This Row],[Trade Discounts]]+tblData[[#This Row],[Returns]]</f>
        <v>1850</v>
      </c>
      <c r="AG1570" s="74">
        <f>tblData[[#This Row],[Material Cost]]+tblData[[#This Row],[Conversion Cost]]+tblData[[#This Row],[Inbound Freight]]</f>
        <v>-916</v>
      </c>
      <c r="AH1570" s="74">
        <f>tblData[[#This Row],[Net Revenue]]+tblData[[#This Row],[COGS]]</f>
        <v>934</v>
      </c>
      <c r="AI1570" s="74">
        <f>tblData[[#This Row],[Advertising]]+tblData[[#This Row],[Promotions]]</f>
        <v>-86</v>
      </c>
      <c r="AJ1570" s="74">
        <f>tblData[[#This Row],[Outbound Logistics]]+tblData[[#This Row],[Direct Selling]]</f>
        <v>-159</v>
      </c>
      <c r="AK1570" s="74">
        <f>tblData[[#This Row],[Gross Profit]]+tblData[[#This Row],[AP Spend]]+tblData[[#This Row],[Cost to Serve]]</f>
        <v>689</v>
      </c>
    </row>
    <row r="1571" spans="2:37" x14ac:dyDescent="0.25">
      <c r="B1571" s="71" t="s">
        <v>36</v>
      </c>
      <c r="C1571" s="71">
        <v>2026</v>
      </c>
      <c r="D1571" s="71">
        <v>6</v>
      </c>
      <c r="E1571" s="71" t="s">
        <v>44</v>
      </c>
      <c r="F1571" s="71" t="s">
        <v>41</v>
      </c>
      <c r="G1571" s="72">
        <v>160.1</v>
      </c>
      <c r="H1571" s="73">
        <v>1774</v>
      </c>
      <c r="I1571" s="73">
        <v>-287</v>
      </c>
      <c r="J1571" s="73">
        <v>-21</v>
      </c>
      <c r="K1571" s="73">
        <v>-428</v>
      </c>
      <c r="L1571" s="73">
        <v>-105</v>
      </c>
      <c r="M1571" s="73">
        <v>-66</v>
      </c>
      <c r="N1571" s="73">
        <v>-115</v>
      </c>
      <c r="O1571" s="73">
        <v>-68</v>
      </c>
      <c r="P1571" s="73">
        <v>-73</v>
      </c>
      <c r="Q1571" s="73">
        <v>-53</v>
      </c>
      <c r="R1571" s="73">
        <v>0</v>
      </c>
      <c r="S1571" s="73">
        <v>0</v>
      </c>
      <c r="T1571" s="73">
        <v>0</v>
      </c>
      <c r="U1571" s="73">
        <v>0</v>
      </c>
      <c r="V1571" s="73">
        <v>0</v>
      </c>
      <c r="W1571" s="73">
        <v>0</v>
      </c>
      <c r="X1571" s="73">
        <v>0</v>
      </c>
      <c r="Y1571" s="73">
        <v>0</v>
      </c>
      <c r="Z1571" s="73">
        <v>2462</v>
      </c>
      <c r="AA1571" s="73">
        <v>1822</v>
      </c>
      <c r="AB1571" s="73">
        <v>0</v>
      </c>
      <c r="AC1571" s="73">
        <v>0</v>
      </c>
      <c r="AD1571" s="73">
        <v>0</v>
      </c>
      <c r="AE1571" s="73">
        <v>0</v>
      </c>
      <c r="AF1571" s="74">
        <f>tblData[[#This Row],[Gross Sales]]+tblData[[#This Row],[Trade Discounts]]+tblData[[#This Row],[Returns]]</f>
        <v>1466</v>
      </c>
      <c r="AG1571" s="74">
        <f>tblData[[#This Row],[Material Cost]]+tblData[[#This Row],[Conversion Cost]]+tblData[[#This Row],[Inbound Freight]]</f>
        <v>-599</v>
      </c>
      <c r="AH1571" s="74">
        <f>tblData[[#This Row],[Net Revenue]]+tblData[[#This Row],[COGS]]</f>
        <v>867</v>
      </c>
      <c r="AI1571" s="74">
        <f>tblData[[#This Row],[Advertising]]+tblData[[#This Row],[Promotions]]</f>
        <v>-183</v>
      </c>
      <c r="AJ1571" s="74">
        <f>tblData[[#This Row],[Outbound Logistics]]+tblData[[#This Row],[Direct Selling]]</f>
        <v>-126</v>
      </c>
      <c r="AK1571" s="74">
        <f>tblData[[#This Row],[Gross Profit]]+tblData[[#This Row],[AP Spend]]+tblData[[#This Row],[Cost to Serve]]</f>
        <v>558</v>
      </c>
    </row>
    <row r="1572" spans="2:37" x14ac:dyDescent="0.25">
      <c r="B1572" s="71" t="s">
        <v>36</v>
      </c>
      <c r="C1572" s="71">
        <v>2026</v>
      </c>
      <c r="D1572" s="71">
        <v>6</v>
      </c>
      <c r="E1572" s="71" t="s">
        <v>44</v>
      </c>
      <c r="F1572" s="71" t="s">
        <v>42</v>
      </c>
      <c r="G1572" s="72">
        <v>190.7</v>
      </c>
      <c r="H1572" s="73">
        <v>1144</v>
      </c>
      <c r="I1572" s="73">
        <v>-185</v>
      </c>
      <c r="J1572" s="73">
        <v>-14</v>
      </c>
      <c r="K1572" s="73">
        <v>-368</v>
      </c>
      <c r="L1572" s="73">
        <v>-91</v>
      </c>
      <c r="M1572" s="73">
        <v>-56</v>
      </c>
      <c r="N1572" s="73">
        <v>-22</v>
      </c>
      <c r="O1572" s="73">
        <v>-13</v>
      </c>
      <c r="P1572" s="73">
        <v>-47</v>
      </c>
      <c r="Q1572" s="73">
        <v>-34</v>
      </c>
      <c r="R1572" s="73">
        <v>0</v>
      </c>
      <c r="S1572" s="73">
        <v>0</v>
      </c>
      <c r="T1572" s="73">
        <v>0</v>
      </c>
      <c r="U1572" s="73">
        <v>0</v>
      </c>
      <c r="V1572" s="73">
        <v>0</v>
      </c>
      <c r="W1572" s="73">
        <v>0</v>
      </c>
      <c r="X1572" s="73">
        <v>0</v>
      </c>
      <c r="Y1572" s="73">
        <v>0</v>
      </c>
      <c r="Z1572" s="73">
        <v>1638</v>
      </c>
      <c r="AA1572" s="73">
        <v>2105</v>
      </c>
      <c r="AB1572" s="73">
        <v>0</v>
      </c>
      <c r="AC1572" s="73">
        <v>0</v>
      </c>
      <c r="AD1572" s="73">
        <v>0</v>
      </c>
      <c r="AE1572" s="73">
        <v>0</v>
      </c>
      <c r="AF1572" s="74">
        <f>tblData[[#This Row],[Gross Sales]]+tblData[[#This Row],[Trade Discounts]]+tblData[[#This Row],[Returns]]</f>
        <v>945</v>
      </c>
      <c r="AG1572" s="74">
        <f>tblData[[#This Row],[Material Cost]]+tblData[[#This Row],[Conversion Cost]]+tblData[[#This Row],[Inbound Freight]]</f>
        <v>-515</v>
      </c>
      <c r="AH1572" s="74">
        <f>tblData[[#This Row],[Net Revenue]]+tblData[[#This Row],[COGS]]</f>
        <v>430</v>
      </c>
      <c r="AI1572" s="74">
        <f>tblData[[#This Row],[Advertising]]+tblData[[#This Row],[Promotions]]</f>
        <v>-35</v>
      </c>
      <c r="AJ1572" s="74">
        <f>tblData[[#This Row],[Outbound Logistics]]+tblData[[#This Row],[Direct Selling]]</f>
        <v>-81</v>
      </c>
      <c r="AK1572" s="74">
        <f>tblData[[#This Row],[Gross Profit]]+tblData[[#This Row],[AP Spend]]+tblData[[#This Row],[Cost to Serve]]</f>
        <v>314</v>
      </c>
    </row>
    <row r="1573" spans="2:37" x14ac:dyDescent="0.25">
      <c r="B1573" s="71" t="s">
        <v>36</v>
      </c>
      <c r="C1573" s="71">
        <v>2026</v>
      </c>
      <c r="D1573" s="71">
        <v>6</v>
      </c>
      <c r="E1573" s="71" t="s">
        <v>44</v>
      </c>
      <c r="F1573" s="71" t="s">
        <v>43</v>
      </c>
      <c r="G1573" s="72">
        <v>36.1</v>
      </c>
      <c r="H1573" s="73">
        <v>652</v>
      </c>
      <c r="I1573" s="73">
        <v>-106</v>
      </c>
      <c r="J1573" s="73">
        <v>-8</v>
      </c>
      <c r="K1573" s="73">
        <v>-181</v>
      </c>
      <c r="L1573" s="73">
        <v>-45</v>
      </c>
      <c r="M1573" s="73">
        <v>-28</v>
      </c>
      <c r="N1573" s="73">
        <v>-63</v>
      </c>
      <c r="O1573" s="73">
        <v>-37</v>
      </c>
      <c r="P1573" s="73">
        <v>-27</v>
      </c>
      <c r="Q1573" s="73">
        <v>-20</v>
      </c>
      <c r="R1573" s="73">
        <v>0</v>
      </c>
      <c r="S1573" s="73">
        <v>0</v>
      </c>
      <c r="T1573" s="73">
        <v>0</v>
      </c>
      <c r="U1573" s="73">
        <v>0</v>
      </c>
      <c r="V1573" s="73">
        <v>0</v>
      </c>
      <c r="W1573" s="73">
        <v>0</v>
      </c>
      <c r="X1573" s="73">
        <v>0</v>
      </c>
      <c r="Y1573" s="73">
        <v>0</v>
      </c>
      <c r="Z1573" s="73">
        <v>915</v>
      </c>
      <c r="AA1573" s="73">
        <v>1024</v>
      </c>
      <c r="AB1573" s="73">
        <v>0</v>
      </c>
      <c r="AC1573" s="73">
        <v>0</v>
      </c>
      <c r="AD1573" s="73">
        <v>0</v>
      </c>
      <c r="AE1573" s="73">
        <v>0</v>
      </c>
      <c r="AF1573" s="74">
        <f>tblData[[#This Row],[Gross Sales]]+tblData[[#This Row],[Trade Discounts]]+tblData[[#This Row],[Returns]]</f>
        <v>538</v>
      </c>
      <c r="AG1573" s="74">
        <f>tblData[[#This Row],[Material Cost]]+tblData[[#This Row],[Conversion Cost]]+tblData[[#This Row],[Inbound Freight]]</f>
        <v>-254</v>
      </c>
      <c r="AH1573" s="74">
        <f>tblData[[#This Row],[Net Revenue]]+tblData[[#This Row],[COGS]]</f>
        <v>284</v>
      </c>
      <c r="AI1573" s="74">
        <f>tblData[[#This Row],[Advertising]]+tblData[[#This Row],[Promotions]]</f>
        <v>-100</v>
      </c>
      <c r="AJ1573" s="74">
        <f>tblData[[#This Row],[Outbound Logistics]]+tblData[[#This Row],[Direct Selling]]</f>
        <v>-47</v>
      </c>
      <c r="AK1573" s="74">
        <f>tblData[[#This Row],[Gross Profit]]+tblData[[#This Row],[AP Spend]]+tblData[[#This Row],[Cost to Serve]]</f>
        <v>137</v>
      </c>
    </row>
    <row r="1574" spans="2:37" x14ac:dyDescent="0.25">
      <c r="B1574" s="71" t="s">
        <v>36</v>
      </c>
      <c r="C1574" s="71">
        <v>2026</v>
      </c>
      <c r="D1574" s="71">
        <v>6</v>
      </c>
      <c r="E1574" s="71" t="s">
        <v>45</v>
      </c>
      <c r="F1574" s="71" t="s">
        <v>38</v>
      </c>
      <c r="G1574" s="72">
        <v>143.80000000000001</v>
      </c>
      <c r="H1574" s="73">
        <v>2009</v>
      </c>
      <c r="I1574" s="73">
        <v>-466</v>
      </c>
      <c r="J1574" s="73">
        <v>-20</v>
      </c>
      <c r="K1574" s="73">
        <v>-440</v>
      </c>
      <c r="L1574" s="73">
        <v>-108</v>
      </c>
      <c r="M1574" s="73">
        <v>-68</v>
      </c>
      <c r="N1574" s="73">
        <v>-110</v>
      </c>
      <c r="O1574" s="73">
        <v>-65</v>
      </c>
      <c r="P1574" s="73">
        <v>-72</v>
      </c>
      <c r="Q1574" s="73">
        <v>-40</v>
      </c>
      <c r="R1574" s="73">
        <v>0</v>
      </c>
      <c r="S1574" s="73">
        <v>0</v>
      </c>
      <c r="T1574" s="73">
        <v>0</v>
      </c>
      <c r="U1574" s="73">
        <v>0</v>
      </c>
      <c r="V1574" s="73">
        <v>0</v>
      </c>
      <c r="W1574" s="73">
        <v>0</v>
      </c>
      <c r="X1574" s="73">
        <v>0</v>
      </c>
      <c r="Y1574" s="73">
        <v>0</v>
      </c>
      <c r="Z1574" s="73">
        <v>2376</v>
      </c>
      <c r="AA1574" s="73">
        <v>2024</v>
      </c>
      <c r="AB1574" s="73">
        <v>0</v>
      </c>
      <c r="AC1574" s="73">
        <v>0</v>
      </c>
      <c r="AD1574" s="73">
        <v>0</v>
      </c>
      <c r="AE1574" s="73">
        <v>0</v>
      </c>
      <c r="AF1574" s="74">
        <f>tblData[[#This Row],[Gross Sales]]+tblData[[#This Row],[Trade Discounts]]+tblData[[#This Row],[Returns]]</f>
        <v>1523</v>
      </c>
      <c r="AG1574" s="74">
        <f>tblData[[#This Row],[Material Cost]]+tblData[[#This Row],[Conversion Cost]]+tblData[[#This Row],[Inbound Freight]]</f>
        <v>-616</v>
      </c>
      <c r="AH1574" s="74">
        <f>tblData[[#This Row],[Net Revenue]]+tblData[[#This Row],[COGS]]</f>
        <v>907</v>
      </c>
      <c r="AI1574" s="74">
        <f>tblData[[#This Row],[Advertising]]+tblData[[#This Row],[Promotions]]</f>
        <v>-175</v>
      </c>
      <c r="AJ1574" s="74">
        <f>tblData[[#This Row],[Outbound Logistics]]+tblData[[#This Row],[Direct Selling]]</f>
        <v>-112</v>
      </c>
      <c r="AK1574" s="74">
        <f>tblData[[#This Row],[Gross Profit]]+tblData[[#This Row],[AP Spend]]+tblData[[#This Row],[Cost to Serve]]</f>
        <v>620</v>
      </c>
    </row>
    <row r="1575" spans="2:37" x14ac:dyDescent="0.25">
      <c r="B1575" s="71" t="s">
        <v>36</v>
      </c>
      <c r="C1575" s="71">
        <v>2026</v>
      </c>
      <c r="D1575" s="71">
        <v>6</v>
      </c>
      <c r="E1575" s="71" t="s">
        <v>45</v>
      </c>
      <c r="F1575" s="71" t="s">
        <v>39</v>
      </c>
      <c r="G1575" s="72">
        <v>193.6</v>
      </c>
      <c r="H1575" s="73">
        <v>1732</v>
      </c>
      <c r="I1575" s="73">
        <v>-402</v>
      </c>
      <c r="J1575" s="73">
        <v>-17</v>
      </c>
      <c r="K1575" s="73">
        <v>-456</v>
      </c>
      <c r="L1575" s="73">
        <v>-112</v>
      </c>
      <c r="M1575" s="73">
        <v>-70</v>
      </c>
      <c r="N1575" s="73">
        <v>-63</v>
      </c>
      <c r="O1575" s="73">
        <v>-37</v>
      </c>
      <c r="P1575" s="73">
        <v>-62</v>
      </c>
      <c r="Q1575" s="73">
        <v>-35</v>
      </c>
      <c r="R1575" s="73">
        <v>0</v>
      </c>
      <c r="S1575" s="73">
        <v>0</v>
      </c>
      <c r="T1575" s="73">
        <v>0</v>
      </c>
      <c r="U1575" s="73">
        <v>0</v>
      </c>
      <c r="V1575" s="73">
        <v>0</v>
      </c>
      <c r="W1575" s="73">
        <v>0</v>
      </c>
      <c r="X1575" s="73">
        <v>0</v>
      </c>
      <c r="Y1575" s="73">
        <v>0</v>
      </c>
      <c r="Z1575" s="73">
        <v>2002</v>
      </c>
      <c r="AA1575" s="73">
        <v>1742</v>
      </c>
      <c r="AB1575" s="73">
        <v>0</v>
      </c>
      <c r="AC1575" s="73">
        <v>0</v>
      </c>
      <c r="AD1575" s="73">
        <v>0</v>
      </c>
      <c r="AE1575" s="73">
        <v>0</v>
      </c>
      <c r="AF1575" s="74">
        <f>tblData[[#This Row],[Gross Sales]]+tblData[[#This Row],[Trade Discounts]]+tblData[[#This Row],[Returns]]</f>
        <v>1313</v>
      </c>
      <c r="AG1575" s="74">
        <f>tblData[[#This Row],[Material Cost]]+tblData[[#This Row],[Conversion Cost]]+tblData[[#This Row],[Inbound Freight]]</f>
        <v>-638</v>
      </c>
      <c r="AH1575" s="74">
        <f>tblData[[#This Row],[Net Revenue]]+tblData[[#This Row],[COGS]]</f>
        <v>675</v>
      </c>
      <c r="AI1575" s="74">
        <f>tblData[[#This Row],[Advertising]]+tblData[[#This Row],[Promotions]]</f>
        <v>-100</v>
      </c>
      <c r="AJ1575" s="74">
        <f>tblData[[#This Row],[Outbound Logistics]]+tblData[[#This Row],[Direct Selling]]</f>
        <v>-97</v>
      </c>
      <c r="AK1575" s="74">
        <f>tblData[[#This Row],[Gross Profit]]+tblData[[#This Row],[AP Spend]]+tblData[[#This Row],[Cost to Serve]]</f>
        <v>478</v>
      </c>
    </row>
    <row r="1576" spans="2:37" x14ac:dyDescent="0.25">
      <c r="B1576" s="71" t="s">
        <v>36</v>
      </c>
      <c r="C1576" s="71">
        <v>2026</v>
      </c>
      <c r="D1576" s="71">
        <v>6</v>
      </c>
      <c r="E1576" s="71" t="s">
        <v>45</v>
      </c>
      <c r="F1576" s="71" t="s">
        <v>40</v>
      </c>
      <c r="G1576" s="72">
        <v>179.8</v>
      </c>
      <c r="H1576" s="73">
        <v>1249</v>
      </c>
      <c r="I1576" s="73">
        <v>-290</v>
      </c>
      <c r="J1576" s="73">
        <v>-12</v>
      </c>
      <c r="K1576" s="73">
        <v>-365</v>
      </c>
      <c r="L1576" s="73">
        <v>-90</v>
      </c>
      <c r="M1576" s="73">
        <v>-56</v>
      </c>
      <c r="N1576" s="73">
        <v>-31</v>
      </c>
      <c r="O1576" s="73">
        <v>-19</v>
      </c>
      <c r="P1576" s="73">
        <v>-45</v>
      </c>
      <c r="Q1576" s="73">
        <v>-25</v>
      </c>
      <c r="R1576" s="73">
        <v>0</v>
      </c>
      <c r="S1576" s="73">
        <v>0</v>
      </c>
      <c r="T1576" s="73">
        <v>0</v>
      </c>
      <c r="U1576" s="73">
        <v>0</v>
      </c>
      <c r="V1576" s="73">
        <v>0</v>
      </c>
      <c r="W1576" s="73">
        <v>0</v>
      </c>
      <c r="X1576" s="73">
        <v>0</v>
      </c>
      <c r="Y1576" s="73">
        <v>0</v>
      </c>
      <c r="Z1576" s="73">
        <v>1456</v>
      </c>
      <c r="AA1576" s="73">
        <v>1326</v>
      </c>
      <c r="AB1576" s="73">
        <v>0</v>
      </c>
      <c r="AC1576" s="73">
        <v>0</v>
      </c>
      <c r="AD1576" s="73">
        <v>0</v>
      </c>
      <c r="AE1576" s="73">
        <v>0</v>
      </c>
      <c r="AF1576" s="74">
        <f>tblData[[#This Row],[Gross Sales]]+tblData[[#This Row],[Trade Discounts]]+tblData[[#This Row],[Returns]]</f>
        <v>947</v>
      </c>
      <c r="AG1576" s="74">
        <f>tblData[[#This Row],[Material Cost]]+tblData[[#This Row],[Conversion Cost]]+tblData[[#This Row],[Inbound Freight]]</f>
        <v>-511</v>
      </c>
      <c r="AH1576" s="74">
        <f>tblData[[#This Row],[Net Revenue]]+tblData[[#This Row],[COGS]]</f>
        <v>436</v>
      </c>
      <c r="AI1576" s="74">
        <f>tblData[[#This Row],[Advertising]]+tblData[[#This Row],[Promotions]]</f>
        <v>-50</v>
      </c>
      <c r="AJ1576" s="74">
        <f>tblData[[#This Row],[Outbound Logistics]]+tblData[[#This Row],[Direct Selling]]</f>
        <v>-70</v>
      </c>
      <c r="AK1576" s="74">
        <f>tblData[[#This Row],[Gross Profit]]+tblData[[#This Row],[AP Spend]]+tblData[[#This Row],[Cost to Serve]]</f>
        <v>316</v>
      </c>
    </row>
    <row r="1577" spans="2:37" x14ac:dyDescent="0.25">
      <c r="B1577" s="71" t="s">
        <v>36</v>
      </c>
      <c r="C1577" s="71">
        <v>2026</v>
      </c>
      <c r="D1577" s="71">
        <v>6</v>
      </c>
      <c r="E1577" s="71" t="s">
        <v>45</v>
      </c>
      <c r="F1577" s="71" t="s">
        <v>41</v>
      </c>
      <c r="G1577" s="72">
        <v>87.9</v>
      </c>
      <c r="H1577" s="73">
        <v>962</v>
      </c>
      <c r="I1577" s="73">
        <v>-223</v>
      </c>
      <c r="J1577" s="73">
        <v>-10</v>
      </c>
      <c r="K1577" s="73">
        <v>-232</v>
      </c>
      <c r="L1577" s="73">
        <v>-57</v>
      </c>
      <c r="M1577" s="73">
        <v>-36</v>
      </c>
      <c r="N1577" s="73">
        <v>-67</v>
      </c>
      <c r="O1577" s="73">
        <v>-40</v>
      </c>
      <c r="P1577" s="73">
        <v>-35</v>
      </c>
      <c r="Q1577" s="73">
        <v>-19</v>
      </c>
      <c r="R1577" s="73">
        <v>0</v>
      </c>
      <c r="S1577" s="73">
        <v>0</v>
      </c>
      <c r="T1577" s="73">
        <v>0</v>
      </c>
      <c r="U1577" s="73">
        <v>0</v>
      </c>
      <c r="V1577" s="73">
        <v>0</v>
      </c>
      <c r="W1577" s="73">
        <v>0</v>
      </c>
      <c r="X1577" s="73">
        <v>0</v>
      </c>
      <c r="Y1577" s="73">
        <v>0</v>
      </c>
      <c r="Z1577" s="73">
        <v>1138</v>
      </c>
      <c r="AA1577" s="73">
        <v>1014</v>
      </c>
      <c r="AB1577" s="73">
        <v>0</v>
      </c>
      <c r="AC1577" s="73">
        <v>0</v>
      </c>
      <c r="AD1577" s="73">
        <v>0</v>
      </c>
      <c r="AE1577" s="73">
        <v>0</v>
      </c>
      <c r="AF1577" s="74">
        <f>tblData[[#This Row],[Gross Sales]]+tblData[[#This Row],[Trade Discounts]]+tblData[[#This Row],[Returns]]</f>
        <v>729</v>
      </c>
      <c r="AG1577" s="74">
        <f>tblData[[#This Row],[Material Cost]]+tblData[[#This Row],[Conversion Cost]]+tblData[[#This Row],[Inbound Freight]]</f>
        <v>-325</v>
      </c>
      <c r="AH1577" s="74">
        <f>tblData[[#This Row],[Net Revenue]]+tblData[[#This Row],[COGS]]</f>
        <v>404</v>
      </c>
      <c r="AI1577" s="74">
        <f>tblData[[#This Row],[Advertising]]+tblData[[#This Row],[Promotions]]</f>
        <v>-107</v>
      </c>
      <c r="AJ1577" s="74">
        <f>tblData[[#This Row],[Outbound Logistics]]+tblData[[#This Row],[Direct Selling]]</f>
        <v>-54</v>
      </c>
      <c r="AK1577" s="74">
        <f>tblData[[#This Row],[Gross Profit]]+tblData[[#This Row],[AP Spend]]+tblData[[#This Row],[Cost to Serve]]</f>
        <v>243</v>
      </c>
    </row>
    <row r="1578" spans="2:37" x14ac:dyDescent="0.25">
      <c r="B1578" s="71" t="s">
        <v>36</v>
      </c>
      <c r="C1578" s="71">
        <v>2026</v>
      </c>
      <c r="D1578" s="71">
        <v>6</v>
      </c>
      <c r="E1578" s="71" t="s">
        <v>45</v>
      </c>
      <c r="F1578" s="71" t="s">
        <v>42</v>
      </c>
      <c r="G1578" s="72">
        <v>108.4</v>
      </c>
      <c r="H1578" s="73">
        <v>643</v>
      </c>
      <c r="I1578" s="73">
        <v>-149</v>
      </c>
      <c r="J1578" s="73">
        <v>-6</v>
      </c>
      <c r="K1578" s="73">
        <v>-207</v>
      </c>
      <c r="L1578" s="73">
        <v>-51</v>
      </c>
      <c r="M1578" s="73">
        <v>-32</v>
      </c>
      <c r="N1578" s="73">
        <v>-13</v>
      </c>
      <c r="O1578" s="73">
        <v>-8</v>
      </c>
      <c r="P1578" s="73">
        <v>-23</v>
      </c>
      <c r="Q1578" s="73">
        <v>-13</v>
      </c>
      <c r="R1578" s="73">
        <v>0</v>
      </c>
      <c r="S1578" s="73">
        <v>0</v>
      </c>
      <c r="T1578" s="73">
        <v>0</v>
      </c>
      <c r="U1578" s="73">
        <v>0</v>
      </c>
      <c r="V1578" s="73">
        <v>0</v>
      </c>
      <c r="W1578" s="73">
        <v>0</v>
      </c>
      <c r="X1578" s="73">
        <v>0</v>
      </c>
      <c r="Y1578" s="73">
        <v>0</v>
      </c>
      <c r="Z1578" s="73">
        <v>744</v>
      </c>
      <c r="AA1578" s="73">
        <v>1151</v>
      </c>
      <c r="AB1578" s="73">
        <v>0</v>
      </c>
      <c r="AC1578" s="73">
        <v>0</v>
      </c>
      <c r="AD1578" s="73">
        <v>0</v>
      </c>
      <c r="AE1578" s="73">
        <v>0</v>
      </c>
      <c r="AF1578" s="74">
        <f>tblData[[#This Row],[Gross Sales]]+tblData[[#This Row],[Trade Discounts]]+tblData[[#This Row],[Returns]]</f>
        <v>488</v>
      </c>
      <c r="AG1578" s="74">
        <f>tblData[[#This Row],[Material Cost]]+tblData[[#This Row],[Conversion Cost]]+tblData[[#This Row],[Inbound Freight]]</f>
        <v>-290</v>
      </c>
      <c r="AH1578" s="74">
        <f>tblData[[#This Row],[Net Revenue]]+tblData[[#This Row],[COGS]]</f>
        <v>198</v>
      </c>
      <c r="AI1578" s="74">
        <f>tblData[[#This Row],[Advertising]]+tblData[[#This Row],[Promotions]]</f>
        <v>-21</v>
      </c>
      <c r="AJ1578" s="74">
        <f>tblData[[#This Row],[Outbound Logistics]]+tblData[[#This Row],[Direct Selling]]</f>
        <v>-36</v>
      </c>
      <c r="AK1578" s="74">
        <f>tblData[[#This Row],[Gross Profit]]+tblData[[#This Row],[AP Spend]]+tblData[[#This Row],[Cost to Serve]]</f>
        <v>141</v>
      </c>
    </row>
    <row r="1579" spans="2:37" x14ac:dyDescent="0.25">
      <c r="B1579" s="71" t="s">
        <v>36</v>
      </c>
      <c r="C1579" s="71">
        <v>2026</v>
      </c>
      <c r="D1579" s="71">
        <v>6</v>
      </c>
      <c r="E1579" s="71" t="s">
        <v>45</v>
      </c>
      <c r="F1579" s="71" t="s">
        <v>43</v>
      </c>
      <c r="G1579" s="72">
        <v>20.2</v>
      </c>
      <c r="H1579" s="73">
        <v>361</v>
      </c>
      <c r="I1579" s="73">
        <v>-84</v>
      </c>
      <c r="J1579" s="73">
        <v>-4</v>
      </c>
      <c r="K1579" s="73">
        <v>-100</v>
      </c>
      <c r="L1579" s="73">
        <v>-25</v>
      </c>
      <c r="M1579" s="73">
        <v>-15</v>
      </c>
      <c r="N1579" s="73">
        <v>-37</v>
      </c>
      <c r="O1579" s="73">
        <v>-22</v>
      </c>
      <c r="P1579" s="73">
        <v>-13</v>
      </c>
      <c r="Q1579" s="73">
        <v>-7</v>
      </c>
      <c r="R1579" s="73">
        <v>0</v>
      </c>
      <c r="S1579" s="73">
        <v>0</v>
      </c>
      <c r="T1579" s="73">
        <v>0</v>
      </c>
      <c r="U1579" s="73">
        <v>0</v>
      </c>
      <c r="V1579" s="73">
        <v>0</v>
      </c>
      <c r="W1579" s="73">
        <v>0</v>
      </c>
      <c r="X1579" s="73">
        <v>0</v>
      </c>
      <c r="Y1579" s="73">
        <v>0</v>
      </c>
      <c r="Z1579" s="73">
        <v>428</v>
      </c>
      <c r="AA1579" s="73">
        <v>576</v>
      </c>
      <c r="AB1579" s="73">
        <v>0</v>
      </c>
      <c r="AC1579" s="73">
        <v>0</v>
      </c>
      <c r="AD1579" s="73">
        <v>0</v>
      </c>
      <c r="AE1579" s="73">
        <v>0</v>
      </c>
      <c r="AF1579" s="74">
        <f>tblData[[#This Row],[Gross Sales]]+tblData[[#This Row],[Trade Discounts]]+tblData[[#This Row],[Returns]]</f>
        <v>273</v>
      </c>
      <c r="AG1579" s="74">
        <f>tblData[[#This Row],[Material Cost]]+tblData[[#This Row],[Conversion Cost]]+tblData[[#This Row],[Inbound Freight]]</f>
        <v>-140</v>
      </c>
      <c r="AH1579" s="74">
        <f>tblData[[#This Row],[Net Revenue]]+tblData[[#This Row],[COGS]]</f>
        <v>133</v>
      </c>
      <c r="AI1579" s="74">
        <f>tblData[[#This Row],[Advertising]]+tblData[[#This Row],[Promotions]]</f>
        <v>-59</v>
      </c>
      <c r="AJ1579" s="74">
        <f>tblData[[#This Row],[Outbound Logistics]]+tblData[[#This Row],[Direct Selling]]</f>
        <v>-20</v>
      </c>
      <c r="AK1579" s="74">
        <f>tblData[[#This Row],[Gross Profit]]+tblData[[#This Row],[AP Spend]]+tblData[[#This Row],[Cost to Serve]]</f>
        <v>54</v>
      </c>
    </row>
    <row r="1580" spans="2:37" x14ac:dyDescent="0.25">
      <c r="B1580" s="71" t="s">
        <v>36</v>
      </c>
      <c r="C1580" s="71">
        <v>2026</v>
      </c>
      <c r="D1580" s="71">
        <v>6</v>
      </c>
      <c r="E1580" s="71" t="s">
        <v>46</v>
      </c>
      <c r="F1580" s="71" t="s">
        <v>38</v>
      </c>
      <c r="G1580" s="72">
        <v>180.3</v>
      </c>
      <c r="H1580" s="73">
        <v>2545</v>
      </c>
      <c r="I1580" s="73">
        <v>-275</v>
      </c>
      <c r="J1580" s="73">
        <v>-102</v>
      </c>
      <c r="K1580" s="73">
        <v>-558</v>
      </c>
      <c r="L1580" s="73">
        <v>-137</v>
      </c>
      <c r="M1580" s="73">
        <v>-85</v>
      </c>
      <c r="N1580" s="73">
        <v>-126</v>
      </c>
      <c r="O1580" s="73">
        <v>-74</v>
      </c>
      <c r="P1580" s="73">
        <v>-197</v>
      </c>
      <c r="Q1580" s="73">
        <v>-51</v>
      </c>
      <c r="R1580" s="73">
        <v>0</v>
      </c>
      <c r="S1580" s="73">
        <v>0</v>
      </c>
      <c r="T1580" s="73">
        <v>0</v>
      </c>
      <c r="U1580" s="73">
        <v>0</v>
      </c>
      <c r="V1580" s="73">
        <v>0</v>
      </c>
      <c r="W1580" s="73">
        <v>0</v>
      </c>
      <c r="X1580" s="73">
        <v>0</v>
      </c>
      <c r="Y1580" s="73">
        <v>0</v>
      </c>
      <c r="Z1580" s="73">
        <v>1971</v>
      </c>
      <c r="AA1580" s="73">
        <v>2561</v>
      </c>
      <c r="AB1580" s="73">
        <v>0</v>
      </c>
      <c r="AC1580" s="73">
        <v>0</v>
      </c>
      <c r="AD1580" s="73">
        <v>0</v>
      </c>
      <c r="AE1580" s="73">
        <v>0</v>
      </c>
      <c r="AF1580" s="74">
        <f>tblData[[#This Row],[Gross Sales]]+tblData[[#This Row],[Trade Discounts]]+tblData[[#This Row],[Returns]]</f>
        <v>2168</v>
      </c>
      <c r="AG1580" s="74">
        <f>tblData[[#This Row],[Material Cost]]+tblData[[#This Row],[Conversion Cost]]+tblData[[#This Row],[Inbound Freight]]</f>
        <v>-780</v>
      </c>
      <c r="AH1580" s="74">
        <f>tblData[[#This Row],[Net Revenue]]+tblData[[#This Row],[COGS]]</f>
        <v>1388</v>
      </c>
      <c r="AI1580" s="74">
        <f>tblData[[#This Row],[Advertising]]+tblData[[#This Row],[Promotions]]</f>
        <v>-200</v>
      </c>
      <c r="AJ1580" s="74">
        <f>tblData[[#This Row],[Outbound Logistics]]+tblData[[#This Row],[Direct Selling]]</f>
        <v>-248</v>
      </c>
      <c r="AK1580" s="74">
        <f>tblData[[#This Row],[Gross Profit]]+tblData[[#This Row],[AP Spend]]+tblData[[#This Row],[Cost to Serve]]</f>
        <v>940</v>
      </c>
    </row>
    <row r="1581" spans="2:37" x14ac:dyDescent="0.25">
      <c r="B1581" s="71" t="s">
        <v>36</v>
      </c>
      <c r="C1581" s="71">
        <v>2026</v>
      </c>
      <c r="D1581" s="71">
        <v>6</v>
      </c>
      <c r="E1581" s="71" t="s">
        <v>46</v>
      </c>
      <c r="F1581" s="71" t="s">
        <v>39</v>
      </c>
      <c r="G1581" s="72">
        <v>247.1</v>
      </c>
      <c r="H1581" s="73">
        <v>2233</v>
      </c>
      <c r="I1581" s="73">
        <v>-241</v>
      </c>
      <c r="J1581" s="73">
        <v>-89</v>
      </c>
      <c r="K1581" s="73">
        <v>-587</v>
      </c>
      <c r="L1581" s="73">
        <v>-145</v>
      </c>
      <c r="M1581" s="73">
        <v>-90</v>
      </c>
      <c r="N1581" s="73">
        <v>-72</v>
      </c>
      <c r="O1581" s="73">
        <v>-42</v>
      </c>
      <c r="P1581" s="73">
        <v>-172</v>
      </c>
      <c r="Q1581" s="73">
        <v>-45</v>
      </c>
      <c r="R1581" s="73">
        <v>0</v>
      </c>
      <c r="S1581" s="73">
        <v>0</v>
      </c>
      <c r="T1581" s="73">
        <v>0</v>
      </c>
      <c r="U1581" s="73">
        <v>0</v>
      </c>
      <c r="V1581" s="73">
        <v>0</v>
      </c>
      <c r="W1581" s="73">
        <v>0</v>
      </c>
      <c r="X1581" s="73">
        <v>0</v>
      </c>
      <c r="Y1581" s="73">
        <v>0</v>
      </c>
      <c r="Z1581" s="73">
        <v>1690</v>
      </c>
      <c r="AA1581" s="73">
        <v>2243</v>
      </c>
      <c r="AB1581" s="73">
        <v>0</v>
      </c>
      <c r="AC1581" s="73">
        <v>0</v>
      </c>
      <c r="AD1581" s="73">
        <v>0</v>
      </c>
      <c r="AE1581" s="73">
        <v>0</v>
      </c>
      <c r="AF1581" s="74">
        <f>tblData[[#This Row],[Gross Sales]]+tblData[[#This Row],[Trade Discounts]]+tblData[[#This Row],[Returns]]</f>
        <v>1903</v>
      </c>
      <c r="AG1581" s="74">
        <f>tblData[[#This Row],[Material Cost]]+tblData[[#This Row],[Conversion Cost]]+tblData[[#This Row],[Inbound Freight]]</f>
        <v>-822</v>
      </c>
      <c r="AH1581" s="74">
        <f>tblData[[#This Row],[Net Revenue]]+tblData[[#This Row],[COGS]]</f>
        <v>1081</v>
      </c>
      <c r="AI1581" s="74">
        <f>tblData[[#This Row],[Advertising]]+tblData[[#This Row],[Promotions]]</f>
        <v>-114</v>
      </c>
      <c r="AJ1581" s="74">
        <f>tblData[[#This Row],[Outbound Logistics]]+tblData[[#This Row],[Direct Selling]]</f>
        <v>-217</v>
      </c>
      <c r="AK1581" s="74">
        <f>tblData[[#This Row],[Gross Profit]]+tblData[[#This Row],[AP Spend]]+tblData[[#This Row],[Cost to Serve]]</f>
        <v>750</v>
      </c>
    </row>
    <row r="1582" spans="2:37" x14ac:dyDescent="0.25">
      <c r="B1582" s="71" t="s">
        <v>36</v>
      </c>
      <c r="C1582" s="71">
        <v>2026</v>
      </c>
      <c r="D1582" s="71">
        <v>6</v>
      </c>
      <c r="E1582" s="71" t="s">
        <v>46</v>
      </c>
      <c r="F1582" s="71" t="s">
        <v>40</v>
      </c>
      <c r="G1582" s="72">
        <v>229.1</v>
      </c>
      <c r="H1582" s="73">
        <v>1607</v>
      </c>
      <c r="I1582" s="73">
        <v>-174</v>
      </c>
      <c r="J1582" s="73">
        <v>-64</v>
      </c>
      <c r="K1582" s="73">
        <v>-470</v>
      </c>
      <c r="L1582" s="73">
        <v>-116</v>
      </c>
      <c r="M1582" s="73">
        <v>-72</v>
      </c>
      <c r="N1582" s="73">
        <v>-36</v>
      </c>
      <c r="O1582" s="73">
        <v>-21</v>
      </c>
      <c r="P1582" s="73">
        <v>-124</v>
      </c>
      <c r="Q1582" s="73">
        <v>-32</v>
      </c>
      <c r="R1582" s="73">
        <v>0</v>
      </c>
      <c r="S1582" s="73">
        <v>0</v>
      </c>
      <c r="T1582" s="73">
        <v>0</v>
      </c>
      <c r="U1582" s="73">
        <v>0</v>
      </c>
      <c r="V1582" s="73">
        <v>0</v>
      </c>
      <c r="W1582" s="73">
        <v>0</v>
      </c>
      <c r="X1582" s="73">
        <v>0</v>
      </c>
      <c r="Y1582" s="73">
        <v>0</v>
      </c>
      <c r="Z1582" s="73">
        <v>1208</v>
      </c>
      <c r="AA1582" s="73">
        <v>1678</v>
      </c>
      <c r="AB1582" s="73">
        <v>0</v>
      </c>
      <c r="AC1582" s="73">
        <v>0</v>
      </c>
      <c r="AD1582" s="73">
        <v>0</v>
      </c>
      <c r="AE1582" s="73">
        <v>0</v>
      </c>
      <c r="AF1582" s="74">
        <f>tblData[[#This Row],[Gross Sales]]+tblData[[#This Row],[Trade Discounts]]+tblData[[#This Row],[Returns]]</f>
        <v>1369</v>
      </c>
      <c r="AG1582" s="74">
        <f>tblData[[#This Row],[Material Cost]]+tblData[[#This Row],[Conversion Cost]]+tblData[[#This Row],[Inbound Freight]]</f>
        <v>-658</v>
      </c>
      <c r="AH1582" s="74">
        <f>tblData[[#This Row],[Net Revenue]]+tblData[[#This Row],[COGS]]</f>
        <v>711</v>
      </c>
      <c r="AI1582" s="74">
        <f>tblData[[#This Row],[Advertising]]+tblData[[#This Row],[Promotions]]</f>
        <v>-57</v>
      </c>
      <c r="AJ1582" s="74">
        <f>tblData[[#This Row],[Outbound Logistics]]+tblData[[#This Row],[Direct Selling]]</f>
        <v>-156</v>
      </c>
      <c r="AK1582" s="74">
        <f>tblData[[#This Row],[Gross Profit]]+tblData[[#This Row],[AP Spend]]+tblData[[#This Row],[Cost to Serve]]</f>
        <v>498</v>
      </c>
    </row>
    <row r="1583" spans="2:37" x14ac:dyDescent="0.25">
      <c r="B1583" s="71" t="s">
        <v>36</v>
      </c>
      <c r="C1583" s="71">
        <v>2026</v>
      </c>
      <c r="D1583" s="71">
        <v>6</v>
      </c>
      <c r="E1583" s="71" t="s">
        <v>46</v>
      </c>
      <c r="F1583" s="71" t="s">
        <v>41</v>
      </c>
      <c r="G1583" s="72">
        <v>116.6</v>
      </c>
      <c r="H1583" s="73">
        <v>1289</v>
      </c>
      <c r="I1583" s="73">
        <v>-139</v>
      </c>
      <c r="J1583" s="73">
        <v>-52</v>
      </c>
      <c r="K1583" s="73">
        <v>-311</v>
      </c>
      <c r="L1583" s="73">
        <v>-77</v>
      </c>
      <c r="M1583" s="73">
        <v>-48</v>
      </c>
      <c r="N1583" s="73">
        <v>-77</v>
      </c>
      <c r="O1583" s="73">
        <v>-45</v>
      </c>
      <c r="P1583" s="73">
        <v>-100</v>
      </c>
      <c r="Q1583" s="73">
        <v>-26</v>
      </c>
      <c r="R1583" s="73">
        <v>0</v>
      </c>
      <c r="S1583" s="73">
        <v>0</v>
      </c>
      <c r="T1583" s="73">
        <v>0</v>
      </c>
      <c r="U1583" s="73">
        <v>0</v>
      </c>
      <c r="V1583" s="73">
        <v>0</v>
      </c>
      <c r="W1583" s="73">
        <v>0</v>
      </c>
      <c r="X1583" s="73">
        <v>0</v>
      </c>
      <c r="Y1583" s="73">
        <v>0</v>
      </c>
      <c r="Z1583" s="73">
        <v>985</v>
      </c>
      <c r="AA1583" s="73">
        <v>1338</v>
      </c>
      <c r="AB1583" s="73">
        <v>0</v>
      </c>
      <c r="AC1583" s="73">
        <v>0</v>
      </c>
      <c r="AD1583" s="73">
        <v>0</v>
      </c>
      <c r="AE1583" s="73">
        <v>0</v>
      </c>
      <c r="AF1583" s="74">
        <f>tblData[[#This Row],[Gross Sales]]+tblData[[#This Row],[Trade Discounts]]+tblData[[#This Row],[Returns]]</f>
        <v>1098</v>
      </c>
      <c r="AG1583" s="74">
        <f>tblData[[#This Row],[Material Cost]]+tblData[[#This Row],[Conversion Cost]]+tblData[[#This Row],[Inbound Freight]]</f>
        <v>-436</v>
      </c>
      <c r="AH1583" s="74">
        <f>tblData[[#This Row],[Net Revenue]]+tblData[[#This Row],[COGS]]</f>
        <v>662</v>
      </c>
      <c r="AI1583" s="74">
        <f>tblData[[#This Row],[Advertising]]+tblData[[#This Row],[Promotions]]</f>
        <v>-122</v>
      </c>
      <c r="AJ1583" s="74">
        <f>tblData[[#This Row],[Outbound Logistics]]+tblData[[#This Row],[Direct Selling]]</f>
        <v>-126</v>
      </c>
      <c r="AK1583" s="74">
        <f>tblData[[#This Row],[Gross Profit]]+tblData[[#This Row],[AP Spend]]+tblData[[#This Row],[Cost to Serve]]</f>
        <v>414</v>
      </c>
    </row>
    <row r="1584" spans="2:37" x14ac:dyDescent="0.25">
      <c r="B1584" s="71" t="s">
        <v>36</v>
      </c>
      <c r="C1584" s="71">
        <v>2026</v>
      </c>
      <c r="D1584" s="71">
        <v>6</v>
      </c>
      <c r="E1584" s="71" t="s">
        <v>46</v>
      </c>
      <c r="F1584" s="71" t="s">
        <v>42</v>
      </c>
      <c r="G1584" s="72">
        <v>134.80000000000001</v>
      </c>
      <c r="H1584" s="73">
        <v>807</v>
      </c>
      <c r="I1584" s="73">
        <v>-87</v>
      </c>
      <c r="J1584" s="73">
        <v>-32</v>
      </c>
      <c r="K1584" s="73">
        <v>-260</v>
      </c>
      <c r="L1584" s="73">
        <v>-64</v>
      </c>
      <c r="M1584" s="73">
        <v>-40</v>
      </c>
      <c r="N1584" s="73">
        <v>-15</v>
      </c>
      <c r="O1584" s="73">
        <v>-9</v>
      </c>
      <c r="P1584" s="73">
        <v>-62</v>
      </c>
      <c r="Q1584" s="73">
        <v>-16</v>
      </c>
      <c r="R1584" s="73">
        <v>0</v>
      </c>
      <c r="S1584" s="73">
        <v>0</v>
      </c>
      <c r="T1584" s="73">
        <v>0</v>
      </c>
      <c r="U1584" s="73">
        <v>0</v>
      </c>
      <c r="V1584" s="73">
        <v>0</v>
      </c>
      <c r="W1584" s="73">
        <v>0</v>
      </c>
      <c r="X1584" s="73">
        <v>0</v>
      </c>
      <c r="Y1584" s="73">
        <v>0</v>
      </c>
      <c r="Z1584" s="73">
        <v>630</v>
      </c>
      <c r="AA1584" s="73">
        <v>1486</v>
      </c>
      <c r="AB1584" s="73">
        <v>0</v>
      </c>
      <c r="AC1584" s="73">
        <v>0</v>
      </c>
      <c r="AD1584" s="73">
        <v>0</v>
      </c>
      <c r="AE1584" s="73">
        <v>0</v>
      </c>
      <c r="AF1584" s="74">
        <f>tblData[[#This Row],[Gross Sales]]+tblData[[#This Row],[Trade Discounts]]+tblData[[#This Row],[Returns]]</f>
        <v>688</v>
      </c>
      <c r="AG1584" s="74">
        <f>tblData[[#This Row],[Material Cost]]+tblData[[#This Row],[Conversion Cost]]+tblData[[#This Row],[Inbound Freight]]</f>
        <v>-364</v>
      </c>
      <c r="AH1584" s="74">
        <f>tblData[[#This Row],[Net Revenue]]+tblData[[#This Row],[COGS]]</f>
        <v>324</v>
      </c>
      <c r="AI1584" s="74">
        <f>tblData[[#This Row],[Advertising]]+tblData[[#This Row],[Promotions]]</f>
        <v>-24</v>
      </c>
      <c r="AJ1584" s="74">
        <f>tblData[[#This Row],[Outbound Logistics]]+tblData[[#This Row],[Direct Selling]]</f>
        <v>-78</v>
      </c>
      <c r="AK1584" s="74">
        <f>tblData[[#This Row],[Gross Profit]]+tblData[[#This Row],[AP Spend]]+tblData[[#This Row],[Cost to Serve]]</f>
        <v>222</v>
      </c>
    </row>
    <row r="1585" spans="2:37" x14ac:dyDescent="0.25">
      <c r="B1585" s="71" t="s">
        <v>36</v>
      </c>
      <c r="C1585" s="71">
        <v>2026</v>
      </c>
      <c r="D1585" s="71">
        <v>6</v>
      </c>
      <c r="E1585" s="71" t="s">
        <v>46</v>
      </c>
      <c r="F1585" s="71" t="s">
        <v>43</v>
      </c>
      <c r="G1585" s="72">
        <v>26.7</v>
      </c>
      <c r="H1585" s="73">
        <v>482</v>
      </c>
      <c r="I1585" s="73">
        <v>-52</v>
      </c>
      <c r="J1585" s="73">
        <v>-19</v>
      </c>
      <c r="K1585" s="73">
        <v>-134</v>
      </c>
      <c r="L1585" s="73">
        <v>-33</v>
      </c>
      <c r="M1585" s="73">
        <v>-21</v>
      </c>
      <c r="N1585" s="73">
        <v>-42</v>
      </c>
      <c r="O1585" s="73">
        <v>-25</v>
      </c>
      <c r="P1585" s="73">
        <v>-37</v>
      </c>
      <c r="Q1585" s="73">
        <v>-10</v>
      </c>
      <c r="R1585" s="73">
        <v>0</v>
      </c>
      <c r="S1585" s="73">
        <v>0</v>
      </c>
      <c r="T1585" s="73">
        <v>0</v>
      </c>
      <c r="U1585" s="73">
        <v>0</v>
      </c>
      <c r="V1585" s="73">
        <v>0</v>
      </c>
      <c r="W1585" s="73">
        <v>0</v>
      </c>
      <c r="X1585" s="73">
        <v>0</v>
      </c>
      <c r="Y1585" s="73">
        <v>0</v>
      </c>
      <c r="Z1585" s="73">
        <v>364</v>
      </c>
      <c r="AA1585" s="73">
        <v>747</v>
      </c>
      <c r="AB1585" s="73">
        <v>0</v>
      </c>
      <c r="AC1585" s="73">
        <v>0</v>
      </c>
      <c r="AD1585" s="73">
        <v>0</v>
      </c>
      <c r="AE1585" s="73">
        <v>0</v>
      </c>
      <c r="AF1585" s="74">
        <f>tblData[[#This Row],[Gross Sales]]+tblData[[#This Row],[Trade Discounts]]+tblData[[#This Row],[Returns]]</f>
        <v>411</v>
      </c>
      <c r="AG1585" s="74">
        <f>tblData[[#This Row],[Material Cost]]+tblData[[#This Row],[Conversion Cost]]+tblData[[#This Row],[Inbound Freight]]</f>
        <v>-188</v>
      </c>
      <c r="AH1585" s="74">
        <f>tblData[[#This Row],[Net Revenue]]+tblData[[#This Row],[COGS]]</f>
        <v>223</v>
      </c>
      <c r="AI1585" s="74">
        <f>tblData[[#This Row],[Advertising]]+tblData[[#This Row],[Promotions]]</f>
        <v>-67</v>
      </c>
      <c r="AJ1585" s="74">
        <f>tblData[[#This Row],[Outbound Logistics]]+tblData[[#This Row],[Direct Selling]]</f>
        <v>-47</v>
      </c>
      <c r="AK1585" s="74">
        <f>tblData[[#This Row],[Gross Profit]]+tblData[[#This Row],[AP Spend]]+tblData[[#This Row],[Cost to Serve]]</f>
        <v>109</v>
      </c>
    </row>
    <row r="1586" spans="2:37" x14ac:dyDescent="0.25">
      <c r="B1586" s="71" t="s">
        <v>36</v>
      </c>
      <c r="C1586" s="71">
        <v>2026</v>
      </c>
      <c r="D1586" s="71">
        <v>6</v>
      </c>
      <c r="E1586" s="71" t="s">
        <v>47</v>
      </c>
      <c r="F1586" s="71" t="s">
        <v>38</v>
      </c>
      <c r="G1586" s="72">
        <v>64.8</v>
      </c>
      <c r="H1586" s="73">
        <v>919</v>
      </c>
      <c r="I1586" s="73">
        <v>-28</v>
      </c>
      <c r="J1586" s="73">
        <v>-46</v>
      </c>
      <c r="K1586" s="73">
        <v>-201</v>
      </c>
      <c r="L1586" s="73">
        <v>-50</v>
      </c>
      <c r="M1586" s="73">
        <v>-31</v>
      </c>
      <c r="N1586" s="73">
        <v>-47</v>
      </c>
      <c r="O1586" s="73">
        <v>-28</v>
      </c>
      <c r="P1586" s="73">
        <v>-114</v>
      </c>
      <c r="Q1586" s="73">
        <v>-37</v>
      </c>
      <c r="R1586" s="73">
        <v>0</v>
      </c>
      <c r="S1586" s="73">
        <v>0</v>
      </c>
      <c r="T1586" s="73">
        <v>0</v>
      </c>
      <c r="U1586" s="73">
        <v>0</v>
      </c>
      <c r="V1586" s="73">
        <v>0</v>
      </c>
      <c r="W1586" s="73">
        <v>0</v>
      </c>
      <c r="X1586" s="73">
        <v>0</v>
      </c>
      <c r="Y1586" s="73">
        <v>0</v>
      </c>
      <c r="Z1586" s="73">
        <v>167</v>
      </c>
      <c r="AA1586" s="73">
        <v>939</v>
      </c>
      <c r="AB1586" s="73">
        <v>0</v>
      </c>
      <c r="AC1586" s="73">
        <v>0</v>
      </c>
      <c r="AD1586" s="73">
        <v>0</v>
      </c>
      <c r="AE1586" s="73">
        <v>0</v>
      </c>
      <c r="AF1586" s="74">
        <f>tblData[[#This Row],[Gross Sales]]+tblData[[#This Row],[Trade Discounts]]+tblData[[#This Row],[Returns]]</f>
        <v>845</v>
      </c>
      <c r="AG1586" s="74">
        <f>tblData[[#This Row],[Material Cost]]+tblData[[#This Row],[Conversion Cost]]+tblData[[#This Row],[Inbound Freight]]</f>
        <v>-282</v>
      </c>
      <c r="AH1586" s="74">
        <f>tblData[[#This Row],[Net Revenue]]+tblData[[#This Row],[COGS]]</f>
        <v>563</v>
      </c>
      <c r="AI1586" s="74">
        <f>tblData[[#This Row],[Advertising]]+tblData[[#This Row],[Promotions]]</f>
        <v>-75</v>
      </c>
      <c r="AJ1586" s="74">
        <f>tblData[[#This Row],[Outbound Logistics]]+tblData[[#This Row],[Direct Selling]]</f>
        <v>-151</v>
      </c>
      <c r="AK1586" s="74">
        <f>tblData[[#This Row],[Gross Profit]]+tblData[[#This Row],[AP Spend]]+tblData[[#This Row],[Cost to Serve]]</f>
        <v>337</v>
      </c>
    </row>
    <row r="1587" spans="2:37" x14ac:dyDescent="0.25">
      <c r="B1587" s="71" t="s">
        <v>36</v>
      </c>
      <c r="C1587" s="71">
        <v>2026</v>
      </c>
      <c r="D1587" s="71">
        <v>6</v>
      </c>
      <c r="E1587" s="71" t="s">
        <v>47</v>
      </c>
      <c r="F1587" s="71" t="s">
        <v>39</v>
      </c>
      <c r="G1587" s="72">
        <v>87.5</v>
      </c>
      <c r="H1587" s="73">
        <v>793</v>
      </c>
      <c r="I1587" s="73">
        <v>-24</v>
      </c>
      <c r="J1587" s="73">
        <v>-40</v>
      </c>
      <c r="K1587" s="73">
        <v>-209</v>
      </c>
      <c r="L1587" s="73">
        <v>-51</v>
      </c>
      <c r="M1587" s="73">
        <v>-32</v>
      </c>
      <c r="N1587" s="73">
        <v>-27</v>
      </c>
      <c r="O1587" s="73">
        <v>-16</v>
      </c>
      <c r="P1587" s="73">
        <v>-98</v>
      </c>
      <c r="Q1587" s="73">
        <v>-32</v>
      </c>
      <c r="R1587" s="73">
        <v>0</v>
      </c>
      <c r="S1587" s="73">
        <v>0</v>
      </c>
      <c r="T1587" s="73">
        <v>0</v>
      </c>
      <c r="U1587" s="73">
        <v>0</v>
      </c>
      <c r="V1587" s="73">
        <v>0</v>
      </c>
      <c r="W1587" s="73">
        <v>0</v>
      </c>
      <c r="X1587" s="73">
        <v>0</v>
      </c>
      <c r="Y1587" s="73">
        <v>0</v>
      </c>
      <c r="Z1587" s="73">
        <v>143</v>
      </c>
      <c r="AA1587" s="73">
        <v>821</v>
      </c>
      <c r="AB1587" s="73">
        <v>0</v>
      </c>
      <c r="AC1587" s="73">
        <v>0</v>
      </c>
      <c r="AD1587" s="73">
        <v>0</v>
      </c>
      <c r="AE1587" s="73">
        <v>0</v>
      </c>
      <c r="AF1587" s="74">
        <f>tblData[[#This Row],[Gross Sales]]+tblData[[#This Row],[Trade Discounts]]+tblData[[#This Row],[Returns]]</f>
        <v>729</v>
      </c>
      <c r="AG1587" s="74">
        <f>tblData[[#This Row],[Material Cost]]+tblData[[#This Row],[Conversion Cost]]+tblData[[#This Row],[Inbound Freight]]</f>
        <v>-292</v>
      </c>
      <c r="AH1587" s="74">
        <f>tblData[[#This Row],[Net Revenue]]+tblData[[#This Row],[COGS]]</f>
        <v>437</v>
      </c>
      <c r="AI1587" s="74">
        <f>tblData[[#This Row],[Advertising]]+tblData[[#This Row],[Promotions]]</f>
        <v>-43</v>
      </c>
      <c r="AJ1587" s="74">
        <f>tblData[[#This Row],[Outbound Logistics]]+tblData[[#This Row],[Direct Selling]]</f>
        <v>-130</v>
      </c>
      <c r="AK1587" s="74">
        <f>tblData[[#This Row],[Gross Profit]]+tblData[[#This Row],[AP Spend]]+tblData[[#This Row],[Cost to Serve]]</f>
        <v>264</v>
      </c>
    </row>
    <row r="1588" spans="2:37" x14ac:dyDescent="0.25">
      <c r="B1588" s="71" t="s">
        <v>36</v>
      </c>
      <c r="C1588" s="71">
        <v>2026</v>
      </c>
      <c r="D1588" s="71">
        <v>6</v>
      </c>
      <c r="E1588" s="71" t="s">
        <v>47</v>
      </c>
      <c r="F1588" s="71" t="s">
        <v>40</v>
      </c>
      <c r="G1588" s="72">
        <v>83.5</v>
      </c>
      <c r="H1588" s="73">
        <v>588</v>
      </c>
      <c r="I1588" s="73">
        <v>-18</v>
      </c>
      <c r="J1588" s="73">
        <v>-29</v>
      </c>
      <c r="K1588" s="73">
        <v>-172</v>
      </c>
      <c r="L1588" s="73">
        <v>-42</v>
      </c>
      <c r="M1588" s="73">
        <v>-26</v>
      </c>
      <c r="N1588" s="73">
        <v>-13</v>
      </c>
      <c r="O1588" s="73">
        <v>-8</v>
      </c>
      <c r="P1588" s="73">
        <v>-73</v>
      </c>
      <c r="Q1588" s="73">
        <v>-24</v>
      </c>
      <c r="R1588" s="73">
        <v>0</v>
      </c>
      <c r="S1588" s="73">
        <v>0</v>
      </c>
      <c r="T1588" s="73">
        <v>0</v>
      </c>
      <c r="U1588" s="73">
        <v>0</v>
      </c>
      <c r="V1588" s="73">
        <v>0</v>
      </c>
      <c r="W1588" s="73">
        <v>0</v>
      </c>
      <c r="X1588" s="73">
        <v>0</v>
      </c>
      <c r="Y1588" s="73">
        <v>0</v>
      </c>
      <c r="Z1588" s="73">
        <v>106</v>
      </c>
      <c r="AA1588" s="73">
        <v>634</v>
      </c>
      <c r="AB1588" s="73">
        <v>0</v>
      </c>
      <c r="AC1588" s="73">
        <v>0</v>
      </c>
      <c r="AD1588" s="73">
        <v>0</v>
      </c>
      <c r="AE1588" s="73">
        <v>0</v>
      </c>
      <c r="AF1588" s="74">
        <f>tblData[[#This Row],[Gross Sales]]+tblData[[#This Row],[Trade Discounts]]+tblData[[#This Row],[Returns]]</f>
        <v>541</v>
      </c>
      <c r="AG1588" s="74">
        <f>tblData[[#This Row],[Material Cost]]+tblData[[#This Row],[Conversion Cost]]+tblData[[#This Row],[Inbound Freight]]</f>
        <v>-240</v>
      </c>
      <c r="AH1588" s="74">
        <f>tblData[[#This Row],[Net Revenue]]+tblData[[#This Row],[COGS]]</f>
        <v>301</v>
      </c>
      <c r="AI1588" s="74">
        <f>tblData[[#This Row],[Advertising]]+tblData[[#This Row],[Promotions]]</f>
        <v>-21</v>
      </c>
      <c r="AJ1588" s="74">
        <f>tblData[[#This Row],[Outbound Logistics]]+tblData[[#This Row],[Direct Selling]]</f>
        <v>-97</v>
      </c>
      <c r="AK1588" s="74">
        <f>tblData[[#This Row],[Gross Profit]]+tblData[[#This Row],[AP Spend]]+tblData[[#This Row],[Cost to Serve]]</f>
        <v>183</v>
      </c>
    </row>
    <row r="1589" spans="2:37" x14ac:dyDescent="0.25">
      <c r="B1589" s="71" t="s">
        <v>36</v>
      </c>
      <c r="C1589" s="71">
        <v>2026</v>
      </c>
      <c r="D1589" s="71">
        <v>6</v>
      </c>
      <c r="E1589" s="71" t="s">
        <v>47</v>
      </c>
      <c r="F1589" s="71" t="s">
        <v>41</v>
      </c>
      <c r="G1589" s="72">
        <v>42.1</v>
      </c>
      <c r="H1589" s="73">
        <v>467</v>
      </c>
      <c r="I1589" s="73">
        <v>-14</v>
      </c>
      <c r="J1589" s="73">
        <v>-23</v>
      </c>
      <c r="K1589" s="73">
        <v>-113</v>
      </c>
      <c r="L1589" s="73">
        <v>-28</v>
      </c>
      <c r="M1589" s="73">
        <v>-17</v>
      </c>
      <c r="N1589" s="73">
        <v>-29</v>
      </c>
      <c r="O1589" s="73">
        <v>-17</v>
      </c>
      <c r="P1589" s="73">
        <v>-58</v>
      </c>
      <c r="Q1589" s="73">
        <v>-19</v>
      </c>
      <c r="R1589" s="73">
        <v>0</v>
      </c>
      <c r="S1589" s="73">
        <v>0</v>
      </c>
      <c r="T1589" s="73">
        <v>0</v>
      </c>
      <c r="U1589" s="73">
        <v>0</v>
      </c>
      <c r="V1589" s="73">
        <v>0</v>
      </c>
      <c r="W1589" s="73">
        <v>0</v>
      </c>
      <c r="X1589" s="73">
        <v>0</v>
      </c>
      <c r="Y1589" s="73">
        <v>0</v>
      </c>
      <c r="Z1589" s="73">
        <v>83</v>
      </c>
      <c r="AA1589" s="73">
        <v>486</v>
      </c>
      <c r="AB1589" s="73">
        <v>0</v>
      </c>
      <c r="AC1589" s="73">
        <v>0</v>
      </c>
      <c r="AD1589" s="73">
        <v>0</v>
      </c>
      <c r="AE1589" s="73">
        <v>0</v>
      </c>
      <c r="AF1589" s="74">
        <f>tblData[[#This Row],[Gross Sales]]+tblData[[#This Row],[Trade Discounts]]+tblData[[#This Row],[Returns]]</f>
        <v>430</v>
      </c>
      <c r="AG1589" s="74">
        <f>tblData[[#This Row],[Material Cost]]+tblData[[#This Row],[Conversion Cost]]+tblData[[#This Row],[Inbound Freight]]</f>
        <v>-158</v>
      </c>
      <c r="AH1589" s="74">
        <f>tblData[[#This Row],[Net Revenue]]+tblData[[#This Row],[COGS]]</f>
        <v>272</v>
      </c>
      <c r="AI1589" s="74">
        <f>tblData[[#This Row],[Advertising]]+tblData[[#This Row],[Promotions]]</f>
        <v>-46</v>
      </c>
      <c r="AJ1589" s="74">
        <f>tblData[[#This Row],[Outbound Logistics]]+tblData[[#This Row],[Direct Selling]]</f>
        <v>-77</v>
      </c>
      <c r="AK1589" s="74">
        <f>tblData[[#This Row],[Gross Profit]]+tblData[[#This Row],[AP Spend]]+tblData[[#This Row],[Cost to Serve]]</f>
        <v>149</v>
      </c>
    </row>
    <row r="1590" spans="2:37" x14ac:dyDescent="0.25">
      <c r="B1590" s="71" t="s">
        <v>36</v>
      </c>
      <c r="C1590" s="71">
        <v>2026</v>
      </c>
      <c r="D1590" s="71">
        <v>6</v>
      </c>
      <c r="E1590" s="71" t="s">
        <v>47</v>
      </c>
      <c r="F1590" s="71" t="s">
        <v>42</v>
      </c>
      <c r="G1590" s="72">
        <v>50.4</v>
      </c>
      <c r="H1590" s="73">
        <v>303</v>
      </c>
      <c r="I1590" s="73">
        <v>-9</v>
      </c>
      <c r="J1590" s="73">
        <v>-15</v>
      </c>
      <c r="K1590" s="73">
        <v>-97</v>
      </c>
      <c r="L1590" s="73">
        <v>-24</v>
      </c>
      <c r="M1590" s="73">
        <v>-15</v>
      </c>
      <c r="N1590" s="73">
        <v>-6</v>
      </c>
      <c r="O1590" s="73">
        <v>-3</v>
      </c>
      <c r="P1590" s="73">
        <v>-37</v>
      </c>
      <c r="Q1590" s="73">
        <v>-12</v>
      </c>
      <c r="R1590" s="73">
        <v>0</v>
      </c>
      <c r="S1590" s="73">
        <v>0</v>
      </c>
      <c r="T1590" s="73">
        <v>0</v>
      </c>
      <c r="U1590" s="73">
        <v>0</v>
      </c>
      <c r="V1590" s="73">
        <v>0</v>
      </c>
      <c r="W1590" s="73">
        <v>0</v>
      </c>
      <c r="X1590" s="73">
        <v>0</v>
      </c>
      <c r="Y1590" s="73">
        <v>0</v>
      </c>
      <c r="Z1590" s="73">
        <v>54</v>
      </c>
      <c r="AA1590" s="73">
        <v>552</v>
      </c>
      <c r="AB1590" s="73">
        <v>0</v>
      </c>
      <c r="AC1590" s="73">
        <v>0</v>
      </c>
      <c r="AD1590" s="73">
        <v>0</v>
      </c>
      <c r="AE1590" s="73">
        <v>0</v>
      </c>
      <c r="AF1590" s="74">
        <f>tblData[[#This Row],[Gross Sales]]+tblData[[#This Row],[Trade Discounts]]+tblData[[#This Row],[Returns]]</f>
        <v>279</v>
      </c>
      <c r="AG1590" s="74">
        <f>tblData[[#This Row],[Material Cost]]+tblData[[#This Row],[Conversion Cost]]+tblData[[#This Row],[Inbound Freight]]</f>
        <v>-136</v>
      </c>
      <c r="AH1590" s="74">
        <f>tblData[[#This Row],[Net Revenue]]+tblData[[#This Row],[COGS]]</f>
        <v>143</v>
      </c>
      <c r="AI1590" s="74">
        <f>tblData[[#This Row],[Advertising]]+tblData[[#This Row],[Promotions]]</f>
        <v>-9</v>
      </c>
      <c r="AJ1590" s="74">
        <f>tblData[[#This Row],[Outbound Logistics]]+tblData[[#This Row],[Direct Selling]]</f>
        <v>-49</v>
      </c>
      <c r="AK1590" s="74">
        <f>tblData[[#This Row],[Gross Profit]]+tblData[[#This Row],[AP Spend]]+tblData[[#This Row],[Cost to Serve]]</f>
        <v>85</v>
      </c>
    </row>
    <row r="1591" spans="2:37" x14ac:dyDescent="0.25">
      <c r="B1591" s="71" t="s">
        <v>36</v>
      </c>
      <c r="C1591" s="71">
        <v>2026</v>
      </c>
      <c r="D1591" s="71">
        <v>6</v>
      </c>
      <c r="E1591" s="71" t="s">
        <v>47</v>
      </c>
      <c r="F1591" s="71" t="s">
        <v>43</v>
      </c>
      <c r="G1591" s="72">
        <v>9.5</v>
      </c>
      <c r="H1591" s="73">
        <v>173</v>
      </c>
      <c r="I1591" s="73">
        <v>-5</v>
      </c>
      <c r="J1591" s="73">
        <v>-9</v>
      </c>
      <c r="K1591" s="73">
        <v>-48</v>
      </c>
      <c r="L1591" s="73">
        <v>-12</v>
      </c>
      <c r="M1591" s="73">
        <v>-7</v>
      </c>
      <c r="N1591" s="73">
        <v>-16</v>
      </c>
      <c r="O1591" s="73">
        <v>-9</v>
      </c>
      <c r="P1591" s="73">
        <v>-21</v>
      </c>
      <c r="Q1591" s="73">
        <v>-7</v>
      </c>
      <c r="R1591" s="73">
        <v>0</v>
      </c>
      <c r="S1591" s="73">
        <v>0</v>
      </c>
      <c r="T1591" s="73">
        <v>0</v>
      </c>
      <c r="U1591" s="73">
        <v>0</v>
      </c>
      <c r="V1591" s="73">
        <v>0</v>
      </c>
      <c r="W1591" s="73">
        <v>0</v>
      </c>
      <c r="X1591" s="73">
        <v>0</v>
      </c>
      <c r="Y1591" s="73">
        <v>0</v>
      </c>
      <c r="Z1591" s="73">
        <v>31</v>
      </c>
      <c r="AA1591" s="73">
        <v>276</v>
      </c>
      <c r="AB1591" s="73">
        <v>0</v>
      </c>
      <c r="AC1591" s="73">
        <v>0</v>
      </c>
      <c r="AD1591" s="73">
        <v>0</v>
      </c>
      <c r="AE1591" s="73">
        <v>0</v>
      </c>
      <c r="AF1591" s="74">
        <f>tblData[[#This Row],[Gross Sales]]+tblData[[#This Row],[Trade Discounts]]+tblData[[#This Row],[Returns]]</f>
        <v>159</v>
      </c>
      <c r="AG1591" s="74">
        <f>tblData[[#This Row],[Material Cost]]+tblData[[#This Row],[Conversion Cost]]+tblData[[#This Row],[Inbound Freight]]</f>
        <v>-67</v>
      </c>
      <c r="AH1591" s="74">
        <f>tblData[[#This Row],[Net Revenue]]+tblData[[#This Row],[COGS]]</f>
        <v>92</v>
      </c>
      <c r="AI1591" s="74">
        <f>tblData[[#This Row],[Advertising]]+tblData[[#This Row],[Promotions]]</f>
        <v>-25</v>
      </c>
      <c r="AJ1591" s="74">
        <f>tblData[[#This Row],[Outbound Logistics]]+tblData[[#This Row],[Direct Selling]]</f>
        <v>-28</v>
      </c>
      <c r="AK1591" s="74">
        <f>tblData[[#This Row],[Gross Profit]]+tblData[[#This Row],[AP Spend]]+tblData[[#This Row],[Cost to Serve]]</f>
        <v>39</v>
      </c>
    </row>
    <row r="1592" spans="2:37" x14ac:dyDescent="0.25">
      <c r="B1592" s="71" t="s">
        <v>36</v>
      </c>
      <c r="C1592" s="71">
        <v>2026</v>
      </c>
      <c r="D1592" s="71">
        <v>6</v>
      </c>
      <c r="E1592" s="71" t="s">
        <v>48</v>
      </c>
      <c r="F1592" s="71" t="s">
        <v>38</v>
      </c>
      <c r="G1592" s="72">
        <v>109.2</v>
      </c>
      <c r="H1592" s="73">
        <v>1538</v>
      </c>
      <c r="I1592" s="73">
        <v>-138</v>
      </c>
      <c r="J1592" s="73">
        <v>-15</v>
      </c>
      <c r="K1592" s="73">
        <v>-337</v>
      </c>
      <c r="L1592" s="73">
        <v>-83</v>
      </c>
      <c r="M1592" s="73">
        <v>-52</v>
      </c>
      <c r="N1592" s="73">
        <v>-79</v>
      </c>
      <c r="O1592" s="73">
        <v>-46</v>
      </c>
      <c r="P1592" s="73">
        <v>-48</v>
      </c>
      <c r="Q1592" s="73">
        <v>-23</v>
      </c>
      <c r="R1592" s="73">
        <v>0</v>
      </c>
      <c r="S1592" s="73">
        <v>0</v>
      </c>
      <c r="T1592" s="73">
        <v>0</v>
      </c>
      <c r="U1592" s="73">
        <v>0</v>
      </c>
      <c r="V1592" s="73">
        <v>0</v>
      </c>
      <c r="W1592" s="73">
        <v>0</v>
      </c>
      <c r="X1592" s="73">
        <v>0</v>
      </c>
      <c r="Y1592" s="73">
        <v>0</v>
      </c>
      <c r="Z1592" s="73">
        <v>3214</v>
      </c>
      <c r="AA1592" s="73">
        <v>1516</v>
      </c>
      <c r="AB1592" s="73">
        <v>0</v>
      </c>
      <c r="AC1592" s="73">
        <v>0</v>
      </c>
      <c r="AD1592" s="73">
        <v>0</v>
      </c>
      <c r="AE1592" s="73">
        <v>0</v>
      </c>
      <c r="AF1592" s="74">
        <f>tblData[[#This Row],[Gross Sales]]+tblData[[#This Row],[Trade Discounts]]+tblData[[#This Row],[Returns]]</f>
        <v>1385</v>
      </c>
      <c r="AG1592" s="74">
        <f>tblData[[#This Row],[Material Cost]]+tblData[[#This Row],[Conversion Cost]]+tblData[[#This Row],[Inbound Freight]]</f>
        <v>-472</v>
      </c>
      <c r="AH1592" s="74">
        <f>tblData[[#This Row],[Net Revenue]]+tblData[[#This Row],[COGS]]</f>
        <v>913</v>
      </c>
      <c r="AI1592" s="74">
        <f>tblData[[#This Row],[Advertising]]+tblData[[#This Row],[Promotions]]</f>
        <v>-125</v>
      </c>
      <c r="AJ1592" s="74">
        <f>tblData[[#This Row],[Outbound Logistics]]+tblData[[#This Row],[Direct Selling]]</f>
        <v>-71</v>
      </c>
      <c r="AK1592" s="74">
        <f>tblData[[#This Row],[Gross Profit]]+tblData[[#This Row],[AP Spend]]+tblData[[#This Row],[Cost to Serve]]</f>
        <v>717</v>
      </c>
    </row>
    <row r="1593" spans="2:37" x14ac:dyDescent="0.25">
      <c r="B1593" s="71" t="s">
        <v>36</v>
      </c>
      <c r="C1593" s="71">
        <v>2026</v>
      </c>
      <c r="D1593" s="71">
        <v>6</v>
      </c>
      <c r="E1593" s="71" t="s">
        <v>48</v>
      </c>
      <c r="F1593" s="71" t="s">
        <v>39</v>
      </c>
      <c r="G1593" s="72">
        <v>142.80000000000001</v>
      </c>
      <c r="H1593" s="73">
        <v>1288</v>
      </c>
      <c r="I1593" s="73">
        <v>-116</v>
      </c>
      <c r="J1593" s="73">
        <v>-13</v>
      </c>
      <c r="K1593" s="73">
        <v>-339</v>
      </c>
      <c r="L1593" s="73">
        <v>-83</v>
      </c>
      <c r="M1593" s="73">
        <v>-52</v>
      </c>
      <c r="N1593" s="73">
        <v>-45</v>
      </c>
      <c r="O1593" s="73">
        <v>-27</v>
      </c>
      <c r="P1593" s="73">
        <v>-40</v>
      </c>
      <c r="Q1593" s="73">
        <v>-19</v>
      </c>
      <c r="R1593" s="73">
        <v>0</v>
      </c>
      <c r="S1593" s="73">
        <v>0</v>
      </c>
      <c r="T1593" s="73">
        <v>0</v>
      </c>
      <c r="U1593" s="73">
        <v>0</v>
      </c>
      <c r="V1593" s="73">
        <v>0</v>
      </c>
      <c r="W1593" s="73">
        <v>0</v>
      </c>
      <c r="X1593" s="73">
        <v>0</v>
      </c>
      <c r="Y1593" s="73">
        <v>0</v>
      </c>
      <c r="Z1593" s="73">
        <v>2698</v>
      </c>
      <c r="AA1593" s="73">
        <v>1300</v>
      </c>
      <c r="AB1593" s="73">
        <v>0</v>
      </c>
      <c r="AC1593" s="73">
        <v>0</v>
      </c>
      <c r="AD1593" s="73">
        <v>0</v>
      </c>
      <c r="AE1593" s="73">
        <v>0</v>
      </c>
      <c r="AF1593" s="74">
        <f>tblData[[#This Row],[Gross Sales]]+tblData[[#This Row],[Trade Discounts]]+tblData[[#This Row],[Returns]]</f>
        <v>1159</v>
      </c>
      <c r="AG1593" s="74">
        <f>tblData[[#This Row],[Material Cost]]+tblData[[#This Row],[Conversion Cost]]+tblData[[#This Row],[Inbound Freight]]</f>
        <v>-474</v>
      </c>
      <c r="AH1593" s="74">
        <f>tblData[[#This Row],[Net Revenue]]+tblData[[#This Row],[COGS]]</f>
        <v>685</v>
      </c>
      <c r="AI1593" s="74">
        <f>tblData[[#This Row],[Advertising]]+tblData[[#This Row],[Promotions]]</f>
        <v>-72</v>
      </c>
      <c r="AJ1593" s="74">
        <f>tblData[[#This Row],[Outbound Logistics]]+tblData[[#This Row],[Direct Selling]]</f>
        <v>-59</v>
      </c>
      <c r="AK1593" s="74">
        <f>tblData[[#This Row],[Gross Profit]]+tblData[[#This Row],[AP Spend]]+tblData[[#This Row],[Cost to Serve]]</f>
        <v>554</v>
      </c>
    </row>
    <row r="1594" spans="2:37" x14ac:dyDescent="0.25">
      <c r="B1594" s="71" t="s">
        <v>36</v>
      </c>
      <c r="C1594" s="71">
        <v>2026</v>
      </c>
      <c r="D1594" s="71">
        <v>6</v>
      </c>
      <c r="E1594" s="71" t="s">
        <v>48</v>
      </c>
      <c r="F1594" s="71" t="s">
        <v>40</v>
      </c>
      <c r="G1594" s="72">
        <v>132.80000000000001</v>
      </c>
      <c r="H1594" s="73">
        <v>930</v>
      </c>
      <c r="I1594" s="73">
        <v>-84</v>
      </c>
      <c r="J1594" s="73">
        <v>-9</v>
      </c>
      <c r="K1594" s="73">
        <v>-272</v>
      </c>
      <c r="L1594" s="73">
        <v>-67</v>
      </c>
      <c r="M1594" s="73">
        <v>-42</v>
      </c>
      <c r="N1594" s="73">
        <v>-22</v>
      </c>
      <c r="O1594" s="73">
        <v>-13</v>
      </c>
      <c r="P1594" s="73">
        <v>-29</v>
      </c>
      <c r="Q1594" s="73">
        <v>-14</v>
      </c>
      <c r="R1594" s="73">
        <v>0</v>
      </c>
      <c r="S1594" s="73">
        <v>0</v>
      </c>
      <c r="T1594" s="73">
        <v>0</v>
      </c>
      <c r="U1594" s="73">
        <v>0</v>
      </c>
      <c r="V1594" s="73">
        <v>0</v>
      </c>
      <c r="W1594" s="73">
        <v>0</v>
      </c>
      <c r="X1594" s="73">
        <v>0</v>
      </c>
      <c r="Y1594" s="73">
        <v>0</v>
      </c>
      <c r="Z1594" s="73">
        <v>1960</v>
      </c>
      <c r="AA1594" s="73">
        <v>989</v>
      </c>
      <c r="AB1594" s="73">
        <v>0</v>
      </c>
      <c r="AC1594" s="73">
        <v>0</v>
      </c>
      <c r="AD1594" s="73">
        <v>0</v>
      </c>
      <c r="AE1594" s="73">
        <v>0</v>
      </c>
      <c r="AF1594" s="74">
        <f>tblData[[#This Row],[Gross Sales]]+tblData[[#This Row],[Trade Discounts]]+tblData[[#This Row],[Returns]]</f>
        <v>837</v>
      </c>
      <c r="AG1594" s="74">
        <f>tblData[[#This Row],[Material Cost]]+tblData[[#This Row],[Conversion Cost]]+tblData[[#This Row],[Inbound Freight]]</f>
        <v>-381</v>
      </c>
      <c r="AH1594" s="74">
        <f>tblData[[#This Row],[Net Revenue]]+tblData[[#This Row],[COGS]]</f>
        <v>456</v>
      </c>
      <c r="AI1594" s="74">
        <f>tblData[[#This Row],[Advertising]]+tblData[[#This Row],[Promotions]]</f>
        <v>-35</v>
      </c>
      <c r="AJ1594" s="74">
        <f>tblData[[#This Row],[Outbound Logistics]]+tblData[[#This Row],[Direct Selling]]</f>
        <v>-43</v>
      </c>
      <c r="AK1594" s="74">
        <f>tblData[[#This Row],[Gross Profit]]+tblData[[#This Row],[AP Spend]]+tblData[[#This Row],[Cost to Serve]]</f>
        <v>378</v>
      </c>
    </row>
    <row r="1595" spans="2:37" x14ac:dyDescent="0.25">
      <c r="B1595" s="71" t="s">
        <v>36</v>
      </c>
      <c r="C1595" s="71">
        <v>2026</v>
      </c>
      <c r="D1595" s="71">
        <v>6</v>
      </c>
      <c r="E1595" s="71" t="s">
        <v>48</v>
      </c>
      <c r="F1595" s="71" t="s">
        <v>41</v>
      </c>
      <c r="G1595" s="72">
        <v>67.400000000000006</v>
      </c>
      <c r="H1595" s="73">
        <v>744</v>
      </c>
      <c r="I1595" s="73">
        <v>-67</v>
      </c>
      <c r="J1595" s="73">
        <v>-7</v>
      </c>
      <c r="K1595" s="73">
        <v>-179</v>
      </c>
      <c r="L1595" s="73">
        <v>-44</v>
      </c>
      <c r="M1595" s="73">
        <v>-27</v>
      </c>
      <c r="N1595" s="73">
        <v>-48</v>
      </c>
      <c r="O1595" s="73">
        <v>-28</v>
      </c>
      <c r="P1595" s="73">
        <v>-23</v>
      </c>
      <c r="Q1595" s="73">
        <v>-11</v>
      </c>
      <c r="R1595" s="73">
        <v>0</v>
      </c>
      <c r="S1595" s="73">
        <v>0</v>
      </c>
      <c r="T1595" s="73">
        <v>0</v>
      </c>
      <c r="U1595" s="73">
        <v>0</v>
      </c>
      <c r="V1595" s="73">
        <v>0</v>
      </c>
      <c r="W1595" s="73">
        <v>0</v>
      </c>
      <c r="X1595" s="73">
        <v>0</v>
      </c>
      <c r="Y1595" s="73">
        <v>0</v>
      </c>
      <c r="Z1595" s="73">
        <v>1582</v>
      </c>
      <c r="AA1595" s="73">
        <v>780</v>
      </c>
      <c r="AB1595" s="73">
        <v>0</v>
      </c>
      <c r="AC1595" s="73">
        <v>0</v>
      </c>
      <c r="AD1595" s="73">
        <v>0</v>
      </c>
      <c r="AE1595" s="73">
        <v>0</v>
      </c>
      <c r="AF1595" s="74">
        <f>tblData[[#This Row],[Gross Sales]]+tblData[[#This Row],[Trade Discounts]]+tblData[[#This Row],[Returns]]</f>
        <v>670</v>
      </c>
      <c r="AG1595" s="74">
        <f>tblData[[#This Row],[Material Cost]]+tblData[[#This Row],[Conversion Cost]]+tblData[[#This Row],[Inbound Freight]]</f>
        <v>-250</v>
      </c>
      <c r="AH1595" s="74">
        <f>tblData[[#This Row],[Net Revenue]]+tblData[[#This Row],[COGS]]</f>
        <v>420</v>
      </c>
      <c r="AI1595" s="74">
        <f>tblData[[#This Row],[Advertising]]+tblData[[#This Row],[Promotions]]</f>
        <v>-76</v>
      </c>
      <c r="AJ1595" s="74">
        <f>tblData[[#This Row],[Outbound Logistics]]+tblData[[#This Row],[Direct Selling]]</f>
        <v>-34</v>
      </c>
      <c r="AK1595" s="74">
        <f>tblData[[#This Row],[Gross Profit]]+tblData[[#This Row],[AP Spend]]+tblData[[#This Row],[Cost to Serve]]</f>
        <v>310</v>
      </c>
    </row>
    <row r="1596" spans="2:37" x14ac:dyDescent="0.25">
      <c r="B1596" s="71" t="s">
        <v>36</v>
      </c>
      <c r="C1596" s="71">
        <v>2026</v>
      </c>
      <c r="D1596" s="71">
        <v>6</v>
      </c>
      <c r="E1596" s="71" t="s">
        <v>48</v>
      </c>
      <c r="F1596" s="71" t="s">
        <v>42</v>
      </c>
      <c r="G1596" s="72">
        <v>82.4</v>
      </c>
      <c r="H1596" s="73">
        <v>492</v>
      </c>
      <c r="I1596" s="73">
        <v>-44</v>
      </c>
      <c r="J1596" s="73">
        <v>-5</v>
      </c>
      <c r="K1596" s="73">
        <v>-158</v>
      </c>
      <c r="L1596" s="73">
        <v>-39</v>
      </c>
      <c r="M1596" s="73">
        <v>-24</v>
      </c>
      <c r="N1596" s="73">
        <v>-9</v>
      </c>
      <c r="O1596" s="73">
        <v>-6</v>
      </c>
      <c r="P1596" s="73">
        <v>-15</v>
      </c>
      <c r="Q1596" s="73">
        <v>-7</v>
      </c>
      <c r="R1596" s="73">
        <v>0</v>
      </c>
      <c r="S1596" s="73">
        <v>0</v>
      </c>
      <c r="T1596" s="73">
        <v>0</v>
      </c>
      <c r="U1596" s="73">
        <v>0</v>
      </c>
      <c r="V1596" s="73">
        <v>0</v>
      </c>
      <c r="W1596" s="73">
        <v>0</v>
      </c>
      <c r="X1596" s="73">
        <v>0</v>
      </c>
      <c r="Y1596" s="73">
        <v>0</v>
      </c>
      <c r="Z1596" s="73">
        <v>1023</v>
      </c>
      <c r="AA1596" s="73">
        <v>876</v>
      </c>
      <c r="AB1596" s="73">
        <v>0</v>
      </c>
      <c r="AC1596" s="73">
        <v>0</v>
      </c>
      <c r="AD1596" s="73">
        <v>0</v>
      </c>
      <c r="AE1596" s="73">
        <v>0</v>
      </c>
      <c r="AF1596" s="74">
        <f>tblData[[#This Row],[Gross Sales]]+tblData[[#This Row],[Trade Discounts]]+tblData[[#This Row],[Returns]]</f>
        <v>443</v>
      </c>
      <c r="AG1596" s="74">
        <f>tblData[[#This Row],[Material Cost]]+tblData[[#This Row],[Conversion Cost]]+tblData[[#This Row],[Inbound Freight]]</f>
        <v>-221</v>
      </c>
      <c r="AH1596" s="74">
        <f>tblData[[#This Row],[Net Revenue]]+tblData[[#This Row],[COGS]]</f>
        <v>222</v>
      </c>
      <c r="AI1596" s="74">
        <f>tblData[[#This Row],[Advertising]]+tblData[[#This Row],[Promotions]]</f>
        <v>-15</v>
      </c>
      <c r="AJ1596" s="74">
        <f>tblData[[#This Row],[Outbound Logistics]]+tblData[[#This Row],[Direct Selling]]</f>
        <v>-22</v>
      </c>
      <c r="AK1596" s="74">
        <f>tblData[[#This Row],[Gross Profit]]+tblData[[#This Row],[AP Spend]]+tblData[[#This Row],[Cost to Serve]]</f>
        <v>185</v>
      </c>
    </row>
    <row r="1597" spans="2:37" x14ac:dyDescent="0.25">
      <c r="B1597" s="71" t="s">
        <v>36</v>
      </c>
      <c r="C1597" s="71">
        <v>2026</v>
      </c>
      <c r="D1597" s="71">
        <v>6</v>
      </c>
      <c r="E1597" s="71" t="s">
        <v>48</v>
      </c>
      <c r="F1597" s="71" t="s">
        <v>43</v>
      </c>
      <c r="G1597" s="72">
        <v>14.8</v>
      </c>
      <c r="H1597" s="73">
        <v>266</v>
      </c>
      <c r="I1597" s="73">
        <v>-24</v>
      </c>
      <c r="J1597" s="73">
        <v>-3</v>
      </c>
      <c r="K1597" s="73">
        <v>-74</v>
      </c>
      <c r="L1597" s="73">
        <v>-18</v>
      </c>
      <c r="M1597" s="73">
        <v>-11</v>
      </c>
      <c r="N1597" s="73">
        <v>-26</v>
      </c>
      <c r="O1597" s="73">
        <v>-15</v>
      </c>
      <c r="P1597" s="73">
        <v>-8</v>
      </c>
      <c r="Q1597" s="73">
        <v>-4</v>
      </c>
      <c r="R1597" s="73">
        <v>0</v>
      </c>
      <c r="S1597" s="73">
        <v>0</v>
      </c>
      <c r="T1597" s="73">
        <v>0</v>
      </c>
      <c r="U1597" s="73">
        <v>0</v>
      </c>
      <c r="V1597" s="73">
        <v>0</v>
      </c>
      <c r="W1597" s="73">
        <v>0</v>
      </c>
      <c r="X1597" s="73">
        <v>0</v>
      </c>
      <c r="Y1597" s="73">
        <v>0</v>
      </c>
      <c r="Z1597" s="73">
        <v>580</v>
      </c>
      <c r="AA1597" s="73">
        <v>432</v>
      </c>
      <c r="AB1597" s="73">
        <v>0</v>
      </c>
      <c r="AC1597" s="73">
        <v>0</v>
      </c>
      <c r="AD1597" s="73">
        <v>0</v>
      </c>
      <c r="AE1597" s="73">
        <v>0</v>
      </c>
      <c r="AF1597" s="74">
        <f>tblData[[#This Row],[Gross Sales]]+tblData[[#This Row],[Trade Discounts]]+tblData[[#This Row],[Returns]]</f>
        <v>239</v>
      </c>
      <c r="AG1597" s="74">
        <f>tblData[[#This Row],[Material Cost]]+tblData[[#This Row],[Conversion Cost]]+tblData[[#This Row],[Inbound Freight]]</f>
        <v>-103</v>
      </c>
      <c r="AH1597" s="74">
        <f>tblData[[#This Row],[Net Revenue]]+tblData[[#This Row],[COGS]]</f>
        <v>136</v>
      </c>
      <c r="AI1597" s="74">
        <f>tblData[[#This Row],[Advertising]]+tblData[[#This Row],[Promotions]]</f>
        <v>-41</v>
      </c>
      <c r="AJ1597" s="74">
        <f>tblData[[#This Row],[Outbound Logistics]]+tblData[[#This Row],[Direct Selling]]</f>
        <v>-12</v>
      </c>
      <c r="AK1597" s="74">
        <f>tblData[[#This Row],[Gross Profit]]+tblData[[#This Row],[AP Spend]]+tblData[[#This Row],[Cost to Serve]]</f>
        <v>83</v>
      </c>
    </row>
    <row r="1598" spans="2:37" x14ac:dyDescent="0.25">
      <c r="B1598" s="71" t="s">
        <v>36</v>
      </c>
      <c r="C1598" s="71">
        <v>2026</v>
      </c>
      <c r="D1598" s="71">
        <v>6</v>
      </c>
      <c r="E1598" s="71" t="s">
        <v>49</v>
      </c>
      <c r="F1598" s="71" t="s">
        <v>49</v>
      </c>
      <c r="G1598" s="72">
        <v>0</v>
      </c>
      <c r="H1598" s="73">
        <v>0</v>
      </c>
      <c r="I1598" s="73">
        <v>0</v>
      </c>
      <c r="J1598" s="73">
        <v>0</v>
      </c>
      <c r="K1598" s="73">
        <v>0</v>
      </c>
      <c r="L1598" s="73">
        <v>0</v>
      </c>
      <c r="M1598" s="73">
        <v>0</v>
      </c>
      <c r="N1598" s="73">
        <v>0</v>
      </c>
      <c r="O1598" s="73">
        <v>0</v>
      </c>
      <c r="P1598" s="73">
        <v>0</v>
      </c>
      <c r="Q1598" s="73">
        <v>0</v>
      </c>
      <c r="R1598" s="73">
        <v>-4322</v>
      </c>
      <c r="S1598" s="73">
        <v>-1000</v>
      </c>
      <c r="T1598" s="73">
        <v>-1280</v>
      </c>
      <c r="U1598" s="73">
        <v>-1085</v>
      </c>
      <c r="V1598" s="73">
        <v>-1480</v>
      </c>
      <c r="W1598" s="73">
        <v>-703</v>
      </c>
      <c r="X1598" s="73">
        <v>-1598</v>
      </c>
      <c r="Y1598" s="73">
        <v>-1406</v>
      </c>
      <c r="Z1598" s="73">
        <v>0</v>
      </c>
      <c r="AA1598" s="73">
        <v>0</v>
      </c>
      <c r="AB1598" s="73">
        <v>34462</v>
      </c>
      <c r="AC1598" s="73">
        <v>45275</v>
      </c>
      <c r="AD1598" s="73">
        <v>185000</v>
      </c>
      <c r="AE1598" s="73">
        <v>1186</v>
      </c>
      <c r="AF1598" s="74">
        <f>tblData[[#This Row],[Gross Sales]]+tblData[[#This Row],[Trade Discounts]]+tblData[[#This Row],[Returns]]</f>
        <v>0</v>
      </c>
      <c r="AG1598" s="74">
        <f>tblData[[#This Row],[Material Cost]]+tblData[[#This Row],[Conversion Cost]]+tblData[[#This Row],[Inbound Freight]]</f>
        <v>0</v>
      </c>
      <c r="AH1598" s="74">
        <f>tblData[[#This Row],[Net Revenue]]+tblData[[#This Row],[COGS]]</f>
        <v>0</v>
      </c>
      <c r="AI1598" s="74">
        <f>tblData[[#This Row],[Advertising]]+tblData[[#This Row],[Promotions]]</f>
        <v>0</v>
      </c>
      <c r="AJ1598" s="74">
        <f>tblData[[#This Row],[Outbound Logistics]]+tblData[[#This Row],[Direct Selling]]</f>
        <v>0</v>
      </c>
      <c r="AK1598" s="74">
        <f>tblData[[#This Row],[Gross Profit]]+tblData[[#This Row],[AP Spend]]+tblData[[#This Row],[Cost to Serve]]</f>
        <v>0</v>
      </c>
    </row>
    <row r="1599" spans="2:37" x14ac:dyDescent="0.25">
      <c r="B1599" s="71" t="s">
        <v>36</v>
      </c>
      <c r="C1599" s="71">
        <v>2026</v>
      </c>
      <c r="D1599" s="71">
        <v>7</v>
      </c>
      <c r="E1599" s="71" t="s">
        <v>37</v>
      </c>
      <c r="F1599" s="71" t="s">
        <v>38</v>
      </c>
      <c r="G1599" s="72">
        <v>298</v>
      </c>
      <c r="H1599" s="73">
        <v>4197</v>
      </c>
      <c r="I1599" s="73">
        <v>-823</v>
      </c>
      <c r="J1599" s="73">
        <v>-63</v>
      </c>
      <c r="K1599" s="73">
        <v>-920</v>
      </c>
      <c r="L1599" s="73">
        <v>-227</v>
      </c>
      <c r="M1599" s="73">
        <v>-141</v>
      </c>
      <c r="N1599" s="73">
        <v>-230</v>
      </c>
      <c r="O1599" s="73">
        <v>-136</v>
      </c>
      <c r="P1599" s="73">
        <v>-173</v>
      </c>
      <c r="Q1599" s="73">
        <v>-126</v>
      </c>
      <c r="R1599" s="73">
        <v>0</v>
      </c>
      <c r="S1599" s="73">
        <v>0</v>
      </c>
      <c r="T1599" s="73">
        <v>0</v>
      </c>
      <c r="U1599" s="73">
        <v>0</v>
      </c>
      <c r="V1599" s="73">
        <v>0</v>
      </c>
      <c r="W1599" s="73">
        <v>0</v>
      </c>
      <c r="X1599" s="73">
        <v>0</v>
      </c>
      <c r="Y1599" s="73">
        <v>0</v>
      </c>
      <c r="Z1599" s="73">
        <v>6420</v>
      </c>
      <c r="AA1599" s="73">
        <v>4348</v>
      </c>
      <c r="AB1599" s="73">
        <v>0</v>
      </c>
      <c r="AC1599" s="73">
        <v>0</v>
      </c>
      <c r="AD1599" s="73">
        <v>0</v>
      </c>
      <c r="AE1599" s="73">
        <v>0</v>
      </c>
      <c r="AF1599" s="74">
        <f>tblData[[#This Row],[Gross Sales]]+tblData[[#This Row],[Trade Discounts]]+tblData[[#This Row],[Returns]]</f>
        <v>3311</v>
      </c>
      <c r="AG1599" s="74">
        <f>tblData[[#This Row],[Material Cost]]+tblData[[#This Row],[Conversion Cost]]+tblData[[#This Row],[Inbound Freight]]</f>
        <v>-1288</v>
      </c>
      <c r="AH1599" s="74">
        <f>tblData[[#This Row],[Net Revenue]]+tblData[[#This Row],[COGS]]</f>
        <v>2023</v>
      </c>
      <c r="AI1599" s="74">
        <f>tblData[[#This Row],[Advertising]]+tblData[[#This Row],[Promotions]]</f>
        <v>-366</v>
      </c>
      <c r="AJ1599" s="74">
        <f>tblData[[#This Row],[Outbound Logistics]]+tblData[[#This Row],[Direct Selling]]</f>
        <v>-299</v>
      </c>
      <c r="AK1599" s="74">
        <f>tblData[[#This Row],[Gross Profit]]+tblData[[#This Row],[AP Spend]]+tblData[[#This Row],[Cost to Serve]]</f>
        <v>1358</v>
      </c>
    </row>
    <row r="1600" spans="2:37" x14ac:dyDescent="0.25">
      <c r="B1600" s="71" t="s">
        <v>36</v>
      </c>
      <c r="C1600" s="71">
        <v>2026</v>
      </c>
      <c r="D1600" s="71">
        <v>7</v>
      </c>
      <c r="E1600" s="71" t="s">
        <v>37</v>
      </c>
      <c r="F1600" s="71" t="s">
        <v>39</v>
      </c>
      <c r="G1600" s="72">
        <v>381.3</v>
      </c>
      <c r="H1600" s="73">
        <v>3438</v>
      </c>
      <c r="I1600" s="73">
        <v>-674</v>
      </c>
      <c r="J1600" s="73">
        <v>-52</v>
      </c>
      <c r="K1600" s="73">
        <v>-905</v>
      </c>
      <c r="L1600" s="73">
        <v>-223</v>
      </c>
      <c r="M1600" s="73">
        <v>-139</v>
      </c>
      <c r="N1600" s="73">
        <v>-132</v>
      </c>
      <c r="O1600" s="73">
        <v>-78</v>
      </c>
      <c r="P1600" s="73">
        <v>-142</v>
      </c>
      <c r="Q1600" s="73">
        <v>-103</v>
      </c>
      <c r="R1600" s="73">
        <v>0</v>
      </c>
      <c r="S1600" s="73">
        <v>0</v>
      </c>
      <c r="T1600" s="73">
        <v>0</v>
      </c>
      <c r="U1600" s="73">
        <v>0</v>
      </c>
      <c r="V1600" s="73">
        <v>0</v>
      </c>
      <c r="W1600" s="73">
        <v>0</v>
      </c>
      <c r="X1600" s="73">
        <v>0</v>
      </c>
      <c r="Y1600" s="73">
        <v>0</v>
      </c>
      <c r="Z1600" s="73">
        <v>5249</v>
      </c>
      <c r="AA1600" s="73">
        <v>3632</v>
      </c>
      <c r="AB1600" s="73">
        <v>0</v>
      </c>
      <c r="AC1600" s="73">
        <v>0</v>
      </c>
      <c r="AD1600" s="73">
        <v>0</v>
      </c>
      <c r="AE1600" s="73">
        <v>0</v>
      </c>
      <c r="AF1600" s="74">
        <f>tblData[[#This Row],[Gross Sales]]+tblData[[#This Row],[Trade Discounts]]+tblData[[#This Row],[Returns]]</f>
        <v>2712</v>
      </c>
      <c r="AG1600" s="74">
        <f>tblData[[#This Row],[Material Cost]]+tblData[[#This Row],[Conversion Cost]]+tblData[[#This Row],[Inbound Freight]]</f>
        <v>-1267</v>
      </c>
      <c r="AH1600" s="74">
        <f>tblData[[#This Row],[Net Revenue]]+tblData[[#This Row],[COGS]]</f>
        <v>1445</v>
      </c>
      <c r="AI1600" s="74">
        <f>tblData[[#This Row],[Advertising]]+tblData[[#This Row],[Promotions]]</f>
        <v>-210</v>
      </c>
      <c r="AJ1600" s="74">
        <f>tblData[[#This Row],[Outbound Logistics]]+tblData[[#This Row],[Direct Selling]]</f>
        <v>-245</v>
      </c>
      <c r="AK1600" s="74">
        <f>tblData[[#This Row],[Gross Profit]]+tblData[[#This Row],[AP Spend]]+tblData[[#This Row],[Cost to Serve]]</f>
        <v>990</v>
      </c>
    </row>
    <row r="1601" spans="2:37" x14ac:dyDescent="0.25">
      <c r="B1601" s="71" t="s">
        <v>36</v>
      </c>
      <c r="C1601" s="71">
        <v>2026</v>
      </c>
      <c r="D1601" s="71">
        <v>7</v>
      </c>
      <c r="E1601" s="71" t="s">
        <v>37</v>
      </c>
      <c r="F1601" s="71" t="s">
        <v>40</v>
      </c>
      <c r="G1601" s="72">
        <v>376.8</v>
      </c>
      <c r="H1601" s="73">
        <v>2637</v>
      </c>
      <c r="I1601" s="73">
        <v>-517</v>
      </c>
      <c r="J1601" s="73">
        <v>-40</v>
      </c>
      <c r="K1601" s="73">
        <v>-771</v>
      </c>
      <c r="L1601" s="73">
        <v>-190</v>
      </c>
      <c r="M1601" s="73">
        <v>-118</v>
      </c>
      <c r="N1601" s="73">
        <v>-66</v>
      </c>
      <c r="O1601" s="73">
        <v>-39</v>
      </c>
      <c r="P1601" s="73">
        <v>-109</v>
      </c>
      <c r="Q1601" s="73">
        <v>-79</v>
      </c>
      <c r="R1601" s="73">
        <v>0</v>
      </c>
      <c r="S1601" s="73">
        <v>0</v>
      </c>
      <c r="T1601" s="73">
        <v>0</v>
      </c>
      <c r="U1601" s="73">
        <v>0</v>
      </c>
      <c r="V1601" s="73">
        <v>0</v>
      </c>
      <c r="W1601" s="73">
        <v>0</v>
      </c>
      <c r="X1601" s="73">
        <v>0</v>
      </c>
      <c r="Y1601" s="73">
        <v>0</v>
      </c>
      <c r="Z1601" s="73">
        <v>3971</v>
      </c>
      <c r="AA1601" s="73">
        <v>2876</v>
      </c>
      <c r="AB1601" s="73">
        <v>0</v>
      </c>
      <c r="AC1601" s="73">
        <v>0</v>
      </c>
      <c r="AD1601" s="73">
        <v>0</v>
      </c>
      <c r="AE1601" s="73">
        <v>0</v>
      </c>
      <c r="AF1601" s="74">
        <f>tblData[[#This Row],[Gross Sales]]+tblData[[#This Row],[Trade Discounts]]+tblData[[#This Row],[Returns]]</f>
        <v>2080</v>
      </c>
      <c r="AG1601" s="74">
        <f>tblData[[#This Row],[Material Cost]]+tblData[[#This Row],[Conversion Cost]]+tblData[[#This Row],[Inbound Freight]]</f>
        <v>-1079</v>
      </c>
      <c r="AH1601" s="74">
        <f>tblData[[#This Row],[Net Revenue]]+tblData[[#This Row],[COGS]]</f>
        <v>1001</v>
      </c>
      <c r="AI1601" s="74">
        <f>tblData[[#This Row],[Advertising]]+tblData[[#This Row],[Promotions]]</f>
        <v>-105</v>
      </c>
      <c r="AJ1601" s="74">
        <f>tblData[[#This Row],[Outbound Logistics]]+tblData[[#This Row],[Direct Selling]]</f>
        <v>-188</v>
      </c>
      <c r="AK1601" s="74">
        <f>tblData[[#This Row],[Gross Profit]]+tblData[[#This Row],[AP Spend]]+tblData[[#This Row],[Cost to Serve]]</f>
        <v>708</v>
      </c>
    </row>
    <row r="1602" spans="2:37" x14ac:dyDescent="0.25">
      <c r="B1602" s="71" t="s">
        <v>36</v>
      </c>
      <c r="C1602" s="71">
        <v>2026</v>
      </c>
      <c r="D1602" s="71">
        <v>7</v>
      </c>
      <c r="E1602" s="71" t="s">
        <v>37</v>
      </c>
      <c r="F1602" s="71" t="s">
        <v>41</v>
      </c>
      <c r="G1602" s="72">
        <v>180.6</v>
      </c>
      <c r="H1602" s="73">
        <v>1993</v>
      </c>
      <c r="I1602" s="73">
        <v>-391</v>
      </c>
      <c r="J1602" s="73">
        <v>-30</v>
      </c>
      <c r="K1602" s="73">
        <v>-481</v>
      </c>
      <c r="L1602" s="73">
        <v>-118</v>
      </c>
      <c r="M1602" s="73">
        <v>-74</v>
      </c>
      <c r="N1602" s="73">
        <v>-141</v>
      </c>
      <c r="O1602" s="73">
        <v>-83</v>
      </c>
      <c r="P1602" s="73">
        <v>-82</v>
      </c>
      <c r="Q1602" s="73">
        <v>-60</v>
      </c>
      <c r="R1602" s="73">
        <v>0</v>
      </c>
      <c r="S1602" s="73">
        <v>0</v>
      </c>
      <c r="T1602" s="73">
        <v>0</v>
      </c>
      <c r="U1602" s="73">
        <v>0</v>
      </c>
      <c r="V1602" s="73">
        <v>0</v>
      </c>
      <c r="W1602" s="73">
        <v>0</v>
      </c>
      <c r="X1602" s="73">
        <v>0</v>
      </c>
      <c r="Y1602" s="73">
        <v>0</v>
      </c>
      <c r="Z1602" s="73">
        <v>3104</v>
      </c>
      <c r="AA1602" s="73">
        <v>2198</v>
      </c>
      <c r="AB1602" s="73">
        <v>0</v>
      </c>
      <c r="AC1602" s="73">
        <v>0</v>
      </c>
      <c r="AD1602" s="73">
        <v>0</v>
      </c>
      <c r="AE1602" s="73">
        <v>0</v>
      </c>
      <c r="AF1602" s="74">
        <f>tblData[[#This Row],[Gross Sales]]+tblData[[#This Row],[Trade Discounts]]+tblData[[#This Row],[Returns]]</f>
        <v>1572</v>
      </c>
      <c r="AG1602" s="74">
        <f>tblData[[#This Row],[Material Cost]]+tblData[[#This Row],[Conversion Cost]]+tblData[[#This Row],[Inbound Freight]]</f>
        <v>-673</v>
      </c>
      <c r="AH1602" s="74">
        <f>tblData[[#This Row],[Net Revenue]]+tblData[[#This Row],[COGS]]</f>
        <v>899</v>
      </c>
      <c r="AI1602" s="74">
        <f>tblData[[#This Row],[Advertising]]+tblData[[#This Row],[Promotions]]</f>
        <v>-224</v>
      </c>
      <c r="AJ1602" s="74">
        <f>tblData[[#This Row],[Outbound Logistics]]+tblData[[#This Row],[Direct Selling]]</f>
        <v>-142</v>
      </c>
      <c r="AK1602" s="74">
        <f>tblData[[#This Row],[Gross Profit]]+tblData[[#This Row],[AP Spend]]+tblData[[#This Row],[Cost to Serve]]</f>
        <v>533</v>
      </c>
    </row>
    <row r="1603" spans="2:37" x14ac:dyDescent="0.25">
      <c r="B1603" s="71" t="s">
        <v>36</v>
      </c>
      <c r="C1603" s="71">
        <v>2026</v>
      </c>
      <c r="D1603" s="71">
        <v>7</v>
      </c>
      <c r="E1603" s="71" t="s">
        <v>37</v>
      </c>
      <c r="F1603" s="71" t="s">
        <v>42</v>
      </c>
      <c r="G1603" s="72">
        <v>220.9</v>
      </c>
      <c r="H1603" s="73">
        <v>1320</v>
      </c>
      <c r="I1603" s="73">
        <v>-259</v>
      </c>
      <c r="J1603" s="73">
        <v>-20</v>
      </c>
      <c r="K1603" s="73">
        <v>-424</v>
      </c>
      <c r="L1603" s="73">
        <v>-105</v>
      </c>
      <c r="M1603" s="73">
        <v>-65</v>
      </c>
      <c r="N1603" s="73">
        <v>-27</v>
      </c>
      <c r="O1603" s="73">
        <v>-16</v>
      </c>
      <c r="P1603" s="73">
        <v>-54</v>
      </c>
      <c r="Q1603" s="73">
        <v>-40</v>
      </c>
      <c r="R1603" s="73">
        <v>0</v>
      </c>
      <c r="S1603" s="73">
        <v>0</v>
      </c>
      <c r="T1603" s="73">
        <v>0</v>
      </c>
      <c r="U1603" s="73">
        <v>0</v>
      </c>
      <c r="V1603" s="73">
        <v>0</v>
      </c>
      <c r="W1603" s="73">
        <v>0</v>
      </c>
      <c r="X1603" s="73">
        <v>0</v>
      </c>
      <c r="Y1603" s="73">
        <v>0</v>
      </c>
      <c r="Z1603" s="73">
        <v>1999</v>
      </c>
      <c r="AA1603" s="73">
        <v>2458</v>
      </c>
      <c r="AB1603" s="73">
        <v>0</v>
      </c>
      <c r="AC1603" s="73">
        <v>0</v>
      </c>
      <c r="AD1603" s="73">
        <v>0</v>
      </c>
      <c r="AE1603" s="73">
        <v>0</v>
      </c>
      <c r="AF1603" s="74">
        <f>tblData[[#This Row],[Gross Sales]]+tblData[[#This Row],[Trade Discounts]]+tblData[[#This Row],[Returns]]</f>
        <v>1041</v>
      </c>
      <c r="AG1603" s="74">
        <f>tblData[[#This Row],[Material Cost]]+tblData[[#This Row],[Conversion Cost]]+tblData[[#This Row],[Inbound Freight]]</f>
        <v>-594</v>
      </c>
      <c r="AH1603" s="74">
        <f>tblData[[#This Row],[Net Revenue]]+tblData[[#This Row],[COGS]]</f>
        <v>447</v>
      </c>
      <c r="AI1603" s="74">
        <f>tblData[[#This Row],[Advertising]]+tblData[[#This Row],[Promotions]]</f>
        <v>-43</v>
      </c>
      <c r="AJ1603" s="74">
        <f>tblData[[#This Row],[Outbound Logistics]]+tblData[[#This Row],[Direct Selling]]</f>
        <v>-94</v>
      </c>
      <c r="AK1603" s="74">
        <f>tblData[[#This Row],[Gross Profit]]+tblData[[#This Row],[AP Spend]]+tblData[[#This Row],[Cost to Serve]]</f>
        <v>310</v>
      </c>
    </row>
    <row r="1604" spans="2:37" x14ac:dyDescent="0.25">
      <c r="B1604" s="71" t="s">
        <v>36</v>
      </c>
      <c r="C1604" s="71">
        <v>2026</v>
      </c>
      <c r="D1604" s="71">
        <v>7</v>
      </c>
      <c r="E1604" s="71" t="s">
        <v>37</v>
      </c>
      <c r="F1604" s="71" t="s">
        <v>43</v>
      </c>
      <c r="G1604" s="72">
        <v>41.9</v>
      </c>
      <c r="H1604" s="73">
        <v>754</v>
      </c>
      <c r="I1604" s="73">
        <v>-148</v>
      </c>
      <c r="J1604" s="73">
        <v>-11</v>
      </c>
      <c r="K1604" s="73">
        <v>-209</v>
      </c>
      <c r="L1604" s="73">
        <v>-52</v>
      </c>
      <c r="M1604" s="73">
        <v>-32</v>
      </c>
      <c r="N1604" s="73">
        <v>-77</v>
      </c>
      <c r="O1604" s="73">
        <v>-45</v>
      </c>
      <c r="P1604" s="73">
        <v>-31</v>
      </c>
      <c r="Q1604" s="73">
        <v>-23</v>
      </c>
      <c r="R1604" s="73">
        <v>0</v>
      </c>
      <c r="S1604" s="73">
        <v>0</v>
      </c>
      <c r="T1604" s="73">
        <v>0</v>
      </c>
      <c r="U1604" s="73">
        <v>0</v>
      </c>
      <c r="V1604" s="73">
        <v>0</v>
      </c>
      <c r="W1604" s="73">
        <v>0</v>
      </c>
      <c r="X1604" s="73">
        <v>0</v>
      </c>
      <c r="Y1604" s="73">
        <v>0</v>
      </c>
      <c r="Z1604" s="73">
        <v>1148</v>
      </c>
      <c r="AA1604" s="73">
        <v>1229</v>
      </c>
      <c r="AB1604" s="73">
        <v>0</v>
      </c>
      <c r="AC1604" s="73">
        <v>0</v>
      </c>
      <c r="AD1604" s="73">
        <v>0</v>
      </c>
      <c r="AE1604" s="73">
        <v>0</v>
      </c>
      <c r="AF1604" s="74">
        <f>tblData[[#This Row],[Gross Sales]]+tblData[[#This Row],[Trade Discounts]]+tblData[[#This Row],[Returns]]</f>
        <v>595</v>
      </c>
      <c r="AG1604" s="74">
        <f>tblData[[#This Row],[Material Cost]]+tblData[[#This Row],[Conversion Cost]]+tblData[[#This Row],[Inbound Freight]]</f>
        <v>-293</v>
      </c>
      <c r="AH1604" s="74">
        <f>tblData[[#This Row],[Net Revenue]]+tblData[[#This Row],[COGS]]</f>
        <v>302</v>
      </c>
      <c r="AI1604" s="74">
        <f>tblData[[#This Row],[Advertising]]+tblData[[#This Row],[Promotions]]</f>
        <v>-122</v>
      </c>
      <c r="AJ1604" s="74">
        <f>tblData[[#This Row],[Outbound Logistics]]+tblData[[#This Row],[Direct Selling]]</f>
        <v>-54</v>
      </c>
      <c r="AK1604" s="74">
        <f>tblData[[#This Row],[Gross Profit]]+tblData[[#This Row],[AP Spend]]+tblData[[#This Row],[Cost to Serve]]</f>
        <v>126</v>
      </c>
    </row>
    <row r="1605" spans="2:37" x14ac:dyDescent="0.25">
      <c r="B1605" s="71" t="s">
        <v>36</v>
      </c>
      <c r="C1605" s="71">
        <v>2026</v>
      </c>
      <c r="D1605" s="71">
        <v>7</v>
      </c>
      <c r="E1605" s="71" t="s">
        <v>44</v>
      </c>
      <c r="F1605" s="71" t="s">
        <v>38</v>
      </c>
      <c r="G1605" s="72">
        <v>253.7</v>
      </c>
      <c r="H1605" s="73">
        <v>3587</v>
      </c>
      <c r="I1605" s="73">
        <v>-581</v>
      </c>
      <c r="J1605" s="73">
        <v>-43</v>
      </c>
      <c r="K1605" s="73">
        <v>-786</v>
      </c>
      <c r="L1605" s="73">
        <v>-194</v>
      </c>
      <c r="M1605" s="73">
        <v>-121</v>
      </c>
      <c r="N1605" s="73">
        <v>-184</v>
      </c>
      <c r="O1605" s="73">
        <v>-109</v>
      </c>
      <c r="P1605" s="73">
        <v>-148</v>
      </c>
      <c r="Q1605" s="73">
        <v>-108</v>
      </c>
      <c r="R1605" s="73">
        <v>0</v>
      </c>
      <c r="S1605" s="73">
        <v>0</v>
      </c>
      <c r="T1605" s="73">
        <v>0</v>
      </c>
      <c r="U1605" s="73">
        <v>0</v>
      </c>
      <c r="V1605" s="73">
        <v>0</v>
      </c>
      <c r="W1605" s="73">
        <v>0</v>
      </c>
      <c r="X1605" s="73">
        <v>0</v>
      </c>
      <c r="Y1605" s="73">
        <v>0</v>
      </c>
      <c r="Z1605" s="73">
        <v>5194</v>
      </c>
      <c r="AA1605" s="73">
        <v>3677</v>
      </c>
      <c r="AB1605" s="73">
        <v>0</v>
      </c>
      <c r="AC1605" s="73">
        <v>0</v>
      </c>
      <c r="AD1605" s="73">
        <v>0</v>
      </c>
      <c r="AE1605" s="73">
        <v>0</v>
      </c>
      <c r="AF1605" s="74">
        <f>tblData[[#This Row],[Gross Sales]]+tblData[[#This Row],[Trade Discounts]]+tblData[[#This Row],[Returns]]</f>
        <v>2963</v>
      </c>
      <c r="AG1605" s="74">
        <f>tblData[[#This Row],[Material Cost]]+tblData[[#This Row],[Conversion Cost]]+tblData[[#This Row],[Inbound Freight]]</f>
        <v>-1101</v>
      </c>
      <c r="AH1605" s="74">
        <f>tblData[[#This Row],[Net Revenue]]+tblData[[#This Row],[COGS]]</f>
        <v>1862</v>
      </c>
      <c r="AI1605" s="74">
        <f>tblData[[#This Row],[Advertising]]+tblData[[#This Row],[Promotions]]</f>
        <v>-293</v>
      </c>
      <c r="AJ1605" s="74">
        <f>tblData[[#This Row],[Outbound Logistics]]+tblData[[#This Row],[Direct Selling]]</f>
        <v>-256</v>
      </c>
      <c r="AK1605" s="74">
        <f>tblData[[#This Row],[Gross Profit]]+tblData[[#This Row],[AP Spend]]+tblData[[#This Row],[Cost to Serve]]</f>
        <v>1313</v>
      </c>
    </row>
    <row r="1606" spans="2:37" x14ac:dyDescent="0.25">
      <c r="B1606" s="71" t="s">
        <v>36</v>
      </c>
      <c r="C1606" s="71">
        <v>2026</v>
      </c>
      <c r="D1606" s="71">
        <v>7</v>
      </c>
      <c r="E1606" s="71" t="s">
        <v>44</v>
      </c>
      <c r="F1606" s="71" t="s">
        <v>39</v>
      </c>
      <c r="G1606" s="72">
        <v>330.4</v>
      </c>
      <c r="H1606" s="73">
        <v>2991</v>
      </c>
      <c r="I1606" s="73">
        <v>-485</v>
      </c>
      <c r="J1606" s="73">
        <v>-36</v>
      </c>
      <c r="K1606" s="73">
        <v>-787</v>
      </c>
      <c r="L1606" s="73">
        <v>-194</v>
      </c>
      <c r="M1606" s="73">
        <v>-121</v>
      </c>
      <c r="N1606" s="73">
        <v>-105</v>
      </c>
      <c r="O1606" s="73">
        <v>-62</v>
      </c>
      <c r="P1606" s="73">
        <v>-123</v>
      </c>
      <c r="Q1606" s="73">
        <v>-90</v>
      </c>
      <c r="R1606" s="73">
        <v>0</v>
      </c>
      <c r="S1606" s="73">
        <v>0</v>
      </c>
      <c r="T1606" s="73">
        <v>0</v>
      </c>
      <c r="U1606" s="73">
        <v>0</v>
      </c>
      <c r="V1606" s="73">
        <v>0</v>
      </c>
      <c r="W1606" s="73">
        <v>0</v>
      </c>
      <c r="X1606" s="73">
        <v>0</v>
      </c>
      <c r="Y1606" s="73">
        <v>0</v>
      </c>
      <c r="Z1606" s="73">
        <v>4284</v>
      </c>
      <c r="AA1606" s="73">
        <v>3099</v>
      </c>
      <c r="AB1606" s="73">
        <v>0</v>
      </c>
      <c r="AC1606" s="73">
        <v>0</v>
      </c>
      <c r="AD1606" s="73">
        <v>0</v>
      </c>
      <c r="AE1606" s="73">
        <v>0</v>
      </c>
      <c r="AF1606" s="74">
        <f>tblData[[#This Row],[Gross Sales]]+tblData[[#This Row],[Trade Discounts]]+tblData[[#This Row],[Returns]]</f>
        <v>2470</v>
      </c>
      <c r="AG1606" s="74">
        <f>tblData[[#This Row],[Material Cost]]+tblData[[#This Row],[Conversion Cost]]+tblData[[#This Row],[Inbound Freight]]</f>
        <v>-1102</v>
      </c>
      <c r="AH1606" s="74">
        <f>tblData[[#This Row],[Net Revenue]]+tblData[[#This Row],[COGS]]</f>
        <v>1368</v>
      </c>
      <c r="AI1606" s="74">
        <f>tblData[[#This Row],[Advertising]]+tblData[[#This Row],[Promotions]]</f>
        <v>-167</v>
      </c>
      <c r="AJ1606" s="74">
        <f>tblData[[#This Row],[Outbound Logistics]]+tblData[[#This Row],[Direct Selling]]</f>
        <v>-213</v>
      </c>
      <c r="AK1606" s="74">
        <f>tblData[[#This Row],[Gross Profit]]+tblData[[#This Row],[AP Spend]]+tblData[[#This Row],[Cost to Serve]]</f>
        <v>988</v>
      </c>
    </row>
    <row r="1607" spans="2:37" x14ac:dyDescent="0.25">
      <c r="B1607" s="71" t="s">
        <v>36</v>
      </c>
      <c r="C1607" s="71">
        <v>2026</v>
      </c>
      <c r="D1607" s="71">
        <v>7</v>
      </c>
      <c r="E1607" s="71" t="s">
        <v>44</v>
      </c>
      <c r="F1607" s="71" t="s">
        <v>40</v>
      </c>
      <c r="G1607" s="72">
        <v>308.3</v>
      </c>
      <c r="H1607" s="73">
        <v>2166</v>
      </c>
      <c r="I1607" s="73">
        <v>-351</v>
      </c>
      <c r="J1607" s="73">
        <v>-26</v>
      </c>
      <c r="K1607" s="73">
        <v>-633</v>
      </c>
      <c r="L1607" s="73">
        <v>-156</v>
      </c>
      <c r="M1607" s="73">
        <v>-97</v>
      </c>
      <c r="N1607" s="73">
        <v>-53</v>
      </c>
      <c r="O1607" s="73">
        <v>-31</v>
      </c>
      <c r="P1607" s="73">
        <v>-89</v>
      </c>
      <c r="Q1607" s="73">
        <v>-65</v>
      </c>
      <c r="R1607" s="73">
        <v>0</v>
      </c>
      <c r="S1607" s="73">
        <v>0</v>
      </c>
      <c r="T1607" s="73">
        <v>0</v>
      </c>
      <c r="U1607" s="73">
        <v>0</v>
      </c>
      <c r="V1607" s="73">
        <v>0</v>
      </c>
      <c r="W1607" s="73">
        <v>0</v>
      </c>
      <c r="X1607" s="73">
        <v>0</v>
      </c>
      <c r="Y1607" s="73">
        <v>0</v>
      </c>
      <c r="Z1607" s="73">
        <v>3156</v>
      </c>
      <c r="AA1607" s="73">
        <v>2389</v>
      </c>
      <c r="AB1607" s="73">
        <v>0</v>
      </c>
      <c r="AC1607" s="73">
        <v>0</v>
      </c>
      <c r="AD1607" s="73">
        <v>0</v>
      </c>
      <c r="AE1607" s="73">
        <v>0</v>
      </c>
      <c r="AF1607" s="74">
        <f>tblData[[#This Row],[Gross Sales]]+tblData[[#This Row],[Trade Discounts]]+tblData[[#This Row],[Returns]]</f>
        <v>1789</v>
      </c>
      <c r="AG1607" s="74">
        <f>tblData[[#This Row],[Material Cost]]+tblData[[#This Row],[Conversion Cost]]+tblData[[#This Row],[Inbound Freight]]</f>
        <v>-886</v>
      </c>
      <c r="AH1607" s="74">
        <f>tblData[[#This Row],[Net Revenue]]+tblData[[#This Row],[COGS]]</f>
        <v>903</v>
      </c>
      <c r="AI1607" s="74">
        <f>tblData[[#This Row],[Advertising]]+tblData[[#This Row],[Promotions]]</f>
        <v>-84</v>
      </c>
      <c r="AJ1607" s="74">
        <f>tblData[[#This Row],[Outbound Logistics]]+tblData[[#This Row],[Direct Selling]]</f>
        <v>-154</v>
      </c>
      <c r="AK1607" s="74">
        <f>tblData[[#This Row],[Gross Profit]]+tblData[[#This Row],[AP Spend]]+tblData[[#This Row],[Cost to Serve]]</f>
        <v>665</v>
      </c>
    </row>
    <row r="1608" spans="2:37" x14ac:dyDescent="0.25">
      <c r="B1608" s="71" t="s">
        <v>36</v>
      </c>
      <c r="C1608" s="71">
        <v>2026</v>
      </c>
      <c r="D1608" s="71">
        <v>7</v>
      </c>
      <c r="E1608" s="71" t="s">
        <v>44</v>
      </c>
      <c r="F1608" s="71" t="s">
        <v>41</v>
      </c>
      <c r="G1608" s="72">
        <v>155.80000000000001</v>
      </c>
      <c r="H1608" s="73">
        <v>1726</v>
      </c>
      <c r="I1608" s="73">
        <v>-280</v>
      </c>
      <c r="J1608" s="73">
        <v>-21</v>
      </c>
      <c r="K1608" s="73">
        <v>-416</v>
      </c>
      <c r="L1608" s="73">
        <v>-103</v>
      </c>
      <c r="M1608" s="73">
        <v>-64</v>
      </c>
      <c r="N1608" s="73">
        <v>-113</v>
      </c>
      <c r="O1608" s="73">
        <v>-67</v>
      </c>
      <c r="P1608" s="73">
        <v>-71</v>
      </c>
      <c r="Q1608" s="73">
        <v>-52</v>
      </c>
      <c r="R1608" s="73">
        <v>0</v>
      </c>
      <c r="S1608" s="73">
        <v>0</v>
      </c>
      <c r="T1608" s="73">
        <v>0</v>
      </c>
      <c r="U1608" s="73">
        <v>0</v>
      </c>
      <c r="V1608" s="73">
        <v>0</v>
      </c>
      <c r="W1608" s="73">
        <v>0</v>
      </c>
      <c r="X1608" s="73">
        <v>0</v>
      </c>
      <c r="Y1608" s="73">
        <v>0</v>
      </c>
      <c r="Z1608" s="73">
        <v>2479</v>
      </c>
      <c r="AA1608" s="73">
        <v>1835</v>
      </c>
      <c r="AB1608" s="73">
        <v>0</v>
      </c>
      <c r="AC1608" s="73">
        <v>0</v>
      </c>
      <c r="AD1608" s="73">
        <v>0</v>
      </c>
      <c r="AE1608" s="73">
        <v>0</v>
      </c>
      <c r="AF1608" s="74">
        <f>tblData[[#This Row],[Gross Sales]]+tblData[[#This Row],[Trade Discounts]]+tblData[[#This Row],[Returns]]</f>
        <v>1425</v>
      </c>
      <c r="AG1608" s="74">
        <f>tblData[[#This Row],[Material Cost]]+tblData[[#This Row],[Conversion Cost]]+tblData[[#This Row],[Inbound Freight]]</f>
        <v>-583</v>
      </c>
      <c r="AH1608" s="74">
        <f>tblData[[#This Row],[Net Revenue]]+tblData[[#This Row],[COGS]]</f>
        <v>842</v>
      </c>
      <c r="AI1608" s="74">
        <f>tblData[[#This Row],[Advertising]]+tblData[[#This Row],[Promotions]]</f>
        <v>-180</v>
      </c>
      <c r="AJ1608" s="74">
        <f>tblData[[#This Row],[Outbound Logistics]]+tblData[[#This Row],[Direct Selling]]</f>
        <v>-123</v>
      </c>
      <c r="AK1608" s="74">
        <f>tblData[[#This Row],[Gross Profit]]+tblData[[#This Row],[AP Spend]]+tblData[[#This Row],[Cost to Serve]]</f>
        <v>539</v>
      </c>
    </row>
    <row r="1609" spans="2:37" x14ac:dyDescent="0.25">
      <c r="B1609" s="71" t="s">
        <v>36</v>
      </c>
      <c r="C1609" s="71">
        <v>2026</v>
      </c>
      <c r="D1609" s="71">
        <v>7</v>
      </c>
      <c r="E1609" s="71" t="s">
        <v>44</v>
      </c>
      <c r="F1609" s="71" t="s">
        <v>42</v>
      </c>
      <c r="G1609" s="72">
        <v>190.8</v>
      </c>
      <c r="H1609" s="73">
        <v>1145</v>
      </c>
      <c r="I1609" s="73">
        <v>-185</v>
      </c>
      <c r="J1609" s="73">
        <v>-14</v>
      </c>
      <c r="K1609" s="73">
        <v>-368</v>
      </c>
      <c r="L1609" s="73">
        <v>-91</v>
      </c>
      <c r="M1609" s="73">
        <v>-56</v>
      </c>
      <c r="N1609" s="73">
        <v>-22</v>
      </c>
      <c r="O1609" s="73">
        <v>-13</v>
      </c>
      <c r="P1609" s="73">
        <v>-47</v>
      </c>
      <c r="Q1609" s="73">
        <v>-34</v>
      </c>
      <c r="R1609" s="73">
        <v>0</v>
      </c>
      <c r="S1609" s="73">
        <v>0</v>
      </c>
      <c r="T1609" s="73">
        <v>0</v>
      </c>
      <c r="U1609" s="73">
        <v>0</v>
      </c>
      <c r="V1609" s="73">
        <v>0</v>
      </c>
      <c r="W1609" s="73">
        <v>0</v>
      </c>
      <c r="X1609" s="73">
        <v>0</v>
      </c>
      <c r="Y1609" s="73">
        <v>0</v>
      </c>
      <c r="Z1609" s="73">
        <v>1649</v>
      </c>
      <c r="AA1609" s="73">
        <v>2119</v>
      </c>
      <c r="AB1609" s="73">
        <v>0</v>
      </c>
      <c r="AC1609" s="73">
        <v>0</v>
      </c>
      <c r="AD1609" s="73">
        <v>0</v>
      </c>
      <c r="AE1609" s="73">
        <v>0</v>
      </c>
      <c r="AF1609" s="74">
        <f>tblData[[#This Row],[Gross Sales]]+tblData[[#This Row],[Trade Discounts]]+tblData[[#This Row],[Returns]]</f>
        <v>946</v>
      </c>
      <c r="AG1609" s="74">
        <f>tblData[[#This Row],[Material Cost]]+tblData[[#This Row],[Conversion Cost]]+tblData[[#This Row],[Inbound Freight]]</f>
        <v>-515</v>
      </c>
      <c r="AH1609" s="74">
        <f>tblData[[#This Row],[Net Revenue]]+tblData[[#This Row],[COGS]]</f>
        <v>431</v>
      </c>
      <c r="AI1609" s="74">
        <f>tblData[[#This Row],[Advertising]]+tblData[[#This Row],[Promotions]]</f>
        <v>-35</v>
      </c>
      <c r="AJ1609" s="74">
        <f>tblData[[#This Row],[Outbound Logistics]]+tblData[[#This Row],[Direct Selling]]</f>
        <v>-81</v>
      </c>
      <c r="AK1609" s="74">
        <f>tblData[[#This Row],[Gross Profit]]+tblData[[#This Row],[AP Spend]]+tblData[[#This Row],[Cost to Serve]]</f>
        <v>315</v>
      </c>
    </row>
    <row r="1610" spans="2:37" x14ac:dyDescent="0.25">
      <c r="B1610" s="71" t="s">
        <v>36</v>
      </c>
      <c r="C1610" s="71">
        <v>2026</v>
      </c>
      <c r="D1610" s="71">
        <v>7</v>
      </c>
      <c r="E1610" s="71" t="s">
        <v>44</v>
      </c>
      <c r="F1610" s="71" t="s">
        <v>43</v>
      </c>
      <c r="G1610" s="72">
        <v>36</v>
      </c>
      <c r="H1610" s="73">
        <v>650</v>
      </c>
      <c r="I1610" s="73">
        <v>-105</v>
      </c>
      <c r="J1610" s="73">
        <v>-8</v>
      </c>
      <c r="K1610" s="73">
        <v>-180</v>
      </c>
      <c r="L1610" s="73">
        <v>-44</v>
      </c>
      <c r="M1610" s="73">
        <v>-28</v>
      </c>
      <c r="N1610" s="73">
        <v>-61</v>
      </c>
      <c r="O1610" s="73">
        <v>-36</v>
      </c>
      <c r="P1610" s="73">
        <v>-27</v>
      </c>
      <c r="Q1610" s="73">
        <v>-19</v>
      </c>
      <c r="R1610" s="73">
        <v>0</v>
      </c>
      <c r="S1610" s="73">
        <v>0</v>
      </c>
      <c r="T1610" s="73">
        <v>0</v>
      </c>
      <c r="U1610" s="73">
        <v>0</v>
      </c>
      <c r="V1610" s="73">
        <v>0</v>
      </c>
      <c r="W1610" s="73">
        <v>0</v>
      </c>
      <c r="X1610" s="73">
        <v>0</v>
      </c>
      <c r="Y1610" s="73">
        <v>0</v>
      </c>
      <c r="Z1610" s="73">
        <v>929</v>
      </c>
      <c r="AA1610" s="73">
        <v>1039</v>
      </c>
      <c r="AB1610" s="73">
        <v>0</v>
      </c>
      <c r="AC1610" s="73">
        <v>0</v>
      </c>
      <c r="AD1610" s="73">
        <v>0</v>
      </c>
      <c r="AE1610" s="73">
        <v>0</v>
      </c>
      <c r="AF1610" s="74">
        <f>tblData[[#This Row],[Gross Sales]]+tblData[[#This Row],[Trade Discounts]]+tblData[[#This Row],[Returns]]</f>
        <v>537</v>
      </c>
      <c r="AG1610" s="74">
        <f>tblData[[#This Row],[Material Cost]]+tblData[[#This Row],[Conversion Cost]]+tblData[[#This Row],[Inbound Freight]]</f>
        <v>-252</v>
      </c>
      <c r="AH1610" s="74">
        <f>tblData[[#This Row],[Net Revenue]]+tblData[[#This Row],[COGS]]</f>
        <v>285</v>
      </c>
      <c r="AI1610" s="74">
        <f>tblData[[#This Row],[Advertising]]+tblData[[#This Row],[Promotions]]</f>
        <v>-97</v>
      </c>
      <c r="AJ1610" s="74">
        <f>tblData[[#This Row],[Outbound Logistics]]+tblData[[#This Row],[Direct Selling]]</f>
        <v>-46</v>
      </c>
      <c r="AK1610" s="74">
        <f>tblData[[#This Row],[Gross Profit]]+tblData[[#This Row],[AP Spend]]+tblData[[#This Row],[Cost to Serve]]</f>
        <v>142</v>
      </c>
    </row>
    <row r="1611" spans="2:37" x14ac:dyDescent="0.25">
      <c r="B1611" s="71" t="s">
        <v>36</v>
      </c>
      <c r="C1611" s="71">
        <v>2026</v>
      </c>
      <c r="D1611" s="71">
        <v>7</v>
      </c>
      <c r="E1611" s="71" t="s">
        <v>45</v>
      </c>
      <c r="F1611" s="71" t="s">
        <v>38</v>
      </c>
      <c r="G1611" s="72">
        <v>141.30000000000001</v>
      </c>
      <c r="H1611" s="73">
        <v>1974</v>
      </c>
      <c r="I1611" s="73">
        <v>-458</v>
      </c>
      <c r="J1611" s="73">
        <v>-20</v>
      </c>
      <c r="K1611" s="73">
        <v>-433</v>
      </c>
      <c r="L1611" s="73">
        <v>-107</v>
      </c>
      <c r="M1611" s="73">
        <v>-66</v>
      </c>
      <c r="N1611" s="73">
        <v>-107</v>
      </c>
      <c r="O1611" s="73">
        <v>-63</v>
      </c>
      <c r="P1611" s="73">
        <v>-71</v>
      </c>
      <c r="Q1611" s="73">
        <v>-39</v>
      </c>
      <c r="R1611" s="73">
        <v>0</v>
      </c>
      <c r="S1611" s="73">
        <v>0</v>
      </c>
      <c r="T1611" s="73">
        <v>0</v>
      </c>
      <c r="U1611" s="73">
        <v>0</v>
      </c>
      <c r="V1611" s="73">
        <v>0</v>
      </c>
      <c r="W1611" s="73">
        <v>0</v>
      </c>
      <c r="X1611" s="73">
        <v>0</v>
      </c>
      <c r="Y1611" s="73">
        <v>0</v>
      </c>
      <c r="Z1611" s="73">
        <v>2386</v>
      </c>
      <c r="AA1611" s="73">
        <v>2032</v>
      </c>
      <c r="AB1611" s="73">
        <v>0</v>
      </c>
      <c r="AC1611" s="73">
        <v>0</v>
      </c>
      <c r="AD1611" s="73">
        <v>0</v>
      </c>
      <c r="AE1611" s="73">
        <v>0</v>
      </c>
      <c r="AF1611" s="74">
        <f>tblData[[#This Row],[Gross Sales]]+tblData[[#This Row],[Trade Discounts]]+tblData[[#This Row],[Returns]]</f>
        <v>1496</v>
      </c>
      <c r="AG1611" s="74">
        <f>tblData[[#This Row],[Material Cost]]+tblData[[#This Row],[Conversion Cost]]+tblData[[#This Row],[Inbound Freight]]</f>
        <v>-606</v>
      </c>
      <c r="AH1611" s="74">
        <f>tblData[[#This Row],[Net Revenue]]+tblData[[#This Row],[COGS]]</f>
        <v>890</v>
      </c>
      <c r="AI1611" s="74">
        <f>tblData[[#This Row],[Advertising]]+tblData[[#This Row],[Promotions]]</f>
        <v>-170</v>
      </c>
      <c r="AJ1611" s="74">
        <f>tblData[[#This Row],[Outbound Logistics]]+tblData[[#This Row],[Direct Selling]]</f>
        <v>-110</v>
      </c>
      <c r="AK1611" s="74">
        <f>tblData[[#This Row],[Gross Profit]]+tblData[[#This Row],[AP Spend]]+tblData[[#This Row],[Cost to Serve]]</f>
        <v>610</v>
      </c>
    </row>
    <row r="1612" spans="2:37" x14ac:dyDescent="0.25">
      <c r="B1612" s="71" t="s">
        <v>36</v>
      </c>
      <c r="C1612" s="71">
        <v>2026</v>
      </c>
      <c r="D1612" s="71">
        <v>7</v>
      </c>
      <c r="E1612" s="71" t="s">
        <v>45</v>
      </c>
      <c r="F1612" s="71" t="s">
        <v>39</v>
      </c>
      <c r="G1612" s="72">
        <v>180.2</v>
      </c>
      <c r="H1612" s="73">
        <v>1612</v>
      </c>
      <c r="I1612" s="73">
        <v>-374</v>
      </c>
      <c r="J1612" s="73">
        <v>-16</v>
      </c>
      <c r="K1612" s="73">
        <v>-424</v>
      </c>
      <c r="L1612" s="73">
        <v>-104</v>
      </c>
      <c r="M1612" s="73">
        <v>-65</v>
      </c>
      <c r="N1612" s="73">
        <v>-61</v>
      </c>
      <c r="O1612" s="73">
        <v>-36</v>
      </c>
      <c r="P1612" s="73">
        <v>-58</v>
      </c>
      <c r="Q1612" s="73">
        <v>-32</v>
      </c>
      <c r="R1612" s="73">
        <v>0</v>
      </c>
      <c r="S1612" s="73">
        <v>0</v>
      </c>
      <c r="T1612" s="73">
        <v>0</v>
      </c>
      <c r="U1612" s="73">
        <v>0</v>
      </c>
      <c r="V1612" s="73">
        <v>0</v>
      </c>
      <c r="W1612" s="73">
        <v>0</v>
      </c>
      <c r="X1612" s="73">
        <v>0</v>
      </c>
      <c r="Y1612" s="73">
        <v>0</v>
      </c>
      <c r="Z1612" s="73">
        <v>1998</v>
      </c>
      <c r="AA1612" s="73">
        <v>1738</v>
      </c>
      <c r="AB1612" s="73">
        <v>0</v>
      </c>
      <c r="AC1612" s="73">
        <v>0</v>
      </c>
      <c r="AD1612" s="73">
        <v>0</v>
      </c>
      <c r="AE1612" s="73">
        <v>0</v>
      </c>
      <c r="AF1612" s="74">
        <f>tblData[[#This Row],[Gross Sales]]+tblData[[#This Row],[Trade Discounts]]+tblData[[#This Row],[Returns]]</f>
        <v>1222</v>
      </c>
      <c r="AG1612" s="74">
        <f>tblData[[#This Row],[Material Cost]]+tblData[[#This Row],[Conversion Cost]]+tblData[[#This Row],[Inbound Freight]]</f>
        <v>-593</v>
      </c>
      <c r="AH1612" s="74">
        <f>tblData[[#This Row],[Net Revenue]]+tblData[[#This Row],[COGS]]</f>
        <v>629</v>
      </c>
      <c r="AI1612" s="74">
        <f>tblData[[#This Row],[Advertising]]+tblData[[#This Row],[Promotions]]</f>
        <v>-97</v>
      </c>
      <c r="AJ1612" s="74">
        <f>tblData[[#This Row],[Outbound Logistics]]+tblData[[#This Row],[Direct Selling]]</f>
        <v>-90</v>
      </c>
      <c r="AK1612" s="74">
        <f>tblData[[#This Row],[Gross Profit]]+tblData[[#This Row],[AP Spend]]+tblData[[#This Row],[Cost to Serve]]</f>
        <v>442</v>
      </c>
    </row>
    <row r="1613" spans="2:37" x14ac:dyDescent="0.25">
      <c r="B1613" s="71" t="s">
        <v>36</v>
      </c>
      <c r="C1613" s="71">
        <v>2026</v>
      </c>
      <c r="D1613" s="71">
        <v>7</v>
      </c>
      <c r="E1613" s="71" t="s">
        <v>45</v>
      </c>
      <c r="F1613" s="71" t="s">
        <v>40</v>
      </c>
      <c r="G1613" s="72">
        <v>178</v>
      </c>
      <c r="H1613" s="73">
        <v>1236</v>
      </c>
      <c r="I1613" s="73">
        <v>-287</v>
      </c>
      <c r="J1613" s="73">
        <v>-12</v>
      </c>
      <c r="K1613" s="73">
        <v>-361</v>
      </c>
      <c r="L1613" s="73">
        <v>-89</v>
      </c>
      <c r="M1613" s="73">
        <v>-55</v>
      </c>
      <c r="N1613" s="73">
        <v>-31</v>
      </c>
      <c r="O1613" s="73">
        <v>-18</v>
      </c>
      <c r="P1613" s="73">
        <v>-45</v>
      </c>
      <c r="Q1613" s="73">
        <v>-25</v>
      </c>
      <c r="R1613" s="73">
        <v>0</v>
      </c>
      <c r="S1613" s="73">
        <v>0</v>
      </c>
      <c r="T1613" s="73">
        <v>0</v>
      </c>
      <c r="U1613" s="73">
        <v>0</v>
      </c>
      <c r="V1613" s="73">
        <v>0</v>
      </c>
      <c r="W1613" s="73">
        <v>0</v>
      </c>
      <c r="X1613" s="73">
        <v>0</v>
      </c>
      <c r="Y1613" s="73">
        <v>0</v>
      </c>
      <c r="Z1613" s="73">
        <v>1475</v>
      </c>
      <c r="AA1613" s="73">
        <v>1344</v>
      </c>
      <c r="AB1613" s="73">
        <v>0</v>
      </c>
      <c r="AC1613" s="73">
        <v>0</v>
      </c>
      <c r="AD1613" s="73">
        <v>0</v>
      </c>
      <c r="AE1613" s="73">
        <v>0</v>
      </c>
      <c r="AF1613" s="74">
        <f>tblData[[#This Row],[Gross Sales]]+tblData[[#This Row],[Trade Discounts]]+tblData[[#This Row],[Returns]]</f>
        <v>937</v>
      </c>
      <c r="AG1613" s="74">
        <f>tblData[[#This Row],[Material Cost]]+tblData[[#This Row],[Conversion Cost]]+tblData[[#This Row],[Inbound Freight]]</f>
        <v>-505</v>
      </c>
      <c r="AH1613" s="74">
        <f>tblData[[#This Row],[Net Revenue]]+tblData[[#This Row],[COGS]]</f>
        <v>432</v>
      </c>
      <c r="AI1613" s="74">
        <f>tblData[[#This Row],[Advertising]]+tblData[[#This Row],[Promotions]]</f>
        <v>-49</v>
      </c>
      <c r="AJ1613" s="74">
        <f>tblData[[#This Row],[Outbound Logistics]]+tblData[[#This Row],[Direct Selling]]</f>
        <v>-70</v>
      </c>
      <c r="AK1613" s="74">
        <f>tblData[[#This Row],[Gross Profit]]+tblData[[#This Row],[AP Spend]]+tblData[[#This Row],[Cost to Serve]]</f>
        <v>313</v>
      </c>
    </row>
    <row r="1614" spans="2:37" x14ac:dyDescent="0.25">
      <c r="B1614" s="71" t="s">
        <v>36</v>
      </c>
      <c r="C1614" s="71">
        <v>2026</v>
      </c>
      <c r="D1614" s="71">
        <v>7</v>
      </c>
      <c r="E1614" s="71" t="s">
        <v>45</v>
      </c>
      <c r="F1614" s="71" t="s">
        <v>41</v>
      </c>
      <c r="G1614" s="72">
        <v>89.8</v>
      </c>
      <c r="H1614" s="73">
        <v>983</v>
      </c>
      <c r="I1614" s="73">
        <v>-228</v>
      </c>
      <c r="J1614" s="73">
        <v>-10</v>
      </c>
      <c r="K1614" s="73">
        <v>-237</v>
      </c>
      <c r="L1614" s="73">
        <v>-58</v>
      </c>
      <c r="M1614" s="73">
        <v>-36</v>
      </c>
      <c r="N1614" s="73">
        <v>-66</v>
      </c>
      <c r="O1614" s="73">
        <v>-39</v>
      </c>
      <c r="P1614" s="73">
        <v>-35</v>
      </c>
      <c r="Q1614" s="73">
        <v>-20</v>
      </c>
      <c r="R1614" s="73">
        <v>0</v>
      </c>
      <c r="S1614" s="73">
        <v>0</v>
      </c>
      <c r="T1614" s="73">
        <v>0</v>
      </c>
      <c r="U1614" s="73">
        <v>0</v>
      </c>
      <c r="V1614" s="73">
        <v>0</v>
      </c>
      <c r="W1614" s="73">
        <v>0</v>
      </c>
      <c r="X1614" s="73">
        <v>0</v>
      </c>
      <c r="Y1614" s="73">
        <v>0</v>
      </c>
      <c r="Z1614" s="73">
        <v>1158</v>
      </c>
      <c r="AA1614" s="73">
        <v>1031</v>
      </c>
      <c r="AB1614" s="73">
        <v>0</v>
      </c>
      <c r="AC1614" s="73">
        <v>0</v>
      </c>
      <c r="AD1614" s="73">
        <v>0</v>
      </c>
      <c r="AE1614" s="73">
        <v>0</v>
      </c>
      <c r="AF1614" s="74">
        <f>tblData[[#This Row],[Gross Sales]]+tblData[[#This Row],[Trade Discounts]]+tblData[[#This Row],[Returns]]</f>
        <v>745</v>
      </c>
      <c r="AG1614" s="74">
        <f>tblData[[#This Row],[Material Cost]]+tblData[[#This Row],[Conversion Cost]]+tblData[[#This Row],[Inbound Freight]]</f>
        <v>-331</v>
      </c>
      <c r="AH1614" s="74">
        <f>tblData[[#This Row],[Net Revenue]]+tblData[[#This Row],[COGS]]</f>
        <v>414</v>
      </c>
      <c r="AI1614" s="74">
        <f>tblData[[#This Row],[Advertising]]+tblData[[#This Row],[Promotions]]</f>
        <v>-105</v>
      </c>
      <c r="AJ1614" s="74">
        <f>tblData[[#This Row],[Outbound Logistics]]+tblData[[#This Row],[Direct Selling]]</f>
        <v>-55</v>
      </c>
      <c r="AK1614" s="74">
        <f>tblData[[#This Row],[Gross Profit]]+tblData[[#This Row],[AP Spend]]+tblData[[#This Row],[Cost to Serve]]</f>
        <v>254</v>
      </c>
    </row>
    <row r="1615" spans="2:37" x14ac:dyDescent="0.25">
      <c r="B1615" s="71" t="s">
        <v>36</v>
      </c>
      <c r="C1615" s="71">
        <v>2026</v>
      </c>
      <c r="D1615" s="71">
        <v>7</v>
      </c>
      <c r="E1615" s="71" t="s">
        <v>45</v>
      </c>
      <c r="F1615" s="71" t="s">
        <v>42</v>
      </c>
      <c r="G1615" s="72">
        <v>102</v>
      </c>
      <c r="H1615" s="73">
        <v>605</v>
      </c>
      <c r="I1615" s="73">
        <v>-140</v>
      </c>
      <c r="J1615" s="73">
        <v>-6</v>
      </c>
      <c r="K1615" s="73">
        <v>-194</v>
      </c>
      <c r="L1615" s="73">
        <v>-48</v>
      </c>
      <c r="M1615" s="73">
        <v>-30</v>
      </c>
      <c r="N1615" s="73">
        <v>-13</v>
      </c>
      <c r="O1615" s="73">
        <v>-8</v>
      </c>
      <c r="P1615" s="73">
        <v>-22</v>
      </c>
      <c r="Q1615" s="73">
        <v>-12</v>
      </c>
      <c r="R1615" s="73">
        <v>0</v>
      </c>
      <c r="S1615" s="73">
        <v>0</v>
      </c>
      <c r="T1615" s="73">
        <v>0</v>
      </c>
      <c r="U1615" s="73">
        <v>0</v>
      </c>
      <c r="V1615" s="73">
        <v>0</v>
      </c>
      <c r="W1615" s="73">
        <v>0</v>
      </c>
      <c r="X1615" s="73">
        <v>0</v>
      </c>
      <c r="Y1615" s="73">
        <v>0</v>
      </c>
      <c r="Z1615" s="73">
        <v>746</v>
      </c>
      <c r="AA1615" s="73">
        <v>1154</v>
      </c>
      <c r="AB1615" s="73">
        <v>0</v>
      </c>
      <c r="AC1615" s="73">
        <v>0</v>
      </c>
      <c r="AD1615" s="73">
        <v>0</v>
      </c>
      <c r="AE1615" s="73">
        <v>0</v>
      </c>
      <c r="AF1615" s="74">
        <f>tblData[[#This Row],[Gross Sales]]+tblData[[#This Row],[Trade Discounts]]+tblData[[#This Row],[Returns]]</f>
        <v>459</v>
      </c>
      <c r="AG1615" s="74">
        <f>tblData[[#This Row],[Material Cost]]+tblData[[#This Row],[Conversion Cost]]+tblData[[#This Row],[Inbound Freight]]</f>
        <v>-272</v>
      </c>
      <c r="AH1615" s="74">
        <f>tblData[[#This Row],[Net Revenue]]+tblData[[#This Row],[COGS]]</f>
        <v>187</v>
      </c>
      <c r="AI1615" s="74">
        <f>tblData[[#This Row],[Advertising]]+tblData[[#This Row],[Promotions]]</f>
        <v>-21</v>
      </c>
      <c r="AJ1615" s="74">
        <f>tblData[[#This Row],[Outbound Logistics]]+tblData[[#This Row],[Direct Selling]]</f>
        <v>-34</v>
      </c>
      <c r="AK1615" s="74">
        <f>tblData[[#This Row],[Gross Profit]]+tblData[[#This Row],[AP Spend]]+tblData[[#This Row],[Cost to Serve]]</f>
        <v>132</v>
      </c>
    </row>
    <row r="1616" spans="2:37" x14ac:dyDescent="0.25">
      <c r="B1616" s="71" t="s">
        <v>36</v>
      </c>
      <c r="C1616" s="71">
        <v>2026</v>
      </c>
      <c r="D1616" s="71">
        <v>7</v>
      </c>
      <c r="E1616" s="71" t="s">
        <v>45</v>
      </c>
      <c r="F1616" s="71" t="s">
        <v>43</v>
      </c>
      <c r="G1616" s="72">
        <v>19.899999999999999</v>
      </c>
      <c r="H1616" s="73">
        <v>355</v>
      </c>
      <c r="I1616" s="73">
        <v>-82</v>
      </c>
      <c r="J1616" s="73">
        <v>-4</v>
      </c>
      <c r="K1616" s="73">
        <v>-99</v>
      </c>
      <c r="L1616" s="73">
        <v>-24</v>
      </c>
      <c r="M1616" s="73">
        <v>-15</v>
      </c>
      <c r="N1616" s="73">
        <v>-36</v>
      </c>
      <c r="O1616" s="73">
        <v>-21</v>
      </c>
      <c r="P1616" s="73">
        <v>-13</v>
      </c>
      <c r="Q1616" s="73">
        <v>-7</v>
      </c>
      <c r="R1616" s="73">
        <v>0</v>
      </c>
      <c r="S1616" s="73">
        <v>0</v>
      </c>
      <c r="T1616" s="73">
        <v>0</v>
      </c>
      <c r="U1616" s="73">
        <v>0</v>
      </c>
      <c r="V1616" s="73">
        <v>0</v>
      </c>
      <c r="W1616" s="73">
        <v>0</v>
      </c>
      <c r="X1616" s="73">
        <v>0</v>
      </c>
      <c r="Y1616" s="73">
        <v>0</v>
      </c>
      <c r="Z1616" s="73">
        <v>429</v>
      </c>
      <c r="AA1616" s="73">
        <v>577</v>
      </c>
      <c r="AB1616" s="73">
        <v>0</v>
      </c>
      <c r="AC1616" s="73">
        <v>0</v>
      </c>
      <c r="AD1616" s="73">
        <v>0</v>
      </c>
      <c r="AE1616" s="73">
        <v>0</v>
      </c>
      <c r="AF1616" s="74">
        <f>tblData[[#This Row],[Gross Sales]]+tblData[[#This Row],[Trade Discounts]]+tblData[[#This Row],[Returns]]</f>
        <v>269</v>
      </c>
      <c r="AG1616" s="74">
        <f>tblData[[#This Row],[Material Cost]]+tblData[[#This Row],[Conversion Cost]]+tblData[[#This Row],[Inbound Freight]]</f>
        <v>-138</v>
      </c>
      <c r="AH1616" s="74">
        <f>tblData[[#This Row],[Net Revenue]]+tblData[[#This Row],[COGS]]</f>
        <v>131</v>
      </c>
      <c r="AI1616" s="74">
        <f>tblData[[#This Row],[Advertising]]+tblData[[#This Row],[Promotions]]</f>
        <v>-57</v>
      </c>
      <c r="AJ1616" s="74">
        <f>tblData[[#This Row],[Outbound Logistics]]+tblData[[#This Row],[Direct Selling]]</f>
        <v>-20</v>
      </c>
      <c r="AK1616" s="74">
        <f>tblData[[#This Row],[Gross Profit]]+tblData[[#This Row],[AP Spend]]+tblData[[#This Row],[Cost to Serve]]</f>
        <v>54</v>
      </c>
    </row>
    <row r="1617" spans="2:37" x14ac:dyDescent="0.25">
      <c r="B1617" s="71" t="s">
        <v>36</v>
      </c>
      <c r="C1617" s="71">
        <v>2026</v>
      </c>
      <c r="D1617" s="71">
        <v>7</v>
      </c>
      <c r="E1617" s="71" t="s">
        <v>46</v>
      </c>
      <c r="F1617" s="71" t="s">
        <v>38</v>
      </c>
      <c r="G1617" s="72">
        <v>181.3</v>
      </c>
      <c r="H1617" s="73">
        <v>2558</v>
      </c>
      <c r="I1617" s="73">
        <v>-276</v>
      </c>
      <c r="J1617" s="73">
        <v>-102</v>
      </c>
      <c r="K1617" s="73">
        <v>-561</v>
      </c>
      <c r="L1617" s="73">
        <v>-138</v>
      </c>
      <c r="M1617" s="73">
        <v>-86</v>
      </c>
      <c r="N1617" s="73">
        <v>-123</v>
      </c>
      <c r="O1617" s="73">
        <v>-73</v>
      </c>
      <c r="P1617" s="73">
        <v>-198</v>
      </c>
      <c r="Q1617" s="73">
        <v>-51</v>
      </c>
      <c r="R1617" s="73">
        <v>0</v>
      </c>
      <c r="S1617" s="73">
        <v>0</v>
      </c>
      <c r="T1617" s="73">
        <v>0</v>
      </c>
      <c r="U1617" s="73">
        <v>0</v>
      </c>
      <c r="V1617" s="73">
        <v>0</v>
      </c>
      <c r="W1617" s="73">
        <v>0</v>
      </c>
      <c r="X1617" s="73">
        <v>0</v>
      </c>
      <c r="Y1617" s="73">
        <v>0</v>
      </c>
      <c r="Z1617" s="73">
        <v>2004</v>
      </c>
      <c r="AA1617" s="73">
        <v>2604</v>
      </c>
      <c r="AB1617" s="73">
        <v>0</v>
      </c>
      <c r="AC1617" s="73">
        <v>0</v>
      </c>
      <c r="AD1617" s="73">
        <v>0</v>
      </c>
      <c r="AE1617" s="73">
        <v>0</v>
      </c>
      <c r="AF1617" s="74">
        <f>tblData[[#This Row],[Gross Sales]]+tblData[[#This Row],[Trade Discounts]]+tblData[[#This Row],[Returns]]</f>
        <v>2180</v>
      </c>
      <c r="AG1617" s="74">
        <f>tblData[[#This Row],[Material Cost]]+tblData[[#This Row],[Conversion Cost]]+tblData[[#This Row],[Inbound Freight]]</f>
        <v>-785</v>
      </c>
      <c r="AH1617" s="74">
        <f>tblData[[#This Row],[Net Revenue]]+tblData[[#This Row],[COGS]]</f>
        <v>1395</v>
      </c>
      <c r="AI1617" s="74">
        <f>tblData[[#This Row],[Advertising]]+tblData[[#This Row],[Promotions]]</f>
        <v>-196</v>
      </c>
      <c r="AJ1617" s="74">
        <f>tblData[[#This Row],[Outbound Logistics]]+tblData[[#This Row],[Direct Selling]]</f>
        <v>-249</v>
      </c>
      <c r="AK1617" s="74">
        <f>tblData[[#This Row],[Gross Profit]]+tblData[[#This Row],[AP Spend]]+tblData[[#This Row],[Cost to Serve]]</f>
        <v>950</v>
      </c>
    </row>
    <row r="1618" spans="2:37" x14ac:dyDescent="0.25">
      <c r="B1618" s="71" t="s">
        <v>36</v>
      </c>
      <c r="C1618" s="71">
        <v>2026</v>
      </c>
      <c r="D1618" s="71">
        <v>7</v>
      </c>
      <c r="E1618" s="71" t="s">
        <v>46</v>
      </c>
      <c r="F1618" s="71" t="s">
        <v>39</v>
      </c>
      <c r="G1618" s="72">
        <v>231.8</v>
      </c>
      <c r="H1618" s="73">
        <v>2094</v>
      </c>
      <c r="I1618" s="73">
        <v>-226</v>
      </c>
      <c r="J1618" s="73">
        <v>-84</v>
      </c>
      <c r="K1618" s="73">
        <v>-551</v>
      </c>
      <c r="L1618" s="73">
        <v>-136</v>
      </c>
      <c r="M1618" s="73">
        <v>-84</v>
      </c>
      <c r="N1618" s="73">
        <v>-70</v>
      </c>
      <c r="O1618" s="73">
        <v>-41</v>
      </c>
      <c r="P1618" s="73">
        <v>-162</v>
      </c>
      <c r="Q1618" s="73">
        <v>-42</v>
      </c>
      <c r="R1618" s="73">
        <v>0</v>
      </c>
      <c r="S1618" s="73">
        <v>0</v>
      </c>
      <c r="T1618" s="73">
        <v>0</v>
      </c>
      <c r="U1618" s="73">
        <v>0</v>
      </c>
      <c r="V1618" s="73">
        <v>0</v>
      </c>
      <c r="W1618" s="73">
        <v>0</v>
      </c>
      <c r="X1618" s="73">
        <v>0</v>
      </c>
      <c r="Y1618" s="73">
        <v>0</v>
      </c>
      <c r="Z1618" s="73">
        <v>1688</v>
      </c>
      <c r="AA1618" s="73">
        <v>2241</v>
      </c>
      <c r="AB1618" s="73">
        <v>0</v>
      </c>
      <c r="AC1618" s="73">
        <v>0</v>
      </c>
      <c r="AD1618" s="73">
        <v>0</v>
      </c>
      <c r="AE1618" s="73">
        <v>0</v>
      </c>
      <c r="AF1618" s="74">
        <f>tblData[[#This Row],[Gross Sales]]+tblData[[#This Row],[Trade Discounts]]+tblData[[#This Row],[Returns]]</f>
        <v>1784</v>
      </c>
      <c r="AG1618" s="74">
        <f>tblData[[#This Row],[Material Cost]]+tblData[[#This Row],[Conversion Cost]]+tblData[[#This Row],[Inbound Freight]]</f>
        <v>-771</v>
      </c>
      <c r="AH1618" s="74">
        <f>tblData[[#This Row],[Net Revenue]]+tblData[[#This Row],[COGS]]</f>
        <v>1013</v>
      </c>
      <c r="AI1618" s="74">
        <f>tblData[[#This Row],[Advertising]]+tblData[[#This Row],[Promotions]]</f>
        <v>-111</v>
      </c>
      <c r="AJ1618" s="74">
        <f>tblData[[#This Row],[Outbound Logistics]]+tblData[[#This Row],[Direct Selling]]</f>
        <v>-204</v>
      </c>
      <c r="AK1618" s="74">
        <f>tblData[[#This Row],[Gross Profit]]+tblData[[#This Row],[AP Spend]]+tblData[[#This Row],[Cost to Serve]]</f>
        <v>698</v>
      </c>
    </row>
    <row r="1619" spans="2:37" x14ac:dyDescent="0.25">
      <c r="B1619" s="71" t="s">
        <v>36</v>
      </c>
      <c r="C1619" s="71">
        <v>2026</v>
      </c>
      <c r="D1619" s="71">
        <v>7</v>
      </c>
      <c r="E1619" s="71" t="s">
        <v>46</v>
      </c>
      <c r="F1619" s="71" t="s">
        <v>40</v>
      </c>
      <c r="G1619" s="72">
        <v>219.4</v>
      </c>
      <c r="H1619" s="73">
        <v>1539</v>
      </c>
      <c r="I1619" s="73">
        <v>-166</v>
      </c>
      <c r="J1619" s="73">
        <v>-62</v>
      </c>
      <c r="K1619" s="73">
        <v>-450</v>
      </c>
      <c r="L1619" s="73">
        <v>-111</v>
      </c>
      <c r="M1619" s="73">
        <v>-69</v>
      </c>
      <c r="N1619" s="73">
        <v>-35</v>
      </c>
      <c r="O1619" s="73">
        <v>-21</v>
      </c>
      <c r="P1619" s="73">
        <v>-119</v>
      </c>
      <c r="Q1619" s="73">
        <v>-31</v>
      </c>
      <c r="R1619" s="73">
        <v>0</v>
      </c>
      <c r="S1619" s="73">
        <v>0</v>
      </c>
      <c r="T1619" s="73">
        <v>0</v>
      </c>
      <c r="U1619" s="73">
        <v>0</v>
      </c>
      <c r="V1619" s="73">
        <v>0</v>
      </c>
      <c r="W1619" s="73">
        <v>0</v>
      </c>
      <c r="X1619" s="73">
        <v>0</v>
      </c>
      <c r="Y1619" s="73">
        <v>0</v>
      </c>
      <c r="Z1619" s="73">
        <v>1218</v>
      </c>
      <c r="AA1619" s="73">
        <v>1692</v>
      </c>
      <c r="AB1619" s="73">
        <v>0</v>
      </c>
      <c r="AC1619" s="73">
        <v>0</v>
      </c>
      <c r="AD1619" s="73">
        <v>0</v>
      </c>
      <c r="AE1619" s="73">
        <v>0</v>
      </c>
      <c r="AF1619" s="74">
        <f>tblData[[#This Row],[Gross Sales]]+tblData[[#This Row],[Trade Discounts]]+tblData[[#This Row],[Returns]]</f>
        <v>1311</v>
      </c>
      <c r="AG1619" s="74">
        <f>tblData[[#This Row],[Material Cost]]+tblData[[#This Row],[Conversion Cost]]+tblData[[#This Row],[Inbound Freight]]</f>
        <v>-630</v>
      </c>
      <c r="AH1619" s="74">
        <f>tblData[[#This Row],[Net Revenue]]+tblData[[#This Row],[COGS]]</f>
        <v>681</v>
      </c>
      <c r="AI1619" s="74">
        <f>tblData[[#This Row],[Advertising]]+tblData[[#This Row],[Promotions]]</f>
        <v>-56</v>
      </c>
      <c r="AJ1619" s="74">
        <f>tblData[[#This Row],[Outbound Logistics]]+tblData[[#This Row],[Direct Selling]]</f>
        <v>-150</v>
      </c>
      <c r="AK1619" s="74">
        <f>tblData[[#This Row],[Gross Profit]]+tblData[[#This Row],[AP Spend]]+tblData[[#This Row],[Cost to Serve]]</f>
        <v>475</v>
      </c>
    </row>
    <row r="1620" spans="2:37" x14ac:dyDescent="0.25">
      <c r="B1620" s="71" t="s">
        <v>36</v>
      </c>
      <c r="C1620" s="71">
        <v>2026</v>
      </c>
      <c r="D1620" s="71">
        <v>7</v>
      </c>
      <c r="E1620" s="71" t="s">
        <v>46</v>
      </c>
      <c r="F1620" s="71" t="s">
        <v>41</v>
      </c>
      <c r="G1620" s="72">
        <v>116.1</v>
      </c>
      <c r="H1620" s="73">
        <v>1284</v>
      </c>
      <c r="I1620" s="73">
        <v>-139</v>
      </c>
      <c r="J1620" s="73">
        <v>-51</v>
      </c>
      <c r="K1620" s="73">
        <v>-310</v>
      </c>
      <c r="L1620" s="73">
        <v>-76</v>
      </c>
      <c r="M1620" s="73">
        <v>-47</v>
      </c>
      <c r="N1620" s="73">
        <v>-75</v>
      </c>
      <c r="O1620" s="73">
        <v>-44</v>
      </c>
      <c r="P1620" s="73">
        <v>-99</v>
      </c>
      <c r="Q1620" s="73">
        <v>-26</v>
      </c>
      <c r="R1620" s="73">
        <v>0</v>
      </c>
      <c r="S1620" s="73">
        <v>0</v>
      </c>
      <c r="T1620" s="73">
        <v>0</v>
      </c>
      <c r="U1620" s="73">
        <v>0</v>
      </c>
      <c r="V1620" s="73">
        <v>0</v>
      </c>
      <c r="W1620" s="73">
        <v>0</v>
      </c>
      <c r="X1620" s="73">
        <v>0</v>
      </c>
      <c r="Y1620" s="73">
        <v>0</v>
      </c>
      <c r="Z1620" s="73">
        <v>1002</v>
      </c>
      <c r="AA1620" s="73">
        <v>1361</v>
      </c>
      <c r="AB1620" s="73">
        <v>0</v>
      </c>
      <c r="AC1620" s="73">
        <v>0</v>
      </c>
      <c r="AD1620" s="73">
        <v>0</v>
      </c>
      <c r="AE1620" s="73">
        <v>0</v>
      </c>
      <c r="AF1620" s="74">
        <f>tblData[[#This Row],[Gross Sales]]+tblData[[#This Row],[Trade Discounts]]+tblData[[#This Row],[Returns]]</f>
        <v>1094</v>
      </c>
      <c r="AG1620" s="74">
        <f>tblData[[#This Row],[Material Cost]]+tblData[[#This Row],[Conversion Cost]]+tblData[[#This Row],[Inbound Freight]]</f>
        <v>-433</v>
      </c>
      <c r="AH1620" s="74">
        <f>tblData[[#This Row],[Net Revenue]]+tblData[[#This Row],[COGS]]</f>
        <v>661</v>
      </c>
      <c r="AI1620" s="74">
        <f>tblData[[#This Row],[Advertising]]+tblData[[#This Row],[Promotions]]</f>
        <v>-119</v>
      </c>
      <c r="AJ1620" s="74">
        <f>tblData[[#This Row],[Outbound Logistics]]+tblData[[#This Row],[Direct Selling]]</f>
        <v>-125</v>
      </c>
      <c r="AK1620" s="74">
        <f>tblData[[#This Row],[Gross Profit]]+tblData[[#This Row],[AP Spend]]+tblData[[#This Row],[Cost to Serve]]</f>
        <v>417</v>
      </c>
    </row>
    <row r="1621" spans="2:37" x14ac:dyDescent="0.25">
      <c r="B1621" s="71" t="s">
        <v>36</v>
      </c>
      <c r="C1621" s="71">
        <v>2026</v>
      </c>
      <c r="D1621" s="71">
        <v>7</v>
      </c>
      <c r="E1621" s="71" t="s">
        <v>46</v>
      </c>
      <c r="F1621" s="71" t="s">
        <v>42</v>
      </c>
      <c r="G1621" s="72">
        <v>134.5</v>
      </c>
      <c r="H1621" s="73">
        <v>805</v>
      </c>
      <c r="I1621" s="73">
        <v>-87</v>
      </c>
      <c r="J1621" s="73">
        <v>-32</v>
      </c>
      <c r="K1621" s="73">
        <v>-259</v>
      </c>
      <c r="L1621" s="73">
        <v>-64</v>
      </c>
      <c r="M1621" s="73">
        <v>-40</v>
      </c>
      <c r="N1621" s="73">
        <v>-15</v>
      </c>
      <c r="O1621" s="73">
        <v>-9</v>
      </c>
      <c r="P1621" s="73">
        <v>-62</v>
      </c>
      <c r="Q1621" s="73">
        <v>-16</v>
      </c>
      <c r="R1621" s="73">
        <v>0</v>
      </c>
      <c r="S1621" s="73">
        <v>0</v>
      </c>
      <c r="T1621" s="73">
        <v>0</v>
      </c>
      <c r="U1621" s="73">
        <v>0</v>
      </c>
      <c r="V1621" s="73">
        <v>0</v>
      </c>
      <c r="W1621" s="73">
        <v>0</v>
      </c>
      <c r="X1621" s="73">
        <v>0</v>
      </c>
      <c r="Y1621" s="73">
        <v>0</v>
      </c>
      <c r="Z1621" s="73">
        <v>637</v>
      </c>
      <c r="AA1621" s="73">
        <v>1503</v>
      </c>
      <c r="AB1621" s="73">
        <v>0</v>
      </c>
      <c r="AC1621" s="73">
        <v>0</v>
      </c>
      <c r="AD1621" s="73">
        <v>0</v>
      </c>
      <c r="AE1621" s="73">
        <v>0</v>
      </c>
      <c r="AF1621" s="74">
        <f>tblData[[#This Row],[Gross Sales]]+tblData[[#This Row],[Trade Discounts]]+tblData[[#This Row],[Returns]]</f>
        <v>686</v>
      </c>
      <c r="AG1621" s="74">
        <f>tblData[[#This Row],[Material Cost]]+tblData[[#This Row],[Conversion Cost]]+tblData[[#This Row],[Inbound Freight]]</f>
        <v>-363</v>
      </c>
      <c r="AH1621" s="74">
        <f>tblData[[#This Row],[Net Revenue]]+tblData[[#This Row],[COGS]]</f>
        <v>323</v>
      </c>
      <c r="AI1621" s="74">
        <f>tblData[[#This Row],[Advertising]]+tblData[[#This Row],[Promotions]]</f>
        <v>-24</v>
      </c>
      <c r="AJ1621" s="74">
        <f>tblData[[#This Row],[Outbound Logistics]]+tblData[[#This Row],[Direct Selling]]</f>
        <v>-78</v>
      </c>
      <c r="AK1621" s="74">
        <f>tblData[[#This Row],[Gross Profit]]+tblData[[#This Row],[AP Spend]]+tblData[[#This Row],[Cost to Serve]]</f>
        <v>221</v>
      </c>
    </row>
    <row r="1622" spans="2:37" x14ac:dyDescent="0.25">
      <c r="B1622" s="71" t="s">
        <v>36</v>
      </c>
      <c r="C1622" s="71">
        <v>2026</v>
      </c>
      <c r="D1622" s="71">
        <v>7</v>
      </c>
      <c r="E1622" s="71" t="s">
        <v>46</v>
      </c>
      <c r="F1622" s="71" t="s">
        <v>43</v>
      </c>
      <c r="G1622" s="72">
        <v>25.6</v>
      </c>
      <c r="H1622" s="73">
        <v>462</v>
      </c>
      <c r="I1622" s="73">
        <v>-50</v>
      </c>
      <c r="J1622" s="73">
        <v>-18</v>
      </c>
      <c r="K1622" s="73">
        <v>-128</v>
      </c>
      <c r="L1622" s="73">
        <v>-32</v>
      </c>
      <c r="M1622" s="73">
        <v>-20</v>
      </c>
      <c r="N1622" s="73">
        <v>-41</v>
      </c>
      <c r="O1622" s="73">
        <v>-24</v>
      </c>
      <c r="P1622" s="73">
        <v>-36</v>
      </c>
      <c r="Q1622" s="73">
        <v>-9</v>
      </c>
      <c r="R1622" s="73">
        <v>0</v>
      </c>
      <c r="S1622" s="73">
        <v>0</v>
      </c>
      <c r="T1622" s="73">
        <v>0</v>
      </c>
      <c r="U1622" s="73">
        <v>0</v>
      </c>
      <c r="V1622" s="73">
        <v>0</v>
      </c>
      <c r="W1622" s="73">
        <v>0</v>
      </c>
      <c r="X1622" s="73">
        <v>0</v>
      </c>
      <c r="Y1622" s="73">
        <v>0</v>
      </c>
      <c r="Z1622" s="73">
        <v>369</v>
      </c>
      <c r="AA1622" s="73">
        <v>758</v>
      </c>
      <c r="AB1622" s="73">
        <v>0</v>
      </c>
      <c r="AC1622" s="73">
        <v>0</v>
      </c>
      <c r="AD1622" s="73">
        <v>0</v>
      </c>
      <c r="AE1622" s="73">
        <v>0</v>
      </c>
      <c r="AF1622" s="74">
        <f>tblData[[#This Row],[Gross Sales]]+tblData[[#This Row],[Trade Discounts]]+tblData[[#This Row],[Returns]]</f>
        <v>394</v>
      </c>
      <c r="AG1622" s="74">
        <f>tblData[[#This Row],[Material Cost]]+tblData[[#This Row],[Conversion Cost]]+tblData[[#This Row],[Inbound Freight]]</f>
        <v>-180</v>
      </c>
      <c r="AH1622" s="74">
        <f>tblData[[#This Row],[Net Revenue]]+tblData[[#This Row],[COGS]]</f>
        <v>214</v>
      </c>
      <c r="AI1622" s="74">
        <f>tblData[[#This Row],[Advertising]]+tblData[[#This Row],[Promotions]]</f>
        <v>-65</v>
      </c>
      <c r="AJ1622" s="74">
        <f>tblData[[#This Row],[Outbound Logistics]]+tblData[[#This Row],[Direct Selling]]</f>
        <v>-45</v>
      </c>
      <c r="AK1622" s="74">
        <f>tblData[[#This Row],[Gross Profit]]+tblData[[#This Row],[AP Spend]]+tblData[[#This Row],[Cost to Serve]]</f>
        <v>104</v>
      </c>
    </row>
    <row r="1623" spans="2:37" x14ac:dyDescent="0.25">
      <c r="B1623" s="71" t="s">
        <v>36</v>
      </c>
      <c r="C1623" s="71">
        <v>2026</v>
      </c>
      <c r="D1623" s="71">
        <v>7</v>
      </c>
      <c r="E1623" s="71" t="s">
        <v>47</v>
      </c>
      <c r="F1623" s="71" t="s">
        <v>38</v>
      </c>
      <c r="G1623" s="72">
        <v>66.099999999999994</v>
      </c>
      <c r="H1623" s="73">
        <v>936</v>
      </c>
      <c r="I1623" s="73">
        <v>-28</v>
      </c>
      <c r="J1623" s="73">
        <v>-47</v>
      </c>
      <c r="K1623" s="73">
        <v>-205</v>
      </c>
      <c r="L1623" s="73">
        <v>-51</v>
      </c>
      <c r="M1623" s="73">
        <v>-31</v>
      </c>
      <c r="N1623" s="73">
        <v>-46</v>
      </c>
      <c r="O1623" s="73">
        <v>-27</v>
      </c>
      <c r="P1623" s="73">
        <v>-116</v>
      </c>
      <c r="Q1623" s="73">
        <v>-37</v>
      </c>
      <c r="R1623" s="73">
        <v>0</v>
      </c>
      <c r="S1623" s="73">
        <v>0</v>
      </c>
      <c r="T1623" s="73">
        <v>0</v>
      </c>
      <c r="U1623" s="73">
        <v>0</v>
      </c>
      <c r="V1623" s="73">
        <v>0</v>
      </c>
      <c r="W1623" s="73">
        <v>0</v>
      </c>
      <c r="X1623" s="73">
        <v>0</v>
      </c>
      <c r="Y1623" s="73">
        <v>0</v>
      </c>
      <c r="Z1623" s="73">
        <v>167</v>
      </c>
      <c r="AA1623" s="73">
        <v>940</v>
      </c>
      <c r="AB1623" s="73">
        <v>0</v>
      </c>
      <c r="AC1623" s="73">
        <v>0</v>
      </c>
      <c r="AD1623" s="73">
        <v>0</v>
      </c>
      <c r="AE1623" s="73">
        <v>0</v>
      </c>
      <c r="AF1623" s="74">
        <f>tblData[[#This Row],[Gross Sales]]+tblData[[#This Row],[Trade Discounts]]+tblData[[#This Row],[Returns]]</f>
        <v>861</v>
      </c>
      <c r="AG1623" s="74">
        <f>tblData[[#This Row],[Material Cost]]+tblData[[#This Row],[Conversion Cost]]+tblData[[#This Row],[Inbound Freight]]</f>
        <v>-287</v>
      </c>
      <c r="AH1623" s="74">
        <f>tblData[[#This Row],[Net Revenue]]+tblData[[#This Row],[COGS]]</f>
        <v>574</v>
      </c>
      <c r="AI1623" s="74">
        <f>tblData[[#This Row],[Advertising]]+tblData[[#This Row],[Promotions]]</f>
        <v>-73</v>
      </c>
      <c r="AJ1623" s="74">
        <f>tblData[[#This Row],[Outbound Logistics]]+tblData[[#This Row],[Direct Selling]]</f>
        <v>-153</v>
      </c>
      <c r="AK1623" s="74">
        <f>tblData[[#This Row],[Gross Profit]]+tblData[[#This Row],[AP Spend]]+tblData[[#This Row],[Cost to Serve]]</f>
        <v>348</v>
      </c>
    </row>
    <row r="1624" spans="2:37" x14ac:dyDescent="0.25">
      <c r="B1624" s="71" t="s">
        <v>36</v>
      </c>
      <c r="C1624" s="71">
        <v>2026</v>
      </c>
      <c r="D1624" s="71">
        <v>7</v>
      </c>
      <c r="E1624" s="71" t="s">
        <v>47</v>
      </c>
      <c r="F1624" s="71" t="s">
        <v>39</v>
      </c>
      <c r="G1624" s="72">
        <v>84.2</v>
      </c>
      <c r="H1624" s="73">
        <v>764</v>
      </c>
      <c r="I1624" s="73">
        <v>-23</v>
      </c>
      <c r="J1624" s="73">
        <v>-38</v>
      </c>
      <c r="K1624" s="73">
        <v>-201</v>
      </c>
      <c r="L1624" s="73">
        <v>-50</v>
      </c>
      <c r="M1624" s="73">
        <v>-31</v>
      </c>
      <c r="N1624" s="73">
        <v>-26</v>
      </c>
      <c r="O1624" s="73">
        <v>-16</v>
      </c>
      <c r="P1624" s="73">
        <v>-94</v>
      </c>
      <c r="Q1624" s="73">
        <v>-31</v>
      </c>
      <c r="R1624" s="73">
        <v>0</v>
      </c>
      <c r="S1624" s="73">
        <v>0</v>
      </c>
      <c r="T1624" s="73">
        <v>0</v>
      </c>
      <c r="U1624" s="73">
        <v>0</v>
      </c>
      <c r="V1624" s="73">
        <v>0</v>
      </c>
      <c r="W1624" s="73">
        <v>0</v>
      </c>
      <c r="X1624" s="73">
        <v>0</v>
      </c>
      <c r="Y1624" s="73">
        <v>0</v>
      </c>
      <c r="Z1624" s="73">
        <v>142</v>
      </c>
      <c r="AA1624" s="73">
        <v>816</v>
      </c>
      <c r="AB1624" s="73">
        <v>0</v>
      </c>
      <c r="AC1624" s="73">
        <v>0</v>
      </c>
      <c r="AD1624" s="73">
        <v>0</v>
      </c>
      <c r="AE1624" s="73">
        <v>0</v>
      </c>
      <c r="AF1624" s="74">
        <f>tblData[[#This Row],[Gross Sales]]+tblData[[#This Row],[Trade Discounts]]+tblData[[#This Row],[Returns]]</f>
        <v>703</v>
      </c>
      <c r="AG1624" s="74">
        <f>tblData[[#This Row],[Material Cost]]+tblData[[#This Row],[Conversion Cost]]+tblData[[#This Row],[Inbound Freight]]</f>
        <v>-282</v>
      </c>
      <c r="AH1624" s="74">
        <f>tblData[[#This Row],[Net Revenue]]+tblData[[#This Row],[COGS]]</f>
        <v>421</v>
      </c>
      <c r="AI1624" s="74">
        <f>tblData[[#This Row],[Advertising]]+tblData[[#This Row],[Promotions]]</f>
        <v>-42</v>
      </c>
      <c r="AJ1624" s="74">
        <f>tblData[[#This Row],[Outbound Logistics]]+tblData[[#This Row],[Direct Selling]]</f>
        <v>-125</v>
      </c>
      <c r="AK1624" s="74">
        <f>tblData[[#This Row],[Gross Profit]]+tblData[[#This Row],[AP Spend]]+tblData[[#This Row],[Cost to Serve]]</f>
        <v>254</v>
      </c>
    </row>
    <row r="1625" spans="2:37" x14ac:dyDescent="0.25">
      <c r="B1625" s="71" t="s">
        <v>36</v>
      </c>
      <c r="C1625" s="71">
        <v>2026</v>
      </c>
      <c r="D1625" s="71">
        <v>7</v>
      </c>
      <c r="E1625" s="71" t="s">
        <v>47</v>
      </c>
      <c r="F1625" s="71" t="s">
        <v>40</v>
      </c>
      <c r="G1625" s="72">
        <v>80.3</v>
      </c>
      <c r="H1625" s="73">
        <v>565</v>
      </c>
      <c r="I1625" s="73">
        <v>-17</v>
      </c>
      <c r="J1625" s="73">
        <v>-28</v>
      </c>
      <c r="K1625" s="73">
        <v>-165</v>
      </c>
      <c r="L1625" s="73">
        <v>-41</v>
      </c>
      <c r="M1625" s="73">
        <v>-25</v>
      </c>
      <c r="N1625" s="73">
        <v>-13</v>
      </c>
      <c r="O1625" s="73">
        <v>-8</v>
      </c>
      <c r="P1625" s="73">
        <v>-70</v>
      </c>
      <c r="Q1625" s="73">
        <v>-23</v>
      </c>
      <c r="R1625" s="73">
        <v>0</v>
      </c>
      <c r="S1625" s="73">
        <v>0</v>
      </c>
      <c r="T1625" s="73">
        <v>0</v>
      </c>
      <c r="U1625" s="73">
        <v>0</v>
      </c>
      <c r="V1625" s="73">
        <v>0</v>
      </c>
      <c r="W1625" s="73">
        <v>0</v>
      </c>
      <c r="X1625" s="73">
        <v>0</v>
      </c>
      <c r="Y1625" s="73">
        <v>0</v>
      </c>
      <c r="Z1625" s="73">
        <v>105</v>
      </c>
      <c r="AA1625" s="73">
        <v>628</v>
      </c>
      <c r="AB1625" s="73">
        <v>0</v>
      </c>
      <c r="AC1625" s="73">
        <v>0</v>
      </c>
      <c r="AD1625" s="73">
        <v>0</v>
      </c>
      <c r="AE1625" s="73">
        <v>0</v>
      </c>
      <c r="AF1625" s="74">
        <f>tblData[[#This Row],[Gross Sales]]+tblData[[#This Row],[Trade Discounts]]+tblData[[#This Row],[Returns]]</f>
        <v>520</v>
      </c>
      <c r="AG1625" s="74">
        <f>tblData[[#This Row],[Material Cost]]+tblData[[#This Row],[Conversion Cost]]+tblData[[#This Row],[Inbound Freight]]</f>
        <v>-231</v>
      </c>
      <c r="AH1625" s="74">
        <f>tblData[[#This Row],[Net Revenue]]+tblData[[#This Row],[COGS]]</f>
        <v>289</v>
      </c>
      <c r="AI1625" s="74">
        <f>tblData[[#This Row],[Advertising]]+tblData[[#This Row],[Promotions]]</f>
        <v>-21</v>
      </c>
      <c r="AJ1625" s="74">
        <f>tblData[[#This Row],[Outbound Logistics]]+tblData[[#This Row],[Direct Selling]]</f>
        <v>-93</v>
      </c>
      <c r="AK1625" s="74">
        <f>tblData[[#This Row],[Gross Profit]]+tblData[[#This Row],[AP Spend]]+tblData[[#This Row],[Cost to Serve]]</f>
        <v>175</v>
      </c>
    </row>
    <row r="1626" spans="2:37" x14ac:dyDescent="0.25">
      <c r="B1626" s="71" t="s">
        <v>36</v>
      </c>
      <c r="C1626" s="71">
        <v>2026</v>
      </c>
      <c r="D1626" s="71">
        <v>7</v>
      </c>
      <c r="E1626" s="71" t="s">
        <v>47</v>
      </c>
      <c r="F1626" s="71" t="s">
        <v>41</v>
      </c>
      <c r="G1626" s="72">
        <v>40.4</v>
      </c>
      <c r="H1626" s="73">
        <v>448</v>
      </c>
      <c r="I1626" s="73">
        <v>-13</v>
      </c>
      <c r="J1626" s="73">
        <v>-22</v>
      </c>
      <c r="K1626" s="73">
        <v>-108</v>
      </c>
      <c r="L1626" s="73">
        <v>-27</v>
      </c>
      <c r="M1626" s="73">
        <v>-17</v>
      </c>
      <c r="N1626" s="73">
        <v>-28</v>
      </c>
      <c r="O1626" s="73">
        <v>-17</v>
      </c>
      <c r="P1626" s="73">
        <v>-55</v>
      </c>
      <c r="Q1626" s="73">
        <v>-18</v>
      </c>
      <c r="R1626" s="73">
        <v>0</v>
      </c>
      <c r="S1626" s="73">
        <v>0</v>
      </c>
      <c r="T1626" s="73">
        <v>0</v>
      </c>
      <c r="U1626" s="73">
        <v>0</v>
      </c>
      <c r="V1626" s="73">
        <v>0</v>
      </c>
      <c r="W1626" s="73">
        <v>0</v>
      </c>
      <c r="X1626" s="73">
        <v>0</v>
      </c>
      <c r="Y1626" s="73">
        <v>0</v>
      </c>
      <c r="Z1626" s="73">
        <v>84</v>
      </c>
      <c r="AA1626" s="73">
        <v>490</v>
      </c>
      <c r="AB1626" s="73">
        <v>0</v>
      </c>
      <c r="AC1626" s="73">
        <v>0</v>
      </c>
      <c r="AD1626" s="73">
        <v>0</v>
      </c>
      <c r="AE1626" s="73">
        <v>0</v>
      </c>
      <c r="AF1626" s="74">
        <f>tblData[[#This Row],[Gross Sales]]+tblData[[#This Row],[Trade Discounts]]+tblData[[#This Row],[Returns]]</f>
        <v>413</v>
      </c>
      <c r="AG1626" s="74">
        <f>tblData[[#This Row],[Material Cost]]+tblData[[#This Row],[Conversion Cost]]+tblData[[#This Row],[Inbound Freight]]</f>
        <v>-152</v>
      </c>
      <c r="AH1626" s="74">
        <f>tblData[[#This Row],[Net Revenue]]+tblData[[#This Row],[COGS]]</f>
        <v>261</v>
      </c>
      <c r="AI1626" s="74">
        <f>tblData[[#This Row],[Advertising]]+tblData[[#This Row],[Promotions]]</f>
        <v>-45</v>
      </c>
      <c r="AJ1626" s="74">
        <f>tblData[[#This Row],[Outbound Logistics]]+tblData[[#This Row],[Direct Selling]]</f>
        <v>-73</v>
      </c>
      <c r="AK1626" s="74">
        <f>tblData[[#This Row],[Gross Profit]]+tblData[[#This Row],[AP Spend]]+tblData[[#This Row],[Cost to Serve]]</f>
        <v>143</v>
      </c>
    </row>
    <row r="1627" spans="2:37" x14ac:dyDescent="0.25">
      <c r="B1627" s="71" t="s">
        <v>36</v>
      </c>
      <c r="C1627" s="71">
        <v>2026</v>
      </c>
      <c r="D1627" s="71">
        <v>7</v>
      </c>
      <c r="E1627" s="71" t="s">
        <v>47</v>
      </c>
      <c r="F1627" s="71" t="s">
        <v>42</v>
      </c>
      <c r="G1627" s="72">
        <v>48.5</v>
      </c>
      <c r="H1627" s="73">
        <v>292</v>
      </c>
      <c r="I1627" s="73">
        <v>-9</v>
      </c>
      <c r="J1627" s="73">
        <v>-15</v>
      </c>
      <c r="K1627" s="73">
        <v>-94</v>
      </c>
      <c r="L1627" s="73">
        <v>-23</v>
      </c>
      <c r="M1627" s="73">
        <v>-14</v>
      </c>
      <c r="N1627" s="73">
        <v>-5</v>
      </c>
      <c r="O1627" s="73">
        <v>-3</v>
      </c>
      <c r="P1627" s="73">
        <v>-36</v>
      </c>
      <c r="Q1627" s="73">
        <v>-12</v>
      </c>
      <c r="R1627" s="73">
        <v>0</v>
      </c>
      <c r="S1627" s="73">
        <v>0</v>
      </c>
      <c r="T1627" s="73">
        <v>0</v>
      </c>
      <c r="U1627" s="73">
        <v>0</v>
      </c>
      <c r="V1627" s="73">
        <v>0</v>
      </c>
      <c r="W1627" s="73">
        <v>0</v>
      </c>
      <c r="X1627" s="73">
        <v>0</v>
      </c>
      <c r="Y1627" s="73">
        <v>0</v>
      </c>
      <c r="Z1627" s="73">
        <v>54</v>
      </c>
      <c r="AA1627" s="73">
        <v>552</v>
      </c>
      <c r="AB1627" s="73">
        <v>0</v>
      </c>
      <c r="AC1627" s="73">
        <v>0</v>
      </c>
      <c r="AD1627" s="73">
        <v>0</v>
      </c>
      <c r="AE1627" s="73">
        <v>0</v>
      </c>
      <c r="AF1627" s="74">
        <f>tblData[[#This Row],[Gross Sales]]+tblData[[#This Row],[Trade Discounts]]+tblData[[#This Row],[Returns]]</f>
        <v>268</v>
      </c>
      <c r="AG1627" s="74">
        <f>tblData[[#This Row],[Material Cost]]+tblData[[#This Row],[Conversion Cost]]+tblData[[#This Row],[Inbound Freight]]</f>
        <v>-131</v>
      </c>
      <c r="AH1627" s="74">
        <f>tblData[[#This Row],[Net Revenue]]+tblData[[#This Row],[COGS]]</f>
        <v>137</v>
      </c>
      <c r="AI1627" s="74">
        <f>tblData[[#This Row],[Advertising]]+tblData[[#This Row],[Promotions]]</f>
        <v>-8</v>
      </c>
      <c r="AJ1627" s="74">
        <f>tblData[[#This Row],[Outbound Logistics]]+tblData[[#This Row],[Direct Selling]]</f>
        <v>-48</v>
      </c>
      <c r="AK1627" s="74">
        <f>tblData[[#This Row],[Gross Profit]]+tblData[[#This Row],[AP Spend]]+tblData[[#This Row],[Cost to Serve]]</f>
        <v>81</v>
      </c>
    </row>
    <row r="1628" spans="2:37" x14ac:dyDescent="0.25">
      <c r="B1628" s="71" t="s">
        <v>36</v>
      </c>
      <c r="C1628" s="71">
        <v>2026</v>
      </c>
      <c r="D1628" s="71">
        <v>7</v>
      </c>
      <c r="E1628" s="71" t="s">
        <v>47</v>
      </c>
      <c r="F1628" s="71" t="s">
        <v>43</v>
      </c>
      <c r="G1628" s="72">
        <v>9.4</v>
      </c>
      <c r="H1628" s="73">
        <v>171</v>
      </c>
      <c r="I1628" s="73">
        <v>-5</v>
      </c>
      <c r="J1628" s="73">
        <v>-9</v>
      </c>
      <c r="K1628" s="73">
        <v>-47</v>
      </c>
      <c r="L1628" s="73">
        <v>-12</v>
      </c>
      <c r="M1628" s="73">
        <v>-7</v>
      </c>
      <c r="N1628" s="73">
        <v>-15</v>
      </c>
      <c r="O1628" s="73">
        <v>-9</v>
      </c>
      <c r="P1628" s="73">
        <v>-21</v>
      </c>
      <c r="Q1628" s="73">
        <v>-7</v>
      </c>
      <c r="R1628" s="73">
        <v>0</v>
      </c>
      <c r="S1628" s="73">
        <v>0</v>
      </c>
      <c r="T1628" s="73">
        <v>0</v>
      </c>
      <c r="U1628" s="73">
        <v>0</v>
      </c>
      <c r="V1628" s="73">
        <v>0</v>
      </c>
      <c r="W1628" s="73">
        <v>0</v>
      </c>
      <c r="X1628" s="73">
        <v>0</v>
      </c>
      <c r="Y1628" s="73">
        <v>0</v>
      </c>
      <c r="Z1628" s="73">
        <v>31</v>
      </c>
      <c r="AA1628" s="73">
        <v>279</v>
      </c>
      <c r="AB1628" s="73">
        <v>0</v>
      </c>
      <c r="AC1628" s="73">
        <v>0</v>
      </c>
      <c r="AD1628" s="73">
        <v>0</v>
      </c>
      <c r="AE1628" s="73">
        <v>0</v>
      </c>
      <c r="AF1628" s="74">
        <f>tblData[[#This Row],[Gross Sales]]+tblData[[#This Row],[Trade Discounts]]+tblData[[#This Row],[Returns]]</f>
        <v>157</v>
      </c>
      <c r="AG1628" s="74">
        <f>tblData[[#This Row],[Material Cost]]+tblData[[#This Row],[Conversion Cost]]+tblData[[#This Row],[Inbound Freight]]</f>
        <v>-66</v>
      </c>
      <c r="AH1628" s="74">
        <f>tblData[[#This Row],[Net Revenue]]+tblData[[#This Row],[COGS]]</f>
        <v>91</v>
      </c>
      <c r="AI1628" s="74">
        <f>tblData[[#This Row],[Advertising]]+tblData[[#This Row],[Promotions]]</f>
        <v>-24</v>
      </c>
      <c r="AJ1628" s="74">
        <f>tblData[[#This Row],[Outbound Logistics]]+tblData[[#This Row],[Direct Selling]]</f>
        <v>-28</v>
      </c>
      <c r="AK1628" s="74">
        <f>tblData[[#This Row],[Gross Profit]]+tblData[[#This Row],[AP Spend]]+tblData[[#This Row],[Cost to Serve]]</f>
        <v>39</v>
      </c>
    </row>
    <row r="1629" spans="2:37" x14ac:dyDescent="0.25">
      <c r="B1629" s="71" t="s">
        <v>36</v>
      </c>
      <c r="C1629" s="71">
        <v>2026</v>
      </c>
      <c r="D1629" s="71">
        <v>7</v>
      </c>
      <c r="E1629" s="71" t="s">
        <v>48</v>
      </c>
      <c r="F1629" s="71" t="s">
        <v>38</v>
      </c>
      <c r="G1629" s="72">
        <v>102.8</v>
      </c>
      <c r="H1629" s="73">
        <v>1448</v>
      </c>
      <c r="I1629" s="73">
        <v>-130</v>
      </c>
      <c r="J1629" s="73">
        <v>-14</v>
      </c>
      <c r="K1629" s="73">
        <v>-317</v>
      </c>
      <c r="L1629" s="73">
        <v>-78</v>
      </c>
      <c r="M1629" s="73">
        <v>-49</v>
      </c>
      <c r="N1629" s="73">
        <v>-77</v>
      </c>
      <c r="O1629" s="73">
        <v>-45</v>
      </c>
      <c r="P1629" s="73">
        <v>-45</v>
      </c>
      <c r="Q1629" s="73">
        <v>-22</v>
      </c>
      <c r="R1629" s="73">
        <v>0</v>
      </c>
      <c r="S1629" s="73">
        <v>0</v>
      </c>
      <c r="T1629" s="73">
        <v>0</v>
      </c>
      <c r="U1629" s="73">
        <v>0</v>
      </c>
      <c r="V1629" s="73">
        <v>0</v>
      </c>
      <c r="W1629" s="73">
        <v>0</v>
      </c>
      <c r="X1629" s="73">
        <v>0</v>
      </c>
      <c r="Y1629" s="73">
        <v>0</v>
      </c>
      <c r="Z1629" s="73">
        <v>3220</v>
      </c>
      <c r="AA1629" s="73">
        <v>1519</v>
      </c>
      <c r="AB1629" s="73">
        <v>0</v>
      </c>
      <c r="AC1629" s="73">
        <v>0</v>
      </c>
      <c r="AD1629" s="73">
        <v>0</v>
      </c>
      <c r="AE1629" s="73">
        <v>0</v>
      </c>
      <c r="AF1629" s="74">
        <f>tblData[[#This Row],[Gross Sales]]+tblData[[#This Row],[Trade Discounts]]+tblData[[#This Row],[Returns]]</f>
        <v>1304</v>
      </c>
      <c r="AG1629" s="74">
        <f>tblData[[#This Row],[Material Cost]]+tblData[[#This Row],[Conversion Cost]]+tblData[[#This Row],[Inbound Freight]]</f>
        <v>-444</v>
      </c>
      <c r="AH1629" s="74">
        <f>tblData[[#This Row],[Net Revenue]]+tblData[[#This Row],[COGS]]</f>
        <v>860</v>
      </c>
      <c r="AI1629" s="74">
        <f>tblData[[#This Row],[Advertising]]+tblData[[#This Row],[Promotions]]</f>
        <v>-122</v>
      </c>
      <c r="AJ1629" s="74">
        <f>tblData[[#This Row],[Outbound Logistics]]+tblData[[#This Row],[Direct Selling]]</f>
        <v>-67</v>
      </c>
      <c r="AK1629" s="74">
        <f>tblData[[#This Row],[Gross Profit]]+tblData[[#This Row],[AP Spend]]+tblData[[#This Row],[Cost to Serve]]</f>
        <v>671</v>
      </c>
    </row>
    <row r="1630" spans="2:37" x14ac:dyDescent="0.25">
      <c r="B1630" s="71" t="s">
        <v>36</v>
      </c>
      <c r="C1630" s="71">
        <v>2026</v>
      </c>
      <c r="D1630" s="71">
        <v>7</v>
      </c>
      <c r="E1630" s="71" t="s">
        <v>48</v>
      </c>
      <c r="F1630" s="71" t="s">
        <v>39</v>
      </c>
      <c r="G1630" s="72">
        <v>142.80000000000001</v>
      </c>
      <c r="H1630" s="73">
        <v>1288</v>
      </c>
      <c r="I1630" s="73">
        <v>-116</v>
      </c>
      <c r="J1630" s="73">
        <v>-13</v>
      </c>
      <c r="K1630" s="73">
        <v>-339</v>
      </c>
      <c r="L1630" s="73">
        <v>-83</v>
      </c>
      <c r="M1630" s="73">
        <v>-52</v>
      </c>
      <c r="N1630" s="73">
        <v>-44</v>
      </c>
      <c r="O1630" s="73">
        <v>-26</v>
      </c>
      <c r="P1630" s="73">
        <v>-40</v>
      </c>
      <c r="Q1630" s="73">
        <v>-19</v>
      </c>
      <c r="R1630" s="73">
        <v>0</v>
      </c>
      <c r="S1630" s="73">
        <v>0</v>
      </c>
      <c r="T1630" s="73">
        <v>0</v>
      </c>
      <c r="U1630" s="73">
        <v>0</v>
      </c>
      <c r="V1630" s="73">
        <v>0</v>
      </c>
      <c r="W1630" s="73">
        <v>0</v>
      </c>
      <c r="X1630" s="73">
        <v>0</v>
      </c>
      <c r="Y1630" s="73">
        <v>0</v>
      </c>
      <c r="Z1630" s="73">
        <v>2754</v>
      </c>
      <c r="AA1630" s="73">
        <v>1327</v>
      </c>
      <c r="AB1630" s="73">
        <v>0</v>
      </c>
      <c r="AC1630" s="73">
        <v>0</v>
      </c>
      <c r="AD1630" s="73">
        <v>0</v>
      </c>
      <c r="AE1630" s="73">
        <v>0</v>
      </c>
      <c r="AF1630" s="74">
        <f>tblData[[#This Row],[Gross Sales]]+tblData[[#This Row],[Trade Discounts]]+tblData[[#This Row],[Returns]]</f>
        <v>1159</v>
      </c>
      <c r="AG1630" s="74">
        <f>tblData[[#This Row],[Material Cost]]+tblData[[#This Row],[Conversion Cost]]+tblData[[#This Row],[Inbound Freight]]</f>
        <v>-474</v>
      </c>
      <c r="AH1630" s="74">
        <f>tblData[[#This Row],[Net Revenue]]+tblData[[#This Row],[COGS]]</f>
        <v>685</v>
      </c>
      <c r="AI1630" s="74">
        <f>tblData[[#This Row],[Advertising]]+tblData[[#This Row],[Promotions]]</f>
        <v>-70</v>
      </c>
      <c r="AJ1630" s="74">
        <f>tblData[[#This Row],[Outbound Logistics]]+tblData[[#This Row],[Direct Selling]]</f>
        <v>-59</v>
      </c>
      <c r="AK1630" s="74">
        <f>tblData[[#This Row],[Gross Profit]]+tblData[[#This Row],[AP Spend]]+tblData[[#This Row],[Cost to Serve]]</f>
        <v>556</v>
      </c>
    </row>
    <row r="1631" spans="2:37" x14ac:dyDescent="0.25">
      <c r="B1631" s="71" t="s">
        <v>36</v>
      </c>
      <c r="C1631" s="71">
        <v>2026</v>
      </c>
      <c r="D1631" s="71">
        <v>7</v>
      </c>
      <c r="E1631" s="71" t="s">
        <v>48</v>
      </c>
      <c r="F1631" s="71" t="s">
        <v>40</v>
      </c>
      <c r="G1631" s="72">
        <v>129.19999999999999</v>
      </c>
      <c r="H1631" s="73">
        <v>905</v>
      </c>
      <c r="I1631" s="73">
        <v>-81</v>
      </c>
      <c r="J1631" s="73">
        <v>-9</v>
      </c>
      <c r="K1631" s="73">
        <v>-264</v>
      </c>
      <c r="L1631" s="73">
        <v>-65</v>
      </c>
      <c r="M1631" s="73">
        <v>-41</v>
      </c>
      <c r="N1631" s="73">
        <v>-22</v>
      </c>
      <c r="O1631" s="73">
        <v>-13</v>
      </c>
      <c r="P1631" s="73">
        <v>-28</v>
      </c>
      <c r="Q1631" s="73">
        <v>-14</v>
      </c>
      <c r="R1631" s="73">
        <v>0</v>
      </c>
      <c r="S1631" s="73">
        <v>0</v>
      </c>
      <c r="T1631" s="73">
        <v>0</v>
      </c>
      <c r="U1631" s="73">
        <v>0</v>
      </c>
      <c r="V1631" s="73">
        <v>0</v>
      </c>
      <c r="W1631" s="73">
        <v>0</v>
      </c>
      <c r="X1631" s="73">
        <v>0</v>
      </c>
      <c r="Y1631" s="73">
        <v>0</v>
      </c>
      <c r="Z1631" s="73">
        <v>1976</v>
      </c>
      <c r="AA1631" s="73">
        <v>997</v>
      </c>
      <c r="AB1631" s="73">
        <v>0</v>
      </c>
      <c r="AC1631" s="73">
        <v>0</v>
      </c>
      <c r="AD1631" s="73">
        <v>0</v>
      </c>
      <c r="AE1631" s="73">
        <v>0</v>
      </c>
      <c r="AF1631" s="74">
        <f>tblData[[#This Row],[Gross Sales]]+tblData[[#This Row],[Trade Discounts]]+tblData[[#This Row],[Returns]]</f>
        <v>815</v>
      </c>
      <c r="AG1631" s="74">
        <f>tblData[[#This Row],[Material Cost]]+tblData[[#This Row],[Conversion Cost]]+tblData[[#This Row],[Inbound Freight]]</f>
        <v>-370</v>
      </c>
      <c r="AH1631" s="74">
        <f>tblData[[#This Row],[Net Revenue]]+tblData[[#This Row],[COGS]]</f>
        <v>445</v>
      </c>
      <c r="AI1631" s="74">
        <f>tblData[[#This Row],[Advertising]]+tblData[[#This Row],[Promotions]]</f>
        <v>-35</v>
      </c>
      <c r="AJ1631" s="74">
        <f>tblData[[#This Row],[Outbound Logistics]]+tblData[[#This Row],[Direct Selling]]</f>
        <v>-42</v>
      </c>
      <c r="AK1631" s="74">
        <f>tblData[[#This Row],[Gross Profit]]+tblData[[#This Row],[AP Spend]]+tblData[[#This Row],[Cost to Serve]]</f>
        <v>368</v>
      </c>
    </row>
    <row r="1632" spans="2:37" x14ac:dyDescent="0.25">
      <c r="B1632" s="71" t="s">
        <v>36</v>
      </c>
      <c r="C1632" s="71">
        <v>2026</v>
      </c>
      <c r="D1632" s="71">
        <v>7</v>
      </c>
      <c r="E1632" s="71" t="s">
        <v>48</v>
      </c>
      <c r="F1632" s="71" t="s">
        <v>41</v>
      </c>
      <c r="G1632" s="72">
        <v>67.3</v>
      </c>
      <c r="H1632" s="73">
        <v>743</v>
      </c>
      <c r="I1632" s="73">
        <v>-67</v>
      </c>
      <c r="J1632" s="73">
        <v>-7</v>
      </c>
      <c r="K1632" s="73">
        <v>-179</v>
      </c>
      <c r="L1632" s="73">
        <v>-44</v>
      </c>
      <c r="M1632" s="73">
        <v>-27</v>
      </c>
      <c r="N1632" s="73">
        <v>-47</v>
      </c>
      <c r="O1632" s="73">
        <v>-28</v>
      </c>
      <c r="P1632" s="73">
        <v>-23</v>
      </c>
      <c r="Q1632" s="73">
        <v>-11</v>
      </c>
      <c r="R1632" s="73">
        <v>0</v>
      </c>
      <c r="S1632" s="73">
        <v>0</v>
      </c>
      <c r="T1632" s="73">
        <v>0</v>
      </c>
      <c r="U1632" s="73">
        <v>0</v>
      </c>
      <c r="V1632" s="73">
        <v>0</v>
      </c>
      <c r="W1632" s="73">
        <v>0</v>
      </c>
      <c r="X1632" s="73">
        <v>0</v>
      </c>
      <c r="Y1632" s="73">
        <v>0</v>
      </c>
      <c r="Z1632" s="73">
        <v>1593</v>
      </c>
      <c r="AA1632" s="73">
        <v>786</v>
      </c>
      <c r="AB1632" s="73">
        <v>0</v>
      </c>
      <c r="AC1632" s="73">
        <v>0</v>
      </c>
      <c r="AD1632" s="73">
        <v>0</v>
      </c>
      <c r="AE1632" s="73">
        <v>0</v>
      </c>
      <c r="AF1632" s="74">
        <f>tblData[[#This Row],[Gross Sales]]+tblData[[#This Row],[Trade Discounts]]+tblData[[#This Row],[Returns]]</f>
        <v>669</v>
      </c>
      <c r="AG1632" s="74">
        <f>tblData[[#This Row],[Material Cost]]+tblData[[#This Row],[Conversion Cost]]+tblData[[#This Row],[Inbound Freight]]</f>
        <v>-250</v>
      </c>
      <c r="AH1632" s="74">
        <f>tblData[[#This Row],[Net Revenue]]+tblData[[#This Row],[COGS]]</f>
        <v>419</v>
      </c>
      <c r="AI1632" s="74">
        <f>tblData[[#This Row],[Advertising]]+tblData[[#This Row],[Promotions]]</f>
        <v>-75</v>
      </c>
      <c r="AJ1632" s="74">
        <f>tblData[[#This Row],[Outbound Logistics]]+tblData[[#This Row],[Direct Selling]]</f>
        <v>-34</v>
      </c>
      <c r="AK1632" s="74">
        <f>tblData[[#This Row],[Gross Profit]]+tblData[[#This Row],[AP Spend]]+tblData[[#This Row],[Cost to Serve]]</f>
        <v>310</v>
      </c>
    </row>
    <row r="1633" spans="2:37" x14ac:dyDescent="0.25">
      <c r="B1633" s="71" t="s">
        <v>36</v>
      </c>
      <c r="C1633" s="71">
        <v>2026</v>
      </c>
      <c r="D1633" s="71">
        <v>7</v>
      </c>
      <c r="E1633" s="71" t="s">
        <v>48</v>
      </c>
      <c r="F1633" s="71" t="s">
        <v>42</v>
      </c>
      <c r="G1633" s="72">
        <v>78</v>
      </c>
      <c r="H1633" s="73">
        <v>466</v>
      </c>
      <c r="I1633" s="73">
        <v>-42</v>
      </c>
      <c r="J1633" s="73">
        <v>-5</v>
      </c>
      <c r="K1633" s="73">
        <v>-150</v>
      </c>
      <c r="L1633" s="73">
        <v>-37</v>
      </c>
      <c r="M1633" s="73">
        <v>-23</v>
      </c>
      <c r="N1633" s="73">
        <v>-9</v>
      </c>
      <c r="O1633" s="73">
        <v>-5</v>
      </c>
      <c r="P1633" s="73">
        <v>-14</v>
      </c>
      <c r="Q1633" s="73">
        <v>-7</v>
      </c>
      <c r="R1633" s="73">
        <v>0</v>
      </c>
      <c r="S1633" s="73">
        <v>0</v>
      </c>
      <c r="T1633" s="73">
        <v>0</v>
      </c>
      <c r="U1633" s="73">
        <v>0</v>
      </c>
      <c r="V1633" s="73">
        <v>0</v>
      </c>
      <c r="W1633" s="73">
        <v>0</v>
      </c>
      <c r="X1633" s="73">
        <v>0</v>
      </c>
      <c r="Y1633" s="73">
        <v>0</v>
      </c>
      <c r="Z1633" s="73">
        <v>1033</v>
      </c>
      <c r="AA1633" s="73">
        <v>884</v>
      </c>
      <c r="AB1633" s="73">
        <v>0</v>
      </c>
      <c r="AC1633" s="73">
        <v>0</v>
      </c>
      <c r="AD1633" s="73">
        <v>0</v>
      </c>
      <c r="AE1633" s="73">
        <v>0</v>
      </c>
      <c r="AF1633" s="74">
        <f>tblData[[#This Row],[Gross Sales]]+tblData[[#This Row],[Trade Discounts]]+tblData[[#This Row],[Returns]]</f>
        <v>419</v>
      </c>
      <c r="AG1633" s="74">
        <f>tblData[[#This Row],[Material Cost]]+tblData[[#This Row],[Conversion Cost]]+tblData[[#This Row],[Inbound Freight]]</f>
        <v>-210</v>
      </c>
      <c r="AH1633" s="74">
        <f>tblData[[#This Row],[Net Revenue]]+tblData[[#This Row],[COGS]]</f>
        <v>209</v>
      </c>
      <c r="AI1633" s="74">
        <f>tblData[[#This Row],[Advertising]]+tblData[[#This Row],[Promotions]]</f>
        <v>-14</v>
      </c>
      <c r="AJ1633" s="74">
        <f>tblData[[#This Row],[Outbound Logistics]]+tblData[[#This Row],[Direct Selling]]</f>
        <v>-21</v>
      </c>
      <c r="AK1633" s="74">
        <f>tblData[[#This Row],[Gross Profit]]+tblData[[#This Row],[AP Spend]]+tblData[[#This Row],[Cost to Serve]]</f>
        <v>174</v>
      </c>
    </row>
    <row r="1634" spans="2:37" x14ac:dyDescent="0.25">
      <c r="B1634" s="71" t="s">
        <v>36</v>
      </c>
      <c r="C1634" s="71">
        <v>2026</v>
      </c>
      <c r="D1634" s="71">
        <v>7</v>
      </c>
      <c r="E1634" s="71" t="s">
        <v>48</v>
      </c>
      <c r="F1634" s="71" t="s">
        <v>43</v>
      </c>
      <c r="G1634" s="72">
        <v>15.4</v>
      </c>
      <c r="H1634" s="73">
        <v>277</v>
      </c>
      <c r="I1634" s="73">
        <v>-25</v>
      </c>
      <c r="J1634" s="73">
        <v>-3</v>
      </c>
      <c r="K1634" s="73">
        <v>-77</v>
      </c>
      <c r="L1634" s="73">
        <v>-19</v>
      </c>
      <c r="M1634" s="73">
        <v>-12</v>
      </c>
      <c r="N1634" s="73">
        <v>-26</v>
      </c>
      <c r="O1634" s="73">
        <v>-15</v>
      </c>
      <c r="P1634" s="73">
        <v>-9</v>
      </c>
      <c r="Q1634" s="73">
        <v>-4</v>
      </c>
      <c r="R1634" s="73">
        <v>0</v>
      </c>
      <c r="S1634" s="73">
        <v>0</v>
      </c>
      <c r="T1634" s="73">
        <v>0</v>
      </c>
      <c r="U1634" s="73">
        <v>0</v>
      </c>
      <c r="V1634" s="73">
        <v>0</v>
      </c>
      <c r="W1634" s="73">
        <v>0</v>
      </c>
      <c r="X1634" s="73">
        <v>0</v>
      </c>
      <c r="Y1634" s="73">
        <v>0</v>
      </c>
      <c r="Z1634" s="73">
        <v>589</v>
      </c>
      <c r="AA1634" s="73">
        <v>439</v>
      </c>
      <c r="AB1634" s="73">
        <v>0</v>
      </c>
      <c r="AC1634" s="73">
        <v>0</v>
      </c>
      <c r="AD1634" s="73">
        <v>0</v>
      </c>
      <c r="AE1634" s="73">
        <v>0</v>
      </c>
      <c r="AF1634" s="74">
        <f>tblData[[#This Row],[Gross Sales]]+tblData[[#This Row],[Trade Discounts]]+tblData[[#This Row],[Returns]]</f>
        <v>249</v>
      </c>
      <c r="AG1634" s="74">
        <f>tblData[[#This Row],[Material Cost]]+tblData[[#This Row],[Conversion Cost]]+tblData[[#This Row],[Inbound Freight]]</f>
        <v>-108</v>
      </c>
      <c r="AH1634" s="74">
        <f>tblData[[#This Row],[Net Revenue]]+tblData[[#This Row],[COGS]]</f>
        <v>141</v>
      </c>
      <c r="AI1634" s="74">
        <f>tblData[[#This Row],[Advertising]]+tblData[[#This Row],[Promotions]]</f>
        <v>-41</v>
      </c>
      <c r="AJ1634" s="74">
        <f>tblData[[#This Row],[Outbound Logistics]]+tblData[[#This Row],[Direct Selling]]</f>
        <v>-13</v>
      </c>
      <c r="AK1634" s="74">
        <f>tblData[[#This Row],[Gross Profit]]+tblData[[#This Row],[AP Spend]]+tblData[[#This Row],[Cost to Serve]]</f>
        <v>87</v>
      </c>
    </row>
    <row r="1635" spans="2:37" x14ac:dyDescent="0.25">
      <c r="B1635" s="71" t="s">
        <v>36</v>
      </c>
      <c r="C1635" s="71">
        <v>2026</v>
      </c>
      <c r="D1635" s="71">
        <v>7</v>
      </c>
      <c r="E1635" s="71" t="s">
        <v>49</v>
      </c>
      <c r="F1635" s="71" t="s">
        <v>49</v>
      </c>
      <c r="G1635" s="72">
        <v>0</v>
      </c>
      <c r="H1635" s="73">
        <v>0</v>
      </c>
      <c r="I1635" s="73">
        <v>0</v>
      </c>
      <c r="J1635" s="73">
        <v>0</v>
      </c>
      <c r="K1635" s="73">
        <v>0</v>
      </c>
      <c r="L1635" s="73">
        <v>0</v>
      </c>
      <c r="M1635" s="73">
        <v>0</v>
      </c>
      <c r="N1635" s="73">
        <v>0</v>
      </c>
      <c r="O1635" s="73">
        <v>0</v>
      </c>
      <c r="P1635" s="73">
        <v>0</v>
      </c>
      <c r="Q1635" s="73">
        <v>0</v>
      </c>
      <c r="R1635" s="73">
        <v>-4339</v>
      </c>
      <c r="S1635" s="73">
        <v>-1000</v>
      </c>
      <c r="T1635" s="73">
        <v>-1280</v>
      </c>
      <c r="U1635" s="73">
        <v>-1085</v>
      </c>
      <c r="V1635" s="73">
        <v>-1480</v>
      </c>
      <c r="W1635" s="73">
        <v>-694</v>
      </c>
      <c r="X1635" s="73">
        <v>-1498</v>
      </c>
      <c r="Y1635" s="73">
        <v>-1288</v>
      </c>
      <c r="Z1635" s="73">
        <v>0</v>
      </c>
      <c r="AA1635" s="73">
        <v>0</v>
      </c>
      <c r="AB1635" s="73">
        <v>33610</v>
      </c>
      <c r="AC1635" s="73">
        <v>48141</v>
      </c>
      <c r="AD1635" s="73">
        <v>185000</v>
      </c>
      <c r="AE1635" s="73">
        <v>1189</v>
      </c>
      <c r="AF1635" s="74">
        <f>tblData[[#This Row],[Gross Sales]]+tblData[[#This Row],[Trade Discounts]]+tblData[[#This Row],[Returns]]</f>
        <v>0</v>
      </c>
      <c r="AG1635" s="74">
        <f>tblData[[#This Row],[Material Cost]]+tblData[[#This Row],[Conversion Cost]]+tblData[[#This Row],[Inbound Freight]]</f>
        <v>0</v>
      </c>
      <c r="AH1635" s="74">
        <f>tblData[[#This Row],[Net Revenue]]+tblData[[#This Row],[COGS]]</f>
        <v>0</v>
      </c>
      <c r="AI1635" s="74">
        <f>tblData[[#This Row],[Advertising]]+tblData[[#This Row],[Promotions]]</f>
        <v>0</v>
      </c>
      <c r="AJ1635" s="74">
        <f>tblData[[#This Row],[Outbound Logistics]]+tblData[[#This Row],[Direct Selling]]</f>
        <v>0</v>
      </c>
      <c r="AK1635" s="74">
        <f>tblData[[#This Row],[Gross Profit]]+tblData[[#This Row],[AP Spend]]+tblData[[#This Row],[Cost to Serve]]</f>
        <v>0</v>
      </c>
    </row>
    <row r="1636" spans="2:37" x14ac:dyDescent="0.25">
      <c r="B1636" s="71" t="s">
        <v>36</v>
      </c>
      <c r="C1636" s="71">
        <v>2026</v>
      </c>
      <c r="D1636" s="71">
        <v>8</v>
      </c>
      <c r="E1636" s="71" t="s">
        <v>37</v>
      </c>
      <c r="F1636" s="71" t="s">
        <v>38</v>
      </c>
      <c r="G1636" s="72">
        <v>311.60000000000002</v>
      </c>
      <c r="H1636" s="73">
        <v>4389</v>
      </c>
      <c r="I1636" s="73">
        <v>-860</v>
      </c>
      <c r="J1636" s="73">
        <v>-66</v>
      </c>
      <c r="K1636" s="73">
        <v>-962</v>
      </c>
      <c r="L1636" s="73">
        <v>-237</v>
      </c>
      <c r="M1636" s="73">
        <v>-147</v>
      </c>
      <c r="N1636" s="73">
        <v>-236</v>
      </c>
      <c r="O1636" s="73">
        <v>-139</v>
      </c>
      <c r="P1636" s="73">
        <v>-181</v>
      </c>
      <c r="Q1636" s="73">
        <v>-132</v>
      </c>
      <c r="R1636" s="73">
        <v>0</v>
      </c>
      <c r="S1636" s="73">
        <v>0</v>
      </c>
      <c r="T1636" s="73">
        <v>0</v>
      </c>
      <c r="U1636" s="73">
        <v>0</v>
      </c>
      <c r="V1636" s="73">
        <v>0</v>
      </c>
      <c r="W1636" s="73">
        <v>0</v>
      </c>
      <c r="X1636" s="73">
        <v>0</v>
      </c>
      <c r="Y1636" s="73">
        <v>0</v>
      </c>
      <c r="Z1636" s="73">
        <v>6509</v>
      </c>
      <c r="AA1636" s="73">
        <v>4408</v>
      </c>
      <c r="AB1636" s="73">
        <v>0</v>
      </c>
      <c r="AC1636" s="73">
        <v>0</v>
      </c>
      <c r="AD1636" s="73">
        <v>0</v>
      </c>
      <c r="AE1636" s="73">
        <v>0</v>
      </c>
      <c r="AF1636" s="74">
        <f>tblData[[#This Row],[Gross Sales]]+tblData[[#This Row],[Trade Discounts]]+tblData[[#This Row],[Returns]]</f>
        <v>3463</v>
      </c>
      <c r="AG1636" s="74">
        <f>tblData[[#This Row],[Material Cost]]+tblData[[#This Row],[Conversion Cost]]+tblData[[#This Row],[Inbound Freight]]</f>
        <v>-1346</v>
      </c>
      <c r="AH1636" s="74">
        <f>tblData[[#This Row],[Net Revenue]]+tblData[[#This Row],[COGS]]</f>
        <v>2117</v>
      </c>
      <c r="AI1636" s="74">
        <f>tblData[[#This Row],[Advertising]]+tblData[[#This Row],[Promotions]]</f>
        <v>-375</v>
      </c>
      <c r="AJ1636" s="74">
        <f>tblData[[#This Row],[Outbound Logistics]]+tblData[[#This Row],[Direct Selling]]</f>
        <v>-313</v>
      </c>
      <c r="AK1636" s="74">
        <f>tblData[[#This Row],[Gross Profit]]+tblData[[#This Row],[AP Spend]]+tblData[[#This Row],[Cost to Serve]]</f>
        <v>1429</v>
      </c>
    </row>
    <row r="1637" spans="2:37" x14ac:dyDescent="0.25">
      <c r="B1637" s="71" t="s">
        <v>36</v>
      </c>
      <c r="C1637" s="71">
        <v>2026</v>
      </c>
      <c r="D1637" s="71">
        <v>8</v>
      </c>
      <c r="E1637" s="71" t="s">
        <v>37</v>
      </c>
      <c r="F1637" s="71" t="s">
        <v>39</v>
      </c>
      <c r="G1637" s="72">
        <v>389.2</v>
      </c>
      <c r="H1637" s="73">
        <v>3510</v>
      </c>
      <c r="I1637" s="73">
        <v>-688</v>
      </c>
      <c r="J1637" s="73">
        <v>-53</v>
      </c>
      <c r="K1637" s="73">
        <v>-923</v>
      </c>
      <c r="L1637" s="73">
        <v>-227</v>
      </c>
      <c r="M1637" s="73">
        <v>-142</v>
      </c>
      <c r="N1637" s="73">
        <v>-135</v>
      </c>
      <c r="O1637" s="73">
        <v>-80</v>
      </c>
      <c r="P1637" s="73">
        <v>-145</v>
      </c>
      <c r="Q1637" s="73">
        <v>-105</v>
      </c>
      <c r="R1637" s="73">
        <v>0</v>
      </c>
      <c r="S1637" s="73">
        <v>0</v>
      </c>
      <c r="T1637" s="73">
        <v>0</v>
      </c>
      <c r="U1637" s="73">
        <v>0</v>
      </c>
      <c r="V1637" s="73">
        <v>0</v>
      </c>
      <c r="W1637" s="73">
        <v>0</v>
      </c>
      <c r="X1637" s="73">
        <v>0</v>
      </c>
      <c r="Y1637" s="73">
        <v>0</v>
      </c>
      <c r="Z1637" s="73">
        <v>5265</v>
      </c>
      <c r="AA1637" s="73">
        <v>3644</v>
      </c>
      <c r="AB1637" s="73">
        <v>0</v>
      </c>
      <c r="AC1637" s="73">
        <v>0</v>
      </c>
      <c r="AD1637" s="73">
        <v>0</v>
      </c>
      <c r="AE1637" s="73">
        <v>0</v>
      </c>
      <c r="AF1637" s="74">
        <f>tblData[[#This Row],[Gross Sales]]+tblData[[#This Row],[Trade Discounts]]+tblData[[#This Row],[Returns]]</f>
        <v>2769</v>
      </c>
      <c r="AG1637" s="74">
        <f>tblData[[#This Row],[Material Cost]]+tblData[[#This Row],[Conversion Cost]]+tblData[[#This Row],[Inbound Freight]]</f>
        <v>-1292</v>
      </c>
      <c r="AH1637" s="74">
        <f>tblData[[#This Row],[Net Revenue]]+tblData[[#This Row],[COGS]]</f>
        <v>1477</v>
      </c>
      <c r="AI1637" s="74">
        <f>tblData[[#This Row],[Advertising]]+tblData[[#This Row],[Promotions]]</f>
        <v>-215</v>
      </c>
      <c r="AJ1637" s="74">
        <f>tblData[[#This Row],[Outbound Logistics]]+tblData[[#This Row],[Direct Selling]]</f>
        <v>-250</v>
      </c>
      <c r="AK1637" s="74">
        <f>tblData[[#This Row],[Gross Profit]]+tblData[[#This Row],[AP Spend]]+tblData[[#This Row],[Cost to Serve]]</f>
        <v>1012</v>
      </c>
    </row>
    <row r="1638" spans="2:37" x14ac:dyDescent="0.25">
      <c r="B1638" s="71" t="s">
        <v>36</v>
      </c>
      <c r="C1638" s="71">
        <v>2026</v>
      </c>
      <c r="D1638" s="71">
        <v>8</v>
      </c>
      <c r="E1638" s="71" t="s">
        <v>37</v>
      </c>
      <c r="F1638" s="71" t="s">
        <v>40</v>
      </c>
      <c r="G1638" s="72">
        <v>384.8</v>
      </c>
      <c r="H1638" s="73">
        <v>2694</v>
      </c>
      <c r="I1638" s="73">
        <v>-528</v>
      </c>
      <c r="J1638" s="73">
        <v>-40</v>
      </c>
      <c r="K1638" s="73">
        <v>-787</v>
      </c>
      <c r="L1638" s="73">
        <v>-194</v>
      </c>
      <c r="M1638" s="73">
        <v>-121</v>
      </c>
      <c r="N1638" s="73">
        <v>-67</v>
      </c>
      <c r="O1638" s="73">
        <v>-40</v>
      </c>
      <c r="P1638" s="73">
        <v>-111</v>
      </c>
      <c r="Q1638" s="73">
        <v>-81</v>
      </c>
      <c r="R1638" s="73">
        <v>0</v>
      </c>
      <c r="S1638" s="73">
        <v>0</v>
      </c>
      <c r="T1638" s="73">
        <v>0</v>
      </c>
      <c r="U1638" s="73">
        <v>0</v>
      </c>
      <c r="V1638" s="73">
        <v>0</v>
      </c>
      <c r="W1638" s="73">
        <v>0</v>
      </c>
      <c r="X1638" s="73">
        <v>0</v>
      </c>
      <c r="Y1638" s="73">
        <v>0</v>
      </c>
      <c r="Z1638" s="73">
        <v>4017</v>
      </c>
      <c r="AA1638" s="73">
        <v>2909</v>
      </c>
      <c r="AB1638" s="73">
        <v>0</v>
      </c>
      <c r="AC1638" s="73">
        <v>0</v>
      </c>
      <c r="AD1638" s="73">
        <v>0</v>
      </c>
      <c r="AE1638" s="73">
        <v>0</v>
      </c>
      <c r="AF1638" s="74">
        <f>tblData[[#This Row],[Gross Sales]]+tblData[[#This Row],[Trade Discounts]]+tblData[[#This Row],[Returns]]</f>
        <v>2126</v>
      </c>
      <c r="AG1638" s="74">
        <f>tblData[[#This Row],[Material Cost]]+tblData[[#This Row],[Conversion Cost]]+tblData[[#This Row],[Inbound Freight]]</f>
        <v>-1102</v>
      </c>
      <c r="AH1638" s="74">
        <f>tblData[[#This Row],[Net Revenue]]+tblData[[#This Row],[COGS]]</f>
        <v>1024</v>
      </c>
      <c r="AI1638" s="74">
        <f>tblData[[#This Row],[Advertising]]+tblData[[#This Row],[Promotions]]</f>
        <v>-107</v>
      </c>
      <c r="AJ1638" s="74">
        <f>tblData[[#This Row],[Outbound Logistics]]+tblData[[#This Row],[Direct Selling]]</f>
        <v>-192</v>
      </c>
      <c r="AK1638" s="74">
        <f>tblData[[#This Row],[Gross Profit]]+tblData[[#This Row],[AP Spend]]+tblData[[#This Row],[Cost to Serve]]</f>
        <v>725</v>
      </c>
    </row>
    <row r="1639" spans="2:37" x14ac:dyDescent="0.25">
      <c r="B1639" s="71" t="s">
        <v>36</v>
      </c>
      <c r="C1639" s="71">
        <v>2026</v>
      </c>
      <c r="D1639" s="71">
        <v>8</v>
      </c>
      <c r="E1639" s="71" t="s">
        <v>37</v>
      </c>
      <c r="F1639" s="71" t="s">
        <v>41</v>
      </c>
      <c r="G1639" s="72">
        <v>197.5</v>
      </c>
      <c r="H1639" s="73">
        <v>2179</v>
      </c>
      <c r="I1639" s="73">
        <v>-427</v>
      </c>
      <c r="J1639" s="73">
        <v>-33</v>
      </c>
      <c r="K1639" s="73">
        <v>-525</v>
      </c>
      <c r="L1639" s="73">
        <v>-129</v>
      </c>
      <c r="M1639" s="73">
        <v>-81</v>
      </c>
      <c r="N1639" s="73">
        <v>-144</v>
      </c>
      <c r="O1639" s="73">
        <v>-85</v>
      </c>
      <c r="P1639" s="73">
        <v>-90</v>
      </c>
      <c r="Q1639" s="73">
        <v>-65</v>
      </c>
      <c r="R1639" s="73">
        <v>0</v>
      </c>
      <c r="S1639" s="73">
        <v>0</v>
      </c>
      <c r="T1639" s="73">
        <v>0</v>
      </c>
      <c r="U1639" s="73">
        <v>0</v>
      </c>
      <c r="V1639" s="73">
        <v>0</v>
      </c>
      <c r="W1639" s="73">
        <v>0</v>
      </c>
      <c r="X1639" s="73">
        <v>0</v>
      </c>
      <c r="Y1639" s="73">
        <v>0</v>
      </c>
      <c r="Z1639" s="73">
        <v>3142</v>
      </c>
      <c r="AA1639" s="73">
        <v>2225</v>
      </c>
      <c r="AB1639" s="73">
        <v>0</v>
      </c>
      <c r="AC1639" s="73">
        <v>0</v>
      </c>
      <c r="AD1639" s="73">
        <v>0</v>
      </c>
      <c r="AE1639" s="73">
        <v>0</v>
      </c>
      <c r="AF1639" s="74">
        <f>tblData[[#This Row],[Gross Sales]]+tblData[[#This Row],[Trade Discounts]]+tblData[[#This Row],[Returns]]</f>
        <v>1719</v>
      </c>
      <c r="AG1639" s="74">
        <f>tblData[[#This Row],[Material Cost]]+tblData[[#This Row],[Conversion Cost]]+tblData[[#This Row],[Inbound Freight]]</f>
        <v>-735</v>
      </c>
      <c r="AH1639" s="74">
        <f>tblData[[#This Row],[Net Revenue]]+tblData[[#This Row],[COGS]]</f>
        <v>984</v>
      </c>
      <c r="AI1639" s="74">
        <f>tblData[[#This Row],[Advertising]]+tblData[[#This Row],[Promotions]]</f>
        <v>-229</v>
      </c>
      <c r="AJ1639" s="74">
        <f>tblData[[#This Row],[Outbound Logistics]]+tblData[[#This Row],[Direct Selling]]</f>
        <v>-155</v>
      </c>
      <c r="AK1639" s="74">
        <f>tblData[[#This Row],[Gross Profit]]+tblData[[#This Row],[AP Spend]]+tblData[[#This Row],[Cost to Serve]]</f>
        <v>600</v>
      </c>
    </row>
    <row r="1640" spans="2:37" x14ac:dyDescent="0.25">
      <c r="B1640" s="71" t="s">
        <v>36</v>
      </c>
      <c r="C1640" s="71">
        <v>2026</v>
      </c>
      <c r="D1640" s="71">
        <v>8</v>
      </c>
      <c r="E1640" s="71" t="s">
        <v>37</v>
      </c>
      <c r="F1640" s="71" t="s">
        <v>42</v>
      </c>
      <c r="G1640" s="72">
        <v>226.3</v>
      </c>
      <c r="H1640" s="73">
        <v>1352</v>
      </c>
      <c r="I1640" s="73">
        <v>-265</v>
      </c>
      <c r="J1640" s="73">
        <v>-20</v>
      </c>
      <c r="K1640" s="73">
        <v>-435</v>
      </c>
      <c r="L1640" s="73">
        <v>-107</v>
      </c>
      <c r="M1640" s="73">
        <v>-67</v>
      </c>
      <c r="N1640" s="73">
        <v>-28</v>
      </c>
      <c r="O1640" s="73">
        <v>-17</v>
      </c>
      <c r="P1640" s="73">
        <v>-56</v>
      </c>
      <c r="Q1640" s="73">
        <v>-41</v>
      </c>
      <c r="R1640" s="73">
        <v>0</v>
      </c>
      <c r="S1640" s="73">
        <v>0</v>
      </c>
      <c r="T1640" s="73">
        <v>0</v>
      </c>
      <c r="U1640" s="73">
        <v>0</v>
      </c>
      <c r="V1640" s="73">
        <v>0</v>
      </c>
      <c r="W1640" s="73">
        <v>0</v>
      </c>
      <c r="X1640" s="73">
        <v>0</v>
      </c>
      <c r="Y1640" s="73">
        <v>0</v>
      </c>
      <c r="Z1640" s="73">
        <v>2019</v>
      </c>
      <c r="AA1640" s="73">
        <v>2482</v>
      </c>
      <c r="AB1640" s="73">
        <v>0</v>
      </c>
      <c r="AC1640" s="73">
        <v>0</v>
      </c>
      <c r="AD1640" s="73">
        <v>0</v>
      </c>
      <c r="AE1640" s="73">
        <v>0</v>
      </c>
      <c r="AF1640" s="74">
        <f>tblData[[#This Row],[Gross Sales]]+tblData[[#This Row],[Trade Discounts]]+tblData[[#This Row],[Returns]]</f>
        <v>1067</v>
      </c>
      <c r="AG1640" s="74">
        <f>tblData[[#This Row],[Material Cost]]+tblData[[#This Row],[Conversion Cost]]+tblData[[#This Row],[Inbound Freight]]</f>
        <v>-609</v>
      </c>
      <c r="AH1640" s="74">
        <f>tblData[[#This Row],[Net Revenue]]+tblData[[#This Row],[COGS]]</f>
        <v>458</v>
      </c>
      <c r="AI1640" s="74">
        <f>tblData[[#This Row],[Advertising]]+tblData[[#This Row],[Promotions]]</f>
        <v>-45</v>
      </c>
      <c r="AJ1640" s="74">
        <f>tblData[[#This Row],[Outbound Logistics]]+tblData[[#This Row],[Direct Selling]]</f>
        <v>-97</v>
      </c>
      <c r="AK1640" s="74">
        <f>tblData[[#This Row],[Gross Profit]]+tblData[[#This Row],[AP Spend]]+tblData[[#This Row],[Cost to Serve]]</f>
        <v>316</v>
      </c>
    </row>
    <row r="1641" spans="2:37" x14ac:dyDescent="0.25">
      <c r="B1641" s="71" t="s">
        <v>36</v>
      </c>
      <c r="C1641" s="71">
        <v>2026</v>
      </c>
      <c r="D1641" s="71">
        <v>8</v>
      </c>
      <c r="E1641" s="71" t="s">
        <v>37</v>
      </c>
      <c r="F1641" s="71" t="s">
        <v>43</v>
      </c>
      <c r="G1641" s="72">
        <v>43.6</v>
      </c>
      <c r="H1641" s="73">
        <v>785</v>
      </c>
      <c r="I1641" s="73">
        <v>-154</v>
      </c>
      <c r="J1641" s="73">
        <v>-12</v>
      </c>
      <c r="K1641" s="73">
        <v>-218</v>
      </c>
      <c r="L1641" s="73">
        <v>-54</v>
      </c>
      <c r="M1641" s="73">
        <v>-33</v>
      </c>
      <c r="N1641" s="73">
        <v>-79</v>
      </c>
      <c r="O1641" s="73">
        <v>-46</v>
      </c>
      <c r="P1641" s="73">
        <v>-32</v>
      </c>
      <c r="Q1641" s="73">
        <v>-24</v>
      </c>
      <c r="R1641" s="73">
        <v>0</v>
      </c>
      <c r="S1641" s="73">
        <v>0</v>
      </c>
      <c r="T1641" s="73">
        <v>0</v>
      </c>
      <c r="U1641" s="73">
        <v>0</v>
      </c>
      <c r="V1641" s="73">
        <v>0</v>
      </c>
      <c r="W1641" s="73">
        <v>0</v>
      </c>
      <c r="X1641" s="73">
        <v>0</v>
      </c>
      <c r="Y1641" s="73">
        <v>0</v>
      </c>
      <c r="Z1641" s="73">
        <v>1160</v>
      </c>
      <c r="AA1641" s="73">
        <v>1242</v>
      </c>
      <c r="AB1641" s="73">
        <v>0</v>
      </c>
      <c r="AC1641" s="73">
        <v>0</v>
      </c>
      <c r="AD1641" s="73">
        <v>0</v>
      </c>
      <c r="AE1641" s="73">
        <v>0</v>
      </c>
      <c r="AF1641" s="74">
        <f>tblData[[#This Row],[Gross Sales]]+tblData[[#This Row],[Trade Discounts]]+tblData[[#This Row],[Returns]]</f>
        <v>619</v>
      </c>
      <c r="AG1641" s="74">
        <f>tblData[[#This Row],[Material Cost]]+tblData[[#This Row],[Conversion Cost]]+tblData[[#This Row],[Inbound Freight]]</f>
        <v>-305</v>
      </c>
      <c r="AH1641" s="74">
        <f>tblData[[#This Row],[Net Revenue]]+tblData[[#This Row],[COGS]]</f>
        <v>314</v>
      </c>
      <c r="AI1641" s="74">
        <f>tblData[[#This Row],[Advertising]]+tblData[[#This Row],[Promotions]]</f>
        <v>-125</v>
      </c>
      <c r="AJ1641" s="74">
        <f>tblData[[#This Row],[Outbound Logistics]]+tblData[[#This Row],[Direct Selling]]</f>
        <v>-56</v>
      </c>
      <c r="AK1641" s="74">
        <f>tblData[[#This Row],[Gross Profit]]+tblData[[#This Row],[AP Spend]]+tblData[[#This Row],[Cost to Serve]]</f>
        <v>133</v>
      </c>
    </row>
    <row r="1642" spans="2:37" x14ac:dyDescent="0.25">
      <c r="B1642" s="71" t="s">
        <v>36</v>
      </c>
      <c r="C1642" s="71">
        <v>2026</v>
      </c>
      <c r="D1642" s="71">
        <v>8</v>
      </c>
      <c r="E1642" s="71" t="s">
        <v>44</v>
      </c>
      <c r="F1642" s="71" t="s">
        <v>38</v>
      </c>
      <c r="G1642" s="72">
        <v>255.5</v>
      </c>
      <c r="H1642" s="73">
        <v>3613</v>
      </c>
      <c r="I1642" s="73">
        <v>-585</v>
      </c>
      <c r="J1642" s="73">
        <v>-43</v>
      </c>
      <c r="K1642" s="73">
        <v>-792</v>
      </c>
      <c r="L1642" s="73">
        <v>-195</v>
      </c>
      <c r="M1642" s="73">
        <v>-121</v>
      </c>
      <c r="N1642" s="73">
        <v>-189</v>
      </c>
      <c r="O1642" s="73">
        <v>-112</v>
      </c>
      <c r="P1642" s="73">
        <v>-149</v>
      </c>
      <c r="Q1642" s="73">
        <v>-108</v>
      </c>
      <c r="R1642" s="73">
        <v>0</v>
      </c>
      <c r="S1642" s="73">
        <v>0</v>
      </c>
      <c r="T1642" s="73">
        <v>0</v>
      </c>
      <c r="U1642" s="73">
        <v>0</v>
      </c>
      <c r="V1642" s="73">
        <v>0</v>
      </c>
      <c r="W1642" s="73">
        <v>0</v>
      </c>
      <c r="X1642" s="73">
        <v>0</v>
      </c>
      <c r="Y1642" s="73">
        <v>0</v>
      </c>
      <c r="Z1642" s="73">
        <v>5207</v>
      </c>
      <c r="AA1642" s="73">
        <v>3686</v>
      </c>
      <c r="AB1642" s="73">
        <v>0</v>
      </c>
      <c r="AC1642" s="73">
        <v>0</v>
      </c>
      <c r="AD1642" s="73">
        <v>0</v>
      </c>
      <c r="AE1642" s="73">
        <v>0</v>
      </c>
      <c r="AF1642" s="74">
        <f>tblData[[#This Row],[Gross Sales]]+tblData[[#This Row],[Trade Discounts]]+tblData[[#This Row],[Returns]]</f>
        <v>2985</v>
      </c>
      <c r="AG1642" s="74">
        <f>tblData[[#This Row],[Material Cost]]+tblData[[#This Row],[Conversion Cost]]+tblData[[#This Row],[Inbound Freight]]</f>
        <v>-1108</v>
      </c>
      <c r="AH1642" s="74">
        <f>tblData[[#This Row],[Net Revenue]]+tblData[[#This Row],[COGS]]</f>
        <v>1877</v>
      </c>
      <c r="AI1642" s="74">
        <f>tblData[[#This Row],[Advertising]]+tblData[[#This Row],[Promotions]]</f>
        <v>-301</v>
      </c>
      <c r="AJ1642" s="74">
        <f>tblData[[#This Row],[Outbound Logistics]]+tblData[[#This Row],[Direct Selling]]</f>
        <v>-257</v>
      </c>
      <c r="AK1642" s="74">
        <f>tblData[[#This Row],[Gross Profit]]+tblData[[#This Row],[AP Spend]]+tblData[[#This Row],[Cost to Serve]]</f>
        <v>1319</v>
      </c>
    </row>
    <row r="1643" spans="2:37" x14ac:dyDescent="0.25">
      <c r="B1643" s="71" t="s">
        <v>36</v>
      </c>
      <c r="C1643" s="71">
        <v>2026</v>
      </c>
      <c r="D1643" s="71">
        <v>8</v>
      </c>
      <c r="E1643" s="71" t="s">
        <v>44</v>
      </c>
      <c r="F1643" s="71" t="s">
        <v>39</v>
      </c>
      <c r="G1643" s="72">
        <v>326.7</v>
      </c>
      <c r="H1643" s="73">
        <v>2958</v>
      </c>
      <c r="I1643" s="73">
        <v>-479</v>
      </c>
      <c r="J1643" s="73">
        <v>-35</v>
      </c>
      <c r="K1643" s="73">
        <v>-778</v>
      </c>
      <c r="L1643" s="73">
        <v>-192</v>
      </c>
      <c r="M1643" s="73">
        <v>-119</v>
      </c>
      <c r="N1643" s="73">
        <v>-108</v>
      </c>
      <c r="O1643" s="73">
        <v>-64</v>
      </c>
      <c r="P1643" s="73">
        <v>-122</v>
      </c>
      <c r="Q1643" s="73">
        <v>-89</v>
      </c>
      <c r="R1643" s="73">
        <v>0</v>
      </c>
      <c r="S1643" s="73">
        <v>0</v>
      </c>
      <c r="T1643" s="73">
        <v>0</v>
      </c>
      <c r="U1643" s="73">
        <v>0</v>
      </c>
      <c r="V1643" s="73">
        <v>0</v>
      </c>
      <c r="W1643" s="73">
        <v>0</v>
      </c>
      <c r="X1643" s="73">
        <v>0</v>
      </c>
      <c r="Y1643" s="73">
        <v>0</v>
      </c>
      <c r="Z1643" s="73">
        <v>4292</v>
      </c>
      <c r="AA1643" s="73">
        <v>3105</v>
      </c>
      <c r="AB1643" s="73">
        <v>0</v>
      </c>
      <c r="AC1643" s="73">
        <v>0</v>
      </c>
      <c r="AD1643" s="73">
        <v>0</v>
      </c>
      <c r="AE1643" s="73">
        <v>0</v>
      </c>
      <c r="AF1643" s="74">
        <f>tblData[[#This Row],[Gross Sales]]+tblData[[#This Row],[Trade Discounts]]+tblData[[#This Row],[Returns]]</f>
        <v>2444</v>
      </c>
      <c r="AG1643" s="74">
        <f>tblData[[#This Row],[Material Cost]]+tblData[[#This Row],[Conversion Cost]]+tblData[[#This Row],[Inbound Freight]]</f>
        <v>-1089</v>
      </c>
      <c r="AH1643" s="74">
        <f>tblData[[#This Row],[Net Revenue]]+tblData[[#This Row],[COGS]]</f>
        <v>1355</v>
      </c>
      <c r="AI1643" s="74">
        <f>tblData[[#This Row],[Advertising]]+tblData[[#This Row],[Promotions]]</f>
        <v>-172</v>
      </c>
      <c r="AJ1643" s="74">
        <f>tblData[[#This Row],[Outbound Logistics]]+tblData[[#This Row],[Direct Selling]]</f>
        <v>-211</v>
      </c>
      <c r="AK1643" s="74">
        <f>tblData[[#This Row],[Gross Profit]]+tblData[[#This Row],[AP Spend]]+tblData[[#This Row],[Cost to Serve]]</f>
        <v>972</v>
      </c>
    </row>
    <row r="1644" spans="2:37" x14ac:dyDescent="0.25">
      <c r="B1644" s="71" t="s">
        <v>36</v>
      </c>
      <c r="C1644" s="71">
        <v>2026</v>
      </c>
      <c r="D1644" s="71">
        <v>8</v>
      </c>
      <c r="E1644" s="71" t="s">
        <v>44</v>
      </c>
      <c r="F1644" s="71" t="s">
        <v>40</v>
      </c>
      <c r="G1644" s="72">
        <v>306.10000000000002</v>
      </c>
      <c r="H1644" s="73">
        <v>2151</v>
      </c>
      <c r="I1644" s="73">
        <v>-348</v>
      </c>
      <c r="J1644" s="73">
        <v>-26</v>
      </c>
      <c r="K1644" s="73">
        <v>-629</v>
      </c>
      <c r="L1644" s="73">
        <v>-155</v>
      </c>
      <c r="M1644" s="73">
        <v>-96</v>
      </c>
      <c r="N1644" s="73">
        <v>-54</v>
      </c>
      <c r="O1644" s="73">
        <v>-32</v>
      </c>
      <c r="P1644" s="73">
        <v>-89</v>
      </c>
      <c r="Q1644" s="73">
        <v>-65</v>
      </c>
      <c r="R1644" s="73">
        <v>0</v>
      </c>
      <c r="S1644" s="73">
        <v>0</v>
      </c>
      <c r="T1644" s="73">
        <v>0</v>
      </c>
      <c r="U1644" s="73">
        <v>0</v>
      </c>
      <c r="V1644" s="73">
        <v>0</v>
      </c>
      <c r="W1644" s="73">
        <v>0</v>
      </c>
      <c r="X1644" s="73">
        <v>0</v>
      </c>
      <c r="Y1644" s="73">
        <v>0</v>
      </c>
      <c r="Z1644" s="73">
        <v>3148</v>
      </c>
      <c r="AA1644" s="73">
        <v>2383</v>
      </c>
      <c r="AB1644" s="73">
        <v>0</v>
      </c>
      <c r="AC1644" s="73">
        <v>0</v>
      </c>
      <c r="AD1644" s="73">
        <v>0</v>
      </c>
      <c r="AE1644" s="73">
        <v>0</v>
      </c>
      <c r="AF1644" s="74">
        <f>tblData[[#This Row],[Gross Sales]]+tblData[[#This Row],[Trade Discounts]]+tblData[[#This Row],[Returns]]</f>
        <v>1777</v>
      </c>
      <c r="AG1644" s="74">
        <f>tblData[[#This Row],[Material Cost]]+tblData[[#This Row],[Conversion Cost]]+tblData[[#This Row],[Inbound Freight]]</f>
        <v>-880</v>
      </c>
      <c r="AH1644" s="74">
        <f>tblData[[#This Row],[Net Revenue]]+tblData[[#This Row],[COGS]]</f>
        <v>897</v>
      </c>
      <c r="AI1644" s="74">
        <f>tblData[[#This Row],[Advertising]]+tblData[[#This Row],[Promotions]]</f>
        <v>-86</v>
      </c>
      <c r="AJ1644" s="74">
        <f>tblData[[#This Row],[Outbound Logistics]]+tblData[[#This Row],[Direct Selling]]</f>
        <v>-154</v>
      </c>
      <c r="AK1644" s="74">
        <f>tblData[[#This Row],[Gross Profit]]+tblData[[#This Row],[AP Spend]]+tblData[[#This Row],[Cost to Serve]]</f>
        <v>657</v>
      </c>
    </row>
    <row r="1645" spans="2:37" x14ac:dyDescent="0.25">
      <c r="B1645" s="71" t="s">
        <v>36</v>
      </c>
      <c r="C1645" s="71">
        <v>2026</v>
      </c>
      <c r="D1645" s="71">
        <v>8</v>
      </c>
      <c r="E1645" s="71" t="s">
        <v>44</v>
      </c>
      <c r="F1645" s="71" t="s">
        <v>41</v>
      </c>
      <c r="G1645" s="72">
        <v>165.1</v>
      </c>
      <c r="H1645" s="73">
        <v>1829</v>
      </c>
      <c r="I1645" s="73">
        <v>-296</v>
      </c>
      <c r="J1645" s="73">
        <v>-22</v>
      </c>
      <c r="K1645" s="73">
        <v>-441</v>
      </c>
      <c r="L1645" s="73">
        <v>-109</v>
      </c>
      <c r="M1645" s="73">
        <v>-68</v>
      </c>
      <c r="N1645" s="73">
        <v>-115</v>
      </c>
      <c r="O1645" s="73">
        <v>-68</v>
      </c>
      <c r="P1645" s="73">
        <v>-75</v>
      </c>
      <c r="Q1645" s="73">
        <v>-55</v>
      </c>
      <c r="R1645" s="73">
        <v>0</v>
      </c>
      <c r="S1645" s="73">
        <v>0</v>
      </c>
      <c r="T1645" s="73">
        <v>0</v>
      </c>
      <c r="U1645" s="73">
        <v>0</v>
      </c>
      <c r="V1645" s="73">
        <v>0</v>
      </c>
      <c r="W1645" s="73">
        <v>0</v>
      </c>
      <c r="X1645" s="73">
        <v>0</v>
      </c>
      <c r="Y1645" s="73">
        <v>0</v>
      </c>
      <c r="Z1645" s="73">
        <v>2558</v>
      </c>
      <c r="AA1645" s="73">
        <v>1893</v>
      </c>
      <c r="AB1645" s="73">
        <v>0</v>
      </c>
      <c r="AC1645" s="73">
        <v>0</v>
      </c>
      <c r="AD1645" s="73">
        <v>0</v>
      </c>
      <c r="AE1645" s="73">
        <v>0</v>
      </c>
      <c r="AF1645" s="74">
        <f>tblData[[#This Row],[Gross Sales]]+tblData[[#This Row],[Trade Discounts]]+tblData[[#This Row],[Returns]]</f>
        <v>1511</v>
      </c>
      <c r="AG1645" s="74">
        <f>tblData[[#This Row],[Material Cost]]+tblData[[#This Row],[Conversion Cost]]+tblData[[#This Row],[Inbound Freight]]</f>
        <v>-618</v>
      </c>
      <c r="AH1645" s="74">
        <f>tblData[[#This Row],[Net Revenue]]+tblData[[#This Row],[COGS]]</f>
        <v>893</v>
      </c>
      <c r="AI1645" s="74">
        <f>tblData[[#This Row],[Advertising]]+tblData[[#This Row],[Promotions]]</f>
        <v>-183</v>
      </c>
      <c r="AJ1645" s="74">
        <f>tblData[[#This Row],[Outbound Logistics]]+tblData[[#This Row],[Direct Selling]]</f>
        <v>-130</v>
      </c>
      <c r="AK1645" s="74">
        <f>tblData[[#This Row],[Gross Profit]]+tblData[[#This Row],[AP Spend]]+tblData[[#This Row],[Cost to Serve]]</f>
        <v>580</v>
      </c>
    </row>
    <row r="1646" spans="2:37" x14ac:dyDescent="0.25">
      <c r="B1646" s="71" t="s">
        <v>36</v>
      </c>
      <c r="C1646" s="71">
        <v>2026</v>
      </c>
      <c r="D1646" s="71">
        <v>8</v>
      </c>
      <c r="E1646" s="71" t="s">
        <v>44</v>
      </c>
      <c r="F1646" s="71" t="s">
        <v>42</v>
      </c>
      <c r="G1646" s="72">
        <v>193.6</v>
      </c>
      <c r="H1646" s="73">
        <v>1161</v>
      </c>
      <c r="I1646" s="73">
        <v>-188</v>
      </c>
      <c r="J1646" s="73">
        <v>-14</v>
      </c>
      <c r="K1646" s="73">
        <v>-373</v>
      </c>
      <c r="L1646" s="73">
        <v>-92</v>
      </c>
      <c r="M1646" s="73">
        <v>-57</v>
      </c>
      <c r="N1646" s="73">
        <v>-22</v>
      </c>
      <c r="O1646" s="73">
        <v>-13</v>
      </c>
      <c r="P1646" s="73">
        <v>-48</v>
      </c>
      <c r="Q1646" s="73">
        <v>-35</v>
      </c>
      <c r="R1646" s="73">
        <v>0</v>
      </c>
      <c r="S1646" s="73">
        <v>0</v>
      </c>
      <c r="T1646" s="73">
        <v>0</v>
      </c>
      <c r="U1646" s="73">
        <v>0</v>
      </c>
      <c r="V1646" s="73">
        <v>0</v>
      </c>
      <c r="W1646" s="73">
        <v>0</v>
      </c>
      <c r="X1646" s="73">
        <v>0</v>
      </c>
      <c r="Y1646" s="73">
        <v>0</v>
      </c>
      <c r="Z1646" s="73">
        <v>1656</v>
      </c>
      <c r="AA1646" s="73">
        <v>2128</v>
      </c>
      <c r="AB1646" s="73">
        <v>0</v>
      </c>
      <c r="AC1646" s="73">
        <v>0</v>
      </c>
      <c r="AD1646" s="73">
        <v>0</v>
      </c>
      <c r="AE1646" s="73">
        <v>0</v>
      </c>
      <c r="AF1646" s="74">
        <f>tblData[[#This Row],[Gross Sales]]+tblData[[#This Row],[Trade Discounts]]+tblData[[#This Row],[Returns]]</f>
        <v>959</v>
      </c>
      <c r="AG1646" s="74">
        <f>tblData[[#This Row],[Material Cost]]+tblData[[#This Row],[Conversion Cost]]+tblData[[#This Row],[Inbound Freight]]</f>
        <v>-522</v>
      </c>
      <c r="AH1646" s="74">
        <f>tblData[[#This Row],[Net Revenue]]+tblData[[#This Row],[COGS]]</f>
        <v>437</v>
      </c>
      <c r="AI1646" s="74">
        <f>tblData[[#This Row],[Advertising]]+tblData[[#This Row],[Promotions]]</f>
        <v>-35</v>
      </c>
      <c r="AJ1646" s="74">
        <f>tblData[[#This Row],[Outbound Logistics]]+tblData[[#This Row],[Direct Selling]]</f>
        <v>-83</v>
      </c>
      <c r="AK1646" s="74">
        <f>tblData[[#This Row],[Gross Profit]]+tblData[[#This Row],[AP Spend]]+tblData[[#This Row],[Cost to Serve]]</f>
        <v>319</v>
      </c>
    </row>
    <row r="1647" spans="2:37" x14ac:dyDescent="0.25">
      <c r="B1647" s="71" t="s">
        <v>36</v>
      </c>
      <c r="C1647" s="71">
        <v>2026</v>
      </c>
      <c r="D1647" s="71">
        <v>8</v>
      </c>
      <c r="E1647" s="71" t="s">
        <v>44</v>
      </c>
      <c r="F1647" s="71" t="s">
        <v>43</v>
      </c>
      <c r="G1647" s="72">
        <v>36.200000000000003</v>
      </c>
      <c r="H1647" s="73">
        <v>654</v>
      </c>
      <c r="I1647" s="73">
        <v>-106</v>
      </c>
      <c r="J1647" s="73">
        <v>-8</v>
      </c>
      <c r="K1647" s="73">
        <v>-182</v>
      </c>
      <c r="L1647" s="73">
        <v>-45</v>
      </c>
      <c r="M1647" s="73">
        <v>-28</v>
      </c>
      <c r="N1647" s="73">
        <v>-63</v>
      </c>
      <c r="O1647" s="73">
        <v>-37</v>
      </c>
      <c r="P1647" s="73">
        <v>-27</v>
      </c>
      <c r="Q1647" s="73">
        <v>-20</v>
      </c>
      <c r="R1647" s="73">
        <v>0</v>
      </c>
      <c r="S1647" s="73">
        <v>0</v>
      </c>
      <c r="T1647" s="73">
        <v>0</v>
      </c>
      <c r="U1647" s="73">
        <v>0</v>
      </c>
      <c r="V1647" s="73">
        <v>0</v>
      </c>
      <c r="W1647" s="73">
        <v>0</v>
      </c>
      <c r="X1647" s="73">
        <v>0</v>
      </c>
      <c r="Y1647" s="73">
        <v>0</v>
      </c>
      <c r="Z1647" s="73">
        <v>939</v>
      </c>
      <c r="AA1647" s="73">
        <v>1050</v>
      </c>
      <c r="AB1647" s="73">
        <v>0</v>
      </c>
      <c r="AC1647" s="73">
        <v>0</v>
      </c>
      <c r="AD1647" s="73">
        <v>0</v>
      </c>
      <c r="AE1647" s="73">
        <v>0</v>
      </c>
      <c r="AF1647" s="74">
        <f>tblData[[#This Row],[Gross Sales]]+tblData[[#This Row],[Trade Discounts]]+tblData[[#This Row],[Returns]]</f>
        <v>540</v>
      </c>
      <c r="AG1647" s="74">
        <f>tblData[[#This Row],[Material Cost]]+tblData[[#This Row],[Conversion Cost]]+tblData[[#This Row],[Inbound Freight]]</f>
        <v>-255</v>
      </c>
      <c r="AH1647" s="74">
        <f>tblData[[#This Row],[Net Revenue]]+tblData[[#This Row],[COGS]]</f>
        <v>285</v>
      </c>
      <c r="AI1647" s="74">
        <f>tblData[[#This Row],[Advertising]]+tblData[[#This Row],[Promotions]]</f>
        <v>-100</v>
      </c>
      <c r="AJ1647" s="74">
        <f>tblData[[#This Row],[Outbound Logistics]]+tblData[[#This Row],[Direct Selling]]</f>
        <v>-47</v>
      </c>
      <c r="AK1647" s="74">
        <f>tblData[[#This Row],[Gross Profit]]+tblData[[#This Row],[AP Spend]]+tblData[[#This Row],[Cost to Serve]]</f>
        <v>138</v>
      </c>
    </row>
    <row r="1648" spans="2:37" x14ac:dyDescent="0.25">
      <c r="B1648" s="71" t="s">
        <v>36</v>
      </c>
      <c r="C1648" s="71">
        <v>2026</v>
      </c>
      <c r="D1648" s="71">
        <v>8</v>
      </c>
      <c r="E1648" s="71" t="s">
        <v>45</v>
      </c>
      <c r="F1648" s="71" t="s">
        <v>38</v>
      </c>
      <c r="G1648" s="72">
        <v>143.19999999999999</v>
      </c>
      <c r="H1648" s="73">
        <v>2001</v>
      </c>
      <c r="I1648" s="73">
        <v>-464</v>
      </c>
      <c r="J1648" s="73">
        <v>-20</v>
      </c>
      <c r="K1648" s="73">
        <v>-439</v>
      </c>
      <c r="L1648" s="73">
        <v>-108</v>
      </c>
      <c r="M1648" s="73">
        <v>-67</v>
      </c>
      <c r="N1648" s="73">
        <v>-110</v>
      </c>
      <c r="O1648" s="73">
        <v>-65</v>
      </c>
      <c r="P1648" s="73">
        <v>-72</v>
      </c>
      <c r="Q1648" s="73">
        <v>-40</v>
      </c>
      <c r="R1648" s="73">
        <v>0</v>
      </c>
      <c r="S1648" s="73">
        <v>0</v>
      </c>
      <c r="T1648" s="73">
        <v>0</v>
      </c>
      <c r="U1648" s="73">
        <v>0</v>
      </c>
      <c r="V1648" s="73">
        <v>0</v>
      </c>
      <c r="W1648" s="73">
        <v>0</v>
      </c>
      <c r="X1648" s="73">
        <v>0</v>
      </c>
      <c r="Y1648" s="73">
        <v>0</v>
      </c>
      <c r="Z1648" s="73">
        <v>2387</v>
      </c>
      <c r="AA1648" s="73">
        <v>2033</v>
      </c>
      <c r="AB1648" s="73">
        <v>0</v>
      </c>
      <c r="AC1648" s="73">
        <v>0</v>
      </c>
      <c r="AD1648" s="73">
        <v>0</v>
      </c>
      <c r="AE1648" s="73">
        <v>0</v>
      </c>
      <c r="AF1648" s="74">
        <f>tblData[[#This Row],[Gross Sales]]+tblData[[#This Row],[Trade Discounts]]+tblData[[#This Row],[Returns]]</f>
        <v>1517</v>
      </c>
      <c r="AG1648" s="74">
        <f>tblData[[#This Row],[Material Cost]]+tblData[[#This Row],[Conversion Cost]]+tblData[[#This Row],[Inbound Freight]]</f>
        <v>-614</v>
      </c>
      <c r="AH1648" s="74">
        <f>tblData[[#This Row],[Net Revenue]]+tblData[[#This Row],[COGS]]</f>
        <v>903</v>
      </c>
      <c r="AI1648" s="74">
        <f>tblData[[#This Row],[Advertising]]+tblData[[#This Row],[Promotions]]</f>
        <v>-175</v>
      </c>
      <c r="AJ1648" s="74">
        <f>tblData[[#This Row],[Outbound Logistics]]+tblData[[#This Row],[Direct Selling]]</f>
        <v>-112</v>
      </c>
      <c r="AK1648" s="74">
        <f>tblData[[#This Row],[Gross Profit]]+tblData[[#This Row],[AP Spend]]+tblData[[#This Row],[Cost to Serve]]</f>
        <v>616</v>
      </c>
    </row>
    <row r="1649" spans="2:37" x14ac:dyDescent="0.25">
      <c r="B1649" s="71" t="s">
        <v>36</v>
      </c>
      <c r="C1649" s="71">
        <v>2026</v>
      </c>
      <c r="D1649" s="71">
        <v>8</v>
      </c>
      <c r="E1649" s="71" t="s">
        <v>45</v>
      </c>
      <c r="F1649" s="71" t="s">
        <v>39</v>
      </c>
      <c r="G1649" s="72">
        <v>189.7</v>
      </c>
      <c r="H1649" s="73">
        <v>1697</v>
      </c>
      <c r="I1649" s="73">
        <v>-394</v>
      </c>
      <c r="J1649" s="73">
        <v>-17</v>
      </c>
      <c r="K1649" s="73">
        <v>-447</v>
      </c>
      <c r="L1649" s="73">
        <v>-110</v>
      </c>
      <c r="M1649" s="73">
        <v>-68</v>
      </c>
      <c r="N1649" s="73">
        <v>-63</v>
      </c>
      <c r="O1649" s="73">
        <v>-37</v>
      </c>
      <c r="P1649" s="73">
        <v>-61</v>
      </c>
      <c r="Q1649" s="73">
        <v>-34</v>
      </c>
      <c r="R1649" s="73">
        <v>0</v>
      </c>
      <c r="S1649" s="73">
        <v>0</v>
      </c>
      <c r="T1649" s="73">
        <v>0</v>
      </c>
      <c r="U1649" s="73">
        <v>0</v>
      </c>
      <c r="V1649" s="73">
        <v>0</v>
      </c>
      <c r="W1649" s="73">
        <v>0</v>
      </c>
      <c r="X1649" s="73">
        <v>0</v>
      </c>
      <c r="Y1649" s="73">
        <v>0</v>
      </c>
      <c r="Z1649" s="73">
        <v>2011</v>
      </c>
      <c r="AA1649" s="73">
        <v>1751</v>
      </c>
      <c r="AB1649" s="73">
        <v>0</v>
      </c>
      <c r="AC1649" s="73">
        <v>0</v>
      </c>
      <c r="AD1649" s="73">
        <v>0</v>
      </c>
      <c r="AE1649" s="73">
        <v>0</v>
      </c>
      <c r="AF1649" s="74">
        <f>tblData[[#This Row],[Gross Sales]]+tblData[[#This Row],[Trade Discounts]]+tblData[[#This Row],[Returns]]</f>
        <v>1286</v>
      </c>
      <c r="AG1649" s="74">
        <f>tblData[[#This Row],[Material Cost]]+tblData[[#This Row],[Conversion Cost]]+tblData[[#This Row],[Inbound Freight]]</f>
        <v>-625</v>
      </c>
      <c r="AH1649" s="74">
        <f>tblData[[#This Row],[Net Revenue]]+tblData[[#This Row],[COGS]]</f>
        <v>661</v>
      </c>
      <c r="AI1649" s="74">
        <f>tblData[[#This Row],[Advertising]]+tblData[[#This Row],[Promotions]]</f>
        <v>-100</v>
      </c>
      <c r="AJ1649" s="74">
        <f>tblData[[#This Row],[Outbound Logistics]]+tblData[[#This Row],[Direct Selling]]</f>
        <v>-95</v>
      </c>
      <c r="AK1649" s="74">
        <f>tblData[[#This Row],[Gross Profit]]+tblData[[#This Row],[AP Spend]]+tblData[[#This Row],[Cost to Serve]]</f>
        <v>466</v>
      </c>
    </row>
    <row r="1650" spans="2:37" x14ac:dyDescent="0.25">
      <c r="B1650" s="71" t="s">
        <v>36</v>
      </c>
      <c r="C1650" s="71">
        <v>2026</v>
      </c>
      <c r="D1650" s="71">
        <v>8</v>
      </c>
      <c r="E1650" s="71" t="s">
        <v>45</v>
      </c>
      <c r="F1650" s="71" t="s">
        <v>40</v>
      </c>
      <c r="G1650" s="72">
        <v>171.9</v>
      </c>
      <c r="H1650" s="73">
        <v>1194</v>
      </c>
      <c r="I1650" s="73">
        <v>-277</v>
      </c>
      <c r="J1650" s="73">
        <v>-12</v>
      </c>
      <c r="K1650" s="73">
        <v>-349</v>
      </c>
      <c r="L1650" s="73">
        <v>-86</v>
      </c>
      <c r="M1650" s="73">
        <v>-53</v>
      </c>
      <c r="N1650" s="73">
        <v>-31</v>
      </c>
      <c r="O1650" s="73">
        <v>-19</v>
      </c>
      <c r="P1650" s="73">
        <v>-43</v>
      </c>
      <c r="Q1650" s="73">
        <v>-24</v>
      </c>
      <c r="R1650" s="73">
        <v>0</v>
      </c>
      <c r="S1650" s="73">
        <v>0</v>
      </c>
      <c r="T1650" s="73">
        <v>0</v>
      </c>
      <c r="U1650" s="73">
        <v>0</v>
      </c>
      <c r="V1650" s="73">
        <v>0</v>
      </c>
      <c r="W1650" s="73">
        <v>0</v>
      </c>
      <c r="X1650" s="73">
        <v>0</v>
      </c>
      <c r="Y1650" s="73">
        <v>0</v>
      </c>
      <c r="Z1650" s="73">
        <v>1467</v>
      </c>
      <c r="AA1650" s="73">
        <v>1337</v>
      </c>
      <c r="AB1650" s="73">
        <v>0</v>
      </c>
      <c r="AC1650" s="73">
        <v>0</v>
      </c>
      <c r="AD1650" s="73">
        <v>0</v>
      </c>
      <c r="AE1650" s="73">
        <v>0</v>
      </c>
      <c r="AF1650" s="74">
        <f>tblData[[#This Row],[Gross Sales]]+tblData[[#This Row],[Trade Discounts]]+tblData[[#This Row],[Returns]]</f>
        <v>905</v>
      </c>
      <c r="AG1650" s="74">
        <f>tblData[[#This Row],[Material Cost]]+tblData[[#This Row],[Conversion Cost]]+tblData[[#This Row],[Inbound Freight]]</f>
        <v>-488</v>
      </c>
      <c r="AH1650" s="74">
        <f>tblData[[#This Row],[Net Revenue]]+tblData[[#This Row],[COGS]]</f>
        <v>417</v>
      </c>
      <c r="AI1650" s="74">
        <f>tblData[[#This Row],[Advertising]]+tblData[[#This Row],[Promotions]]</f>
        <v>-50</v>
      </c>
      <c r="AJ1650" s="74">
        <f>tblData[[#This Row],[Outbound Logistics]]+tblData[[#This Row],[Direct Selling]]</f>
        <v>-67</v>
      </c>
      <c r="AK1650" s="74">
        <f>tblData[[#This Row],[Gross Profit]]+tblData[[#This Row],[AP Spend]]+tblData[[#This Row],[Cost to Serve]]</f>
        <v>300</v>
      </c>
    </row>
    <row r="1651" spans="2:37" x14ac:dyDescent="0.25">
      <c r="B1651" s="71" t="s">
        <v>36</v>
      </c>
      <c r="C1651" s="71">
        <v>2026</v>
      </c>
      <c r="D1651" s="71">
        <v>8</v>
      </c>
      <c r="E1651" s="71" t="s">
        <v>45</v>
      </c>
      <c r="F1651" s="71" t="s">
        <v>41</v>
      </c>
      <c r="G1651" s="72">
        <v>90.3</v>
      </c>
      <c r="H1651" s="73">
        <v>989</v>
      </c>
      <c r="I1651" s="73">
        <v>-229</v>
      </c>
      <c r="J1651" s="73">
        <v>-10</v>
      </c>
      <c r="K1651" s="73">
        <v>-238</v>
      </c>
      <c r="L1651" s="73">
        <v>-59</v>
      </c>
      <c r="M1651" s="73">
        <v>-37</v>
      </c>
      <c r="N1651" s="73">
        <v>-67</v>
      </c>
      <c r="O1651" s="73">
        <v>-40</v>
      </c>
      <c r="P1651" s="73">
        <v>-36</v>
      </c>
      <c r="Q1651" s="73">
        <v>-20</v>
      </c>
      <c r="R1651" s="73">
        <v>0</v>
      </c>
      <c r="S1651" s="73">
        <v>0</v>
      </c>
      <c r="T1651" s="73">
        <v>0</v>
      </c>
      <c r="U1651" s="73">
        <v>0</v>
      </c>
      <c r="V1651" s="73">
        <v>0</v>
      </c>
      <c r="W1651" s="73">
        <v>0</v>
      </c>
      <c r="X1651" s="73">
        <v>0</v>
      </c>
      <c r="Y1651" s="73">
        <v>0</v>
      </c>
      <c r="Z1651" s="73">
        <v>1170</v>
      </c>
      <c r="AA1651" s="73">
        <v>1042</v>
      </c>
      <c r="AB1651" s="73">
        <v>0</v>
      </c>
      <c r="AC1651" s="73">
        <v>0</v>
      </c>
      <c r="AD1651" s="73">
        <v>0</v>
      </c>
      <c r="AE1651" s="73">
        <v>0</v>
      </c>
      <c r="AF1651" s="74">
        <f>tblData[[#This Row],[Gross Sales]]+tblData[[#This Row],[Trade Discounts]]+tblData[[#This Row],[Returns]]</f>
        <v>750</v>
      </c>
      <c r="AG1651" s="74">
        <f>tblData[[#This Row],[Material Cost]]+tblData[[#This Row],[Conversion Cost]]+tblData[[#This Row],[Inbound Freight]]</f>
        <v>-334</v>
      </c>
      <c r="AH1651" s="74">
        <f>tblData[[#This Row],[Net Revenue]]+tblData[[#This Row],[COGS]]</f>
        <v>416</v>
      </c>
      <c r="AI1651" s="74">
        <f>tblData[[#This Row],[Advertising]]+tblData[[#This Row],[Promotions]]</f>
        <v>-107</v>
      </c>
      <c r="AJ1651" s="74">
        <f>tblData[[#This Row],[Outbound Logistics]]+tblData[[#This Row],[Direct Selling]]</f>
        <v>-56</v>
      </c>
      <c r="AK1651" s="74">
        <f>tblData[[#This Row],[Gross Profit]]+tblData[[#This Row],[AP Spend]]+tblData[[#This Row],[Cost to Serve]]</f>
        <v>253</v>
      </c>
    </row>
    <row r="1652" spans="2:37" x14ac:dyDescent="0.25">
      <c r="B1652" s="71" t="s">
        <v>36</v>
      </c>
      <c r="C1652" s="71">
        <v>2026</v>
      </c>
      <c r="D1652" s="71">
        <v>8</v>
      </c>
      <c r="E1652" s="71" t="s">
        <v>45</v>
      </c>
      <c r="F1652" s="71" t="s">
        <v>42</v>
      </c>
      <c r="G1652" s="72">
        <v>111.2</v>
      </c>
      <c r="H1652" s="73">
        <v>659</v>
      </c>
      <c r="I1652" s="73">
        <v>-153</v>
      </c>
      <c r="J1652" s="73">
        <v>-7</v>
      </c>
      <c r="K1652" s="73">
        <v>-212</v>
      </c>
      <c r="L1652" s="73">
        <v>-52</v>
      </c>
      <c r="M1652" s="73">
        <v>-32</v>
      </c>
      <c r="N1652" s="73">
        <v>-13</v>
      </c>
      <c r="O1652" s="73">
        <v>-8</v>
      </c>
      <c r="P1652" s="73">
        <v>-24</v>
      </c>
      <c r="Q1652" s="73">
        <v>-13</v>
      </c>
      <c r="R1652" s="73">
        <v>0</v>
      </c>
      <c r="S1652" s="73">
        <v>0</v>
      </c>
      <c r="T1652" s="73">
        <v>0</v>
      </c>
      <c r="U1652" s="73">
        <v>0</v>
      </c>
      <c r="V1652" s="73">
        <v>0</v>
      </c>
      <c r="W1652" s="73">
        <v>0</v>
      </c>
      <c r="X1652" s="73">
        <v>0</v>
      </c>
      <c r="Y1652" s="73">
        <v>0</v>
      </c>
      <c r="Z1652" s="73">
        <v>761</v>
      </c>
      <c r="AA1652" s="73">
        <v>1176</v>
      </c>
      <c r="AB1652" s="73">
        <v>0</v>
      </c>
      <c r="AC1652" s="73">
        <v>0</v>
      </c>
      <c r="AD1652" s="73">
        <v>0</v>
      </c>
      <c r="AE1652" s="73">
        <v>0</v>
      </c>
      <c r="AF1652" s="74">
        <f>tblData[[#This Row],[Gross Sales]]+tblData[[#This Row],[Trade Discounts]]+tblData[[#This Row],[Returns]]</f>
        <v>499</v>
      </c>
      <c r="AG1652" s="74">
        <f>tblData[[#This Row],[Material Cost]]+tblData[[#This Row],[Conversion Cost]]+tblData[[#This Row],[Inbound Freight]]</f>
        <v>-296</v>
      </c>
      <c r="AH1652" s="74">
        <f>tblData[[#This Row],[Net Revenue]]+tblData[[#This Row],[COGS]]</f>
        <v>203</v>
      </c>
      <c r="AI1652" s="74">
        <f>tblData[[#This Row],[Advertising]]+tblData[[#This Row],[Promotions]]</f>
        <v>-21</v>
      </c>
      <c r="AJ1652" s="74">
        <f>tblData[[#This Row],[Outbound Logistics]]+tblData[[#This Row],[Direct Selling]]</f>
        <v>-37</v>
      </c>
      <c r="AK1652" s="74">
        <f>tblData[[#This Row],[Gross Profit]]+tblData[[#This Row],[AP Spend]]+tblData[[#This Row],[Cost to Serve]]</f>
        <v>145</v>
      </c>
    </row>
    <row r="1653" spans="2:37" x14ac:dyDescent="0.25">
      <c r="B1653" s="71" t="s">
        <v>36</v>
      </c>
      <c r="C1653" s="71">
        <v>2026</v>
      </c>
      <c r="D1653" s="71">
        <v>8</v>
      </c>
      <c r="E1653" s="71" t="s">
        <v>45</v>
      </c>
      <c r="F1653" s="71" t="s">
        <v>43</v>
      </c>
      <c r="G1653" s="72">
        <v>20.2</v>
      </c>
      <c r="H1653" s="73">
        <v>361</v>
      </c>
      <c r="I1653" s="73">
        <v>-84</v>
      </c>
      <c r="J1653" s="73">
        <v>-4</v>
      </c>
      <c r="K1653" s="73">
        <v>-100</v>
      </c>
      <c r="L1653" s="73">
        <v>-25</v>
      </c>
      <c r="M1653" s="73">
        <v>-15</v>
      </c>
      <c r="N1653" s="73">
        <v>-37</v>
      </c>
      <c r="O1653" s="73">
        <v>-22</v>
      </c>
      <c r="P1653" s="73">
        <v>-13</v>
      </c>
      <c r="Q1653" s="73">
        <v>-7</v>
      </c>
      <c r="R1653" s="73">
        <v>0</v>
      </c>
      <c r="S1653" s="73">
        <v>0</v>
      </c>
      <c r="T1653" s="73">
        <v>0</v>
      </c>
      <c r="U1653" s="73">
        <v>0</v>
      </c>
      <c r="V1653" s="73">
        <v>0</v>
      </c>
      <c r="W1653" s="73">
        <v>0</v>
      </c>
      <c r="X1653" s="73">
        <v>0</v>
      </c>
      <c r="Y1653" s="73">
        <v>0</v>
      </c>
      <c r="Z1653" s="73">
        <v>430</v>
      </c>
      <c r="AA1653" s="73">
        <v>578</v>
      </c>
      <c r="AB1653" s="73">
        <v>0</v>
      </c>
      <c r="AC1653" s="73">
        <v>0</v>
      </c>
      <c r="AD1653" s="73">
        <v>0</v>
      </c>
      <c r="AE1653" s="73">
        <v>0</v>
      </c>
      <c r="AF1653" s="74">
        <f>tblData[[#This Row],[Gross Sales]]+tblData[[#This Row],[Trade Discounts]]+tblData[[#This Row],[Returns]]</f>
        <v>273</v>
      </c>
      <c r="AG1653" s="74">
        <f>tblData[[#This Row],[Material Cost]]+tblData[[#This Row],[Conversion Cost]]+tblData[[#This Row],[Inbound Freight]]</f>
        <v>-140</v>
      </c>
      <c r="AH1653" s="74">
        <f>tblData[[#This Row],[Net Revenue]]+tblData[[#This Row],[COGS]]</f>
        <v>133</v>
      </c>
      <c r="AI1653" s="74">
        <f>tblData[[#This Row],[Advertising]]+tblData[[#This Row],[Promotions]]</f>
        <v>-59</v>
      </c>
      <c r="AJ1653" s="74">
        <f>tblData[[#This Row],[Outbound Logistics]]+tblData[[#This Row],[Direct Selling]]</f>
        <v>-20</v>
      </c>
      <c r="AK1653" s="74">
        <f>tblData[[#This Row],[Gross Profit]]+tblData[[#This Row],[AP Spend]]+tblData[[#This Row],[Cost to Serve]]</f>
        <v>54</v>
      </c>
    </row>
    <row r="1654" spans="2:37" x14ac:dyDescent="0.25">
      <c r="B1654" s="71" t="s">
        <v>36</v>
      </c>
      <c r="C1654" s="71">
        <v>2026</v>
      </c>
      <c r="D1654" s="71">
        <v>8</v>
      </c>
      <c r="E1654" s="71" t="s">
        <v>46</v>
      </c>
      <c r="F1654" s="71" t="s">
        <v>38</v>
      </c>
      <c r="G1654" s="72">
        <v>183.3</v>
      </c>
      <c r="H1654" s="73">
        <v>2586</v>
      </c>
      <c r="I1654" s="73">
        <v>-279</v>
      </c>
      <c r="J1654" s="73">
        <v>-103</v>
      </c>
      <c r="K1654" s="73">
        <v>-567</v>
      </c>
      <c r="L1654" s="73">
        <v>-140</v>
      </c>
      <c r="M1654" s="73">
        <v>-87</v>
      </c>
      <c r="N1654" s="73">
        <v>-126</v>
      </c>
      <c r="O1654" s="73">
        <v>-74</v>
      </c>
      <c r="P1654" s="73">
        <v>-200</v>
      </c>
      <c r="Q1654" s="73">
        <v>-52</v>
      </c>
      <c r="R1654" s="73">
        <v>0</v>
      </c>
      <c r="S1654" s="73">
        <v>0</v>
      </c>
      <c r="T1654" s="73">
        <v>0</v>
      </c>
      <c r="U1654" s="73">
        <v>0</v>
      </c>
      <c r="V1654" s="73">
        <v>0</v>
      </c>
      <c r="W1654" s="73">
        <v>0</v>
      </c>
      <c r="X1654" s="73">
        <v>0</v>
      </c>
      <c r="Y1654" s="73">
        <v>0</v>
      </c>
      <c r="Z1654" s="73">
        <v>2011</v>
      </c>
      <c r="AA1654" s="73">
        <v>2613</v>
      </c>
      <c r="AB1654" s="73">
        <v>0</v>
      </c>
      <c r="AC1654" s="73">
        <v>0</v>
      </c>
      <c r="AD1654" s="73">
        <v>0</v>
      </c>
      <c r="AE1654" s="73">
        <v>0</v>
      </c>
      <c r="AF1654" s="74">
        <f>tblData[[#This Row],[Gross Sales]]+tblData[[#This Row],[Trade Discounts]]+tblData[[#This Row],[Returns]]</f>
        <v>2204</v>
      </c>
      <c r="AG1654" s="74">
        <f>tblData[[#This Row],[Material Cost]]+tblData[[#This Row],[Conversion Cost]]+tblData[[#This Row],[Inbound Freight]]</f>
        <v>-794</v>
      </c>
      <c r="AH1654" s="74">
        <f>tblData[[#This Row],[Net Revenue]]+tblData[[#This Row],[COGS]]</f>
        <v>1410</v>
      </c>
      <c r="AI1654" s="74">
        <f>tblData[[#This Row],[Advertising]]+tblData[[#This Row],[Promotions]]</f>
        <v>-200</v>
      </c>
      <c r="AJ1654" s="74">
        <f>tblData[[#This Row],[Outbound Logistics]]+tblData[[#This Row],[Direct Selling]]</f>
        <v>-252</v>
      </c>
      <c r="AK1654" s="74">
        <f>tblData[[#This Row],[Gross Profit]]+tblData[[#This Row],[AP Spend]]+tblData[[#This Row],[Cost to Serve]]</f>
        <v>958</v>
      </c>
    </row>
    <row r="1655" spans="2:37" x14ac:dyDescent="0.25">
      <c r="B1655" s="71" t="s">
        <v>36</v>
      </c>
      <c r="C1655" s="71">
        <v>2026</v>
      </c>
      <c r="D1655" s="71">
        <v>8</v>
      </c>
      <c r="E1655" s="71" t="s">
        <v>46</v>
      </c>
      <c r="F1655" s="71" t="s">
        <v>39</v>
      </c>
      <c r="G1655" s="72">
        <v>248.5</v>
      </c>
      <c r="H1655" s="73">
        <v>2245</v>
      </c>
      <c r="I1655" s="73">
        <v>-242</v>
      </c>
      <c r="J1655" s="73">
        <v>-90</v>
      </c>
      <c r="K1655" s="73">
        <v>-591</v>
      </c>
      <c r="L1655" s="73">
        <v>-145</v>
      </c>
      <c r="M1655" s="73">
        <v>-91</v>
      </c>
      <c r="N1655" s="73">
        <v>-72</v>
      </c>
      <c r="O1655" s="73">
        <v>-42</v>
      </c>
      <c r="P1655" s="73">
        <v>-173</v>
      </c>
      <c r="Q1655" s="73">
        <v>-45</v>
      </c>
      <c r="R1655" s="73">
        <v>0</v>
      </c>
      <c r="S1655" s="73">
        <v>0</v>
      </c>
      <c r="T1655" s="73">
        <v>0</v>
      </c>
      <c r="U1655" s="73">
        <v>0</v>
      </c>
      <c r="V1655" s="73">
        <v>0</v>
      </c>
      <c r="W1655" s="73">
        <v>0</v>
      </c>
      <c r="X1655" s="73">
        <v>0</v>
      </c>
      <c r="Y1655" s="73">
        <v>0</v>
      </c>
      <c r="Z1655" s="73">
        <v>1719</v>
      </c>
      <c r="AA1655" s="73">
        <v>2282</v>
      </c>
      <c r="AB1655" s="73">
        <v>0</v>
      </c>
      <c r="AC1655" s="73">
        <v>0</v>
      </c>
      <c r="AD1655" s="73">
        <v>0</v>
      </c>
      <c r="AE1655" s="73">
        <v>0</v>
      </c>
      <c r="AF1655" s="74">
        <f>tblData[[#This Row],[Gross Sales]]+tblData[[#This Row],[Trade Discounts]]+tblData[[#This Row],[Returns]]</f>
        <v>1913</v>
      </c>
      <c r="AG1655" s="74">
        <f>tblData[[#This Row],[Material Cost]]+tblData[[#This Row],[Conversion Cost]]+tblData[[#This Row],[Inbound Freight]]</f>
        <v>-827</v>
      </c>
      <c r="AH1655" s="74">
        <f>tblData[[#This Row],[Net Revenue]]+tblData[[#This Row],[COGS]]</f>
        <v>1086</v>
      </c>
      <c r="AI1655" s="74">
        <f>tblData[[#This Row],[Advertising]]+tblData[[#This Row],[Promotions]]</f>
        <v>-114</v>
      </c>
      <c r="AJ1655" s="74">
        <f>tblData[[#This Row],[Outbound Logistics]]+tblData[[#This Row],[Direct Selling]]</f>
        <v>-218</v>
      </c>
      <c r="AK1655" s="74">
        <f>tblData[[#This Row],[Gross Profit]]+tblData[[#This Row],[AP Spend]]+tblData[[#This Row],[Cost to Serve]]</f>
        <v>754</v>
      </c>
    </row>
    <row r="1656" spans="2:37" x14ac:dyDescent="0.25">
      <c r="B1656" s="71" t="s">
        <v>36</v>
      </c>
      <c r="C1656" s="71">
        <v>2026</v>
      </c>
      <c r="D1656" s="71">
        <v>8</v>
      </c>
      <c r="E1656" s="71" t="s">
        <v>46</v>
      </c>
      <c r="F1656" s="71" t="s">
        <v>40</v>
      </c>
      <c r="G1656" s="72">
        <v>230.7</v>
      </c>
      <c r="H1656" s="73">
        <v>1618</v>
      </c>
      <c r="I1656" s="73">
        <v>-175</v>
      </c>
      <c r="J1656" s="73">
        <v>-65</v>
      </c>
      <c r="K1656" s="73">
        <v>-473</v>
      </c>
      <c r="L1656" s="73">
        <v>-117</v>
      </c>
      <c r="M1656" s="73">
        <v>-73</v>
      </c>
      <c r="N1656" s="73">
        <v>-36</v>
      </c>
      <c r="O1656" s="73">
        <v>-21</v>
      </c>
      <c r="P1656" s="73">
        <v>-125</v>
      </c>
      <c r="Q1656" s="73">
        <v>-32</v>
      </c>
      <c r="R1656" s="73">
        <v>0</v>
      </c>
      <c r="S1656" s="73">
        <v>0</v>
      </c>
      <c r="T1656" s="73">
        <v>0</v>
      </c>
      <c r="U1656" s="73">
        <v>0</v>
      </c>
      <c r="V1656" s="73">
        <v>0</v>
      </c>
      <c r="W1656" s="73">
        <v>0</v>
      </c>
      <c r="X1656" s="73">
        <v>0</v>
      </c>
      <c r="Y1656" s="73">
        <v>0</v>
      </c>
      <c r="Z1656" s="73">
        <v>1246</v>
      </c>
      <c r="AA1656" s="73">
        <v>1731</v>
      </c>
      <c r="AB1656" s="73">
        <v>0</v>
      </c>
      <c r="AC1656" s="73">
        <v>0</v>
      </c>
      <c r="AD1656" s="73">
        <v>0</v>
      </c>
      <c r="AE1656" s="73">
        <v>0</v>
      </c>
      <c r="AF1656" s="74">
        <f>tblData[[#This Row],[Gross Sales]]+tblData[[#This Row],[Trade Discounts]]+tblData[[#This Row],[Returns]]</f>
        <v>1378</v>
      </c>
      <c r="AG1656" s="74">
        <f>tblData[[#This Row],[Material Cost]]+tblData[[#This Row],[Conversion Cost]]+tblData[[#This Row],[Inbound Freight]]</f>
        <v>-663</v>
      </c>
      <c r="AH1656" s="74">
        <f>tblData[[#This Row],[Net Revenue]]+tblData[[#This Row],[COGS]]</f>
        <v>715</v>
      </c>
      <c r="AI1656" s="74">
        <f>tblData[[#This Row],[Advertising]]+tblData[[#This Row],[Promotions]]</f>
        <v>-57</v>
      </c>
      <c r="AJ1656" s="74">
        <f>tblData[[#This Row],[Outbound Logistics]]+tblData[[#This Row],[Direct Selling]]</f>
        <v>-157</v>
      </c>
      <c r="AK1656" s="74">
        <f>tblData[[#This Row],[Gross Profit]]+tblData[[#This Row],[AP Spend]]+tblData[[#This Row],[Cost to Serve]]</f>
        <v>501</v>
      </c>
    </row>
    <row r="1657" spans="2:37" x14ac:dyDescent="0.25">
      <c r="B1657" s="71" t="s">
        <v>36</v>
      </c>
      <c r="C1657" s="71">
        <v>2026</v>
      </c>
      <c r="D1657" s="71">
        <v>8</v>
      </c>
      <c r="E1657" s="71" t="s">
        <v>46</v>
      </c>
      <c r="F1657" s="71" t="s">
        <v>41</v>
      </c>
      <c r="G1657" s="72">
        <v>115.1</v>
      </c>
      <c r="H1657" s="73">
        <v>1273</v>
      </c>
      <c r="I1657" s="73">
        <v>-137</v>
      </c>
      <c r="J1657" s="73">
        <v>-51</v>
      </c>
      <c r="K1657" s="73">
        <v>-307</v>
      </c>
      <c r="L1657" s="73">
        <v>-76</v>
      </c>
      <c r="M1657" s="73">
        <v>-47</v>
      </c>
      <c r="N1657" s="73">
        <v>-77</v>
      </c>
      <c r="O1657" s="73">
        <v>-45</v>
      </c>
      <c r="P1657" s="73">
        <v>-98</v>
      </c>
      <c r="Q1657" s="73">
        <v>-25</v>
      </c>
      <c r="R1657" s="73">
        <v>0</v>
      </c>
      <c r="S1657" s="73">
        <v>0</v>
      </c>
      <c r="T1657" s="73">
        <v>0</v>
      </c>
      <c r="U1657" s="73">
        <v>0</v>
      </c>
      <c r="V1657" s="73">
        <v>0</v>
      </c>
      <c r="W1657" s="73">
        <v>0</v>
      </c>
      <c r="X1657" s="73">
        <v>0</v>
      </c>
      <c r="Y1657" s="73">
        <v>0</v>
      </c>
      <c r="Z1657" s="73">
        <v>1006</v>
      </c>
      <c r="AA1657" s="73">
        <v>1366</v>
      </c>
      <c r="AB1657" s="73">
        <v>0</v>
      </c>
      <c r="AC1657" s="73">
        <v>0</v>
      </c>
      <c r="AD1657" s="73">
        <v>0</v>
      </c>
      <c r="AE1657" s="73">
        <v>0</v>
      </c>
      <c r="AF1657" s="74">
        <f>tblData[[#This Row],[Gross Sales]]+tblData[[#This Row],[Trade Discounts]]+tblData[[#This Row],[Returns]]</f>
        <v>1085</v>
      </c>
      <c r="AG1657" s="74">
        <f>tblData[[#This Row],[Material Cost]]+tblData[[#This Row],[Conversion Cost]]+tblData[[#This Row],[Inbound Freight]]</f>
        <v>-430</v>
      </c>
      <c r="AH1657" s="74">
        <f>tblData[[#This Row],[Net Revenue]]+tblData[[#This Row],[COGS]]</f>
        <v>655</v>
      </c>
      <c r="AI1657" s="74">
        <f>tblData[[#This Row],[Advertising]]+tblData[[#This Row],[Promotions]]</f>
        <v>-122</v>
      </c>
      <c r="AJ1657" s="74">
        <f>tblData[[#This Row],[Outbound Logistics]]+tblData[[#This Row],[Direct Selling]]</f>
        <v>-123</v>
      </c>
      <c r="AK1657" s="74">
        <f>tblData[[#This Row],[Gross Profit]]+tblData[[#This Row],[AP Spend]]+tblData[[#This Row],[Cost to Serve]]</f>
        <v>410</v>
      </c>
    </row>
    <row r="1658" spans="2:37" x14ac:dyDescent="0.25">
      <c r="B1658" s="71" t="s">
        <v>36</v>
      </c>
      <c r="C1658" s="71">
        <v>2026</v>
      </c>
      <c r="D1658" s="71">
        <v>8</v>
      </c>
      <c r="E1658" s="71" t="s">
        <v>46</v>
      </c>
      <c r="F1658" s="71" t="s">
        <v>42</v>
      </c>
      <c r="G1658" s="72">
        <v>133</v>
      </c>
      <c r="H1658" s="73">
        <v>797</v>
      </c>
      <c r="I1658" s="73">
        <v>-86</v>
      </c>
      <c r="J1658" s="73">
        <v>-32</v>
      </c>
      <c r="K1658" s="73">
        <v>-256</v>
      </c>
      <c r="L1658" s="73">
        <v>-63</v>
      </c>
      <c r="M1658" s="73">
        <v>-39</v>
      </c>
      <c r="N1658" s="73">
        <v>-15</v>
      </c>
      <c r="O1658" s="73">
        <v>-9</v>
      </c>
      <c r="P1658" s="73">
        <v>-62</v>
      </c>
      <c r="Q1658" s="73">
        <v>-16</v>
      </c>
      <c r="R1658" s="73">
        <v>0</v>
      </c>
      <c r="S1658" s="73">
        <v>0</v>
      </c>
      <c r="T1658" s="73">
        <v>0</v>
      </c>
      <c r="U1658" s="73">
        <v>0</v>
      </c>
      <c r="V1658" s="73">
        <v>0</v>
      </c>
      <c r="W1658" s="73">
        <v>0</v>
      </c>
      <c r="X1658" s="73">
        <v>0</v>
      </c>
      <c r="Y1658" s="73">
        <v>0</v>
      </c>
      <c r="Z1658" s="73">
        <v>630</v>
      </c>
      <c r="AA1658" s="73">
        <v>1486</v>
      </c>
      <c r="AB1658" s="73">
        <v>0</v>
      </c>
      <c r="AC1658" s="73">
        <v>0</v>
      </c>
      <c r="AD1658" s="73">
        <v>0</v>
      </c>
      <c r="AE1658" s="73">
        <v>0</v>
      </c>
      <c r="AF1658" s="74">
        <f>tblData[[#This Row],[Gross Sales]]+tblData[[#This Row],[Trade Discounts]]+tblData[[#This Row],[Returns]]</f>
        <v>679</v>
      </c>
      <c r="AG1658" s="74">
        <f>tblData[[#This Row],[Material Cost]]+tblData[[#This Row],[Conversion Cost]]+tblData[[#This Row],[Inbound Freight]]</f>
        <v>-358</v>
      </c>
      <c r="AH1658" s="74">
        <f>tblData[[#This Row],[Net Revenue]]+tblData[[#This Row],[COGS]]</f>
        <v>321</v>
      </c>
      <c r="AI1658" s="74">
        <f>tblData[[#This Row],[Advertising]]+tblData[[#This Row],[Promotions]]</f>
        <v>-24</v>
      </c>
      <c r="AJ1658" s="74">
        <f>tblData[[#This Row],[Outbound Logistics]]+tblData[[#This Row],[Direct Selling]]</f>
        <v>-78</v>
      </c>
      <c r="AK1658" s="74">
        <f>tblData[[#This Row],[Gross Profit]]+tblData[[#This Row],[AP Spend]]+tblData[[#This Row],[Cost to Serve]]</f>
        <v>219</v>
      </c>
    </row>
    <row r="1659" spans="2:37" x14ac:dyDescent="0.25">
      <c r="B1659" s="71" t="s">
        <v>36</v>
      </c>
      <c r="C1659" s="71">
        <v>2026</v>
      </c>
      <c r="D1659" s="71">
        <v>8</v>
      </c>
      <c r="E1659" s="71" t="s">
        <v>46</v>
      </c>
      <c r="F1659" s="71" t="s">
        <v>43</v>
      </c>
      <c r="G1659" s="72">
        <v>27.2</v>
      </c>
      <c r="H1659" s="73">
        <v>490</v>
      </c>
      <c r="I1659" s="73">
        <v>-53</v>
      </c>
      <c r="J1659" s="73">
        <v>-20</v>
      </c>
      <c r="K1659" s="73">
        <v>-136</v>
      </c>
      <c r="L1659" s="73">
        <v>-34</v>
      </c>
      <c r="M1659" s="73">
        <v>-21</v>
      </c>
      <c r="N1659" s="73">
        <v>-42</v>
      </c>
      <c r="O1659" s="73">
        <v>-25</v>
      </c>
      <c r="P1659" s="73">
        <v>-38</v>
      </c>
      <c r="Q1659" s="73">
        <v>-10</v>
      </c>
      <c r="R1659" s="73">
        <v>0</v>
      </c>
      <c r="S1659" s="73">
        <v>0</v>
      </c>
      <c r="T1659" s="73">
        <v>0</v>
      </c>
      <c r="U1659" s="73">
        <v>0</v>
      </c>
      <c r="V1659" s="73">
        <v>0</v>
      </c>
      <c r="W1659" s="73">
        <v>0</v>
      </c>
      <c r="X1659" s="73">
        <v>0</v>
      </c>
      <c r="Y1659" s="73">
        <v>0</v>
      </c>
      <c r="Z1659" s="73">
        <v>375</v>
      </c>
      <c r="AA1659" s="73">
        <v>770</v>
      </c>
      <c r="AB1659" s="73">
        <v>0</v>
      </c>
      <c r="AC1659" s="73">
        <v>0</v>
      </c>
      <c r="AD1659" s="73">
        <v>0</v>
      </c>
      <c r="AE1659" s="73">
        <v>0</v>
      </c>
      <c r="AF1659" s="74">
        <f>tblData[[#This Row],[Gross Sales]]+tblData[[#This Row],[Trade Discounts]]+tblData[[#This Row],[Returns]]</f>
        <v>417</v>
      </c>
      <c r="AG1659" s="74">
        <f>tblData[[#This Row],[Material Cost]]+tblData[[#This Row],[Conversion Cost]]+tblData[[#This Row],[Inbound Freight]]</f>
        <v>-191</v>
      </c>
      <c r="AH1659" s="74">
        <f>tblData[[#This Row],[Net Revenue]]+tblData[[#This Row],[COGS]]</f>
        <v>226</v>
      </c>
      <c r="AI1659" s="74">
        <f>tblData[[#This Row],[Advertising]]+tblData[[#This Row],[Promotions]]</f>
        <v>-67</v>
      </c>
      <c r="AJ1659" s="74">
        <f>tblData[[#This Row],[Outbound Logistics]]+tblData[[#This Row],[Direct Selling]]</f>
        <v>-48</v>
      </c>
      <c r="AK1659" s="74">
        <f>tblData[[#This Row],[Gross Profit]]+tblData[[#This Row],[AP Spend]]+tblData[[#This Row],[Cost to Serve]]</f>
        <v>111</v>
      </c>
    </row>
    <row r="1660" spans="2:37" x14ac:dyDescent="0.25">
      <c r="B1660" s="71" t="s">
        <v>36</v>
      </c>
      <c r="C1660" s="71">
        <v>2026</v>
      </c>
      <c r="D1660" s="71">
        <v>8</v>
      </c>
      <c r="E1660" s="71" t="s">
        <v>47</v>
      </c>
      <c r="F1660" s="71" t="s">
        <v>38</v>
      </c>
      <c r="G1660" s="72">
        <v>66</v>
      </c>
      <c r="H1660" s="73">
        <v>934</v>
      </c>
      <c r="I1660" s="73">
        <v>-28</v>
      </c>
      <c r="J1660" s="73">
        <v>-47</v>
      </c>
      <c r="K1660" s="73">
        <v>-205</v>
      </c>
      <c r="L1660" s="73">
        <v>-50</v>
      </c>
      <c r="M1660" s="73">
        <v>-31</v>
      </c>
      <c r="N1660" s="73">
        <v>-47</v>
      </c>
      <c r="O1660" s="73">
        <v>-28</v>
      </c>
      <c r="P1660" s="73">
        <v>-116</v>
      </c>
      <c r="Q1660" s="73">
        <v>-37</v>
      </c>
      <c r="R1660" s="73">
        <v>0</v>
      </c>
      <c r="S1660" s="73">
        <v>0</v>
      </c>
      <c r="T1660" s="73">
        <v>0</v>
      </c>
      <c r="U1660" s="73">
        <v>0</v>
      </c>
      <c r="V1660" s="73">
        <v>0</v>
      </c>
      <c r="W1660" s="73">
        <v>0</v>
      </c>
      <c r="X1660" s="73">
        <v>0</v>
      </c>
      <c r="Y1660" s="73">
        <v>0</v>
      </c>
      <c r="Z1660" s="73">
        <v>169</v>
      </c>
      <c r="AA1660" s="73">
        <v>948</v>
      </c>
      <c r="AB1660" s="73">
        <v>0</v>
      </c>
      <c r="AC1660" s="73">
        <v>0</v>
      </c>
      <c r="AD1660" s="73">
        <v>0</v>
      </c>
      <c r="AE1660" s="73">
        <v>0</v>
      </c>
      <c r="AF1660" s="74">
        <f>tblData[[#This Row],[Gross Sales]]+tblData[[#This Row],[Trade Discounts]]+tblData[[#This Row],[Returns]]</f>
        <v>859</v>
      </c>
      <c r="AG1660" s="74">
        <f>tblData[[#This Row],[Material Cost]]+tblData[[#This Row],[Conversion Cost]]+tblData[[#This Row],[Inbound Freight]]</f>
        <v>-286</v>
      </c>
      <c r="AH1660" s="74">
        <f>tblData[[#This Row],[Net Revenue]]+tblData[[#This Row],[COGS]]</f>
        <v>573</v>
      </c>
      <c r="AI1660" s="74">
        <f>tblData[[#This Row],[Advertising]]+tblData[[#This Row],[Promotions]]</f>
        <v>-75</v>
      </c>
      <c r="AJ1660" s="74">
        <f>tblData[[#This Row],[Outbound Logistics]]+tblData[[#This Row],[Direct Selling]]</f>
        <v>-153</v>
      </c>
      <c r="AK1660" s="74">
        <f>tblData[[#This Row],[Gross Profit]]+tblData[[#This Row],[AP Spend]]+tblData[[#This Row],[Cost to Serve]]</f>
        <v>345</v>
      </c>
    </row>
    <row r="1661" spans="2:37" x14ac:dyDescent="0.25">
      <c r="B1661" s="71" t="s">
        <v>36</v>
      </c>
      <c r="C1661" s="71">
        <v>2026</v>
      </c>
      <c r="D1661" s="71">
        <v>8</v>
      </c>
      <c r="E1661" s="71" t="s">
        <v>47</v>
      </c>
      <c r="F1661" s="71" t="s">
        <v>39</v>
      </c>
      <c r="G1661" s="72">
        <v>88.4</v>
      </c>
      <c r="H1661" s="73">
        <v>802</v>
      </c>
      <c r="I1661" s="73">
        <v>-24</v>
      </c>
      <c r="J1661" s="73">
        <v>-40</v>
      </c>
      <c r="K1661" s="73">
        <v>-211</v>
      </c>
      <c r="L1661" s="73">
        <v>-52</v>
      </c>
      <c r="M1661" s="73">
        <v>-32</v>
      </c>
      <c r="N1661" s="73">
        <v>-27</v>
      </c>
      <c r="O1661" s="73">
        <v>-16</v>
      </c>
      <c r="P1661" s="73">
        <v>-99</v>
      </c>
      <c r="Q1661" s="73">
        <v>-32</v>
      </c>
      <c r="R1661" s="73">
        <v>0</v>
      </c>
      <c r="S1661" s="73">
        <v>0</v>
      </c>
      <c r="T1661" s="73">
        <v>0</v>
      </c>
      <c r="U1661" s="73">
        <v>0</v>
      </c>
      <c r="V1661" s="73">
        <v>0</v>
      </c>
      <c r="W1661" s="73">
        <v>0</v>
      </c>
      <c r="X1661" s="73">
        <v>0</v>
      </c>
      <c r="Y1661" s="73">
        <v>0</v>
      </c>
      <c r="Z1661" s="73">
        <v>143</v>
      </c>
      <c r="AA1661" s="73">
        <v>819</v>
      </c>
      <c r="AB1661" s="73">
        <v>0</v>
      </c>
      <c r="AC1661" s="73">
        <v>0</v>
      </c>
      <c r="AD1661" s="73">
        <v>0</v>
      </c>
      <c r="AE1661" s="73">
        <v>0</v>
      </c>
      <c r="AF1661" s="74">
        <f>tblData[[#This Row],[Gross Sales]]+tblData[[#This Row],[Trade Discounts]]+tblData[[#This Row],[Returns]]</f>
        <v>738</v>
      </c>
      <c r="AG1661" s="74">
        <f>tblData[[#This Row],[Material Cost]]+tblData[[#This Row],[Conversion Cost]]+tblData[[#This Row],[Inbound Freight]]</f>
        <v>-295</v>
      </c>
      <c r="AH1661" s="74">
        <f>tblData[[#This Row],[Net Revenue]]+tblData[[#This Row],[COGS]]</f>
        <v>443</v>
      </c>
      <c r="AI1661" s="74">
        <f>tblData[[#This Row],[Advertising]]+tblData[[#This Row],[Promotions]]</f>
        <v>-43</v>
      </c>
      <c r="AJ1661" s="74">
        <f>tblData[[#This Row],[Outbound Logistics]]+tblData[[#This Row],[Direct Selling]]</f>
        <v>-131</v>
      </c>
      <c r="AK1661" s="74">
        <f>tblData[[#This Row],[Gross Profit]]+tblData[[#This Row],[AP Spend]]+tblData[[#This Row],[Cost to Serve]]</f>
        <v>269</v>
      </c>
    </row>
    <row r="1662" spans="2:37" x14ac:dyDescent="0.25">
      <c r="B1662" s="71" t="s">
        <v>36</v>
      </c>
      <c r="C1662" s="71">
        <v>2026</v>
      </c>
      <c r="D1662" s="71">
        <v>8</v>
      </c>
      <c r="E1662" s="71" t="s">
        <v>47</v>
      </c>
      <c r="F1662" s="71" t="s">
        <v>40</v>
      </c>
      <c r="G1662" s="72">
        <v>81.400000000000006</v>
      </c>
      <c r="H1662" s="73">
        <v>573</v>
      </c>
      <c r="I1662" s="73">
        <v>-17</v>
      </c>
      <c r="J1662" s="73">
        <v>-29</v>
      </c>
      <c r="K1662" s="73">
        <v>-168</v>
      </c>
      <c r="L1662" s="73">
        <v>-41</v>
      </c>
      <c r="M1662" s="73">
        <v>-26</v>
      </c>
      <c r="N1662" s="73">
        <v>-13</v>
      </c>
      <c r="O1662" s="73">
        <v>-8</v>
      </c>
      <c r="P1662" s="73">
        <v>-71</v>
      </c>
      <c r="Q1662" s="73">
        <v>-23</v>
      </c>
      <c r="R1662" s="73">
        <v>0</v>
      </c>
      <c r="S1662" s="73">
        <v>0</v>
      </c>
      <c r="T1662" s="73">
        <v>0</v>
      </c>
      <c r="U1662" s="73">
        <v>0</v>
      </c>
      <c r="V1662" s="73">
        <v>0</v>
      </c>
      <c r="W1662" s="73">
        <v>0</v>
      </c>
      <c r="X1662" s="73">
        <v>0</v>
      </c>
      <c r="Y1662" s="73">
        <v>0</v>
      </c>
      <c r="Z1662" s="73">
        <v>105</v>
      </c>
      <c r="AA1662" s="73">
        <v>628</v>
      </c>
      <c r="AB1662" s="73">
        <v>0</v>
      </c>
      <c r="AC1662" s="73">
        <v>0</v>
      </c>
      <c r="AD1662" s="73">
        <v>0</v>
      </c>
      <c r="AE1662" s="73">
        <v>0</v>
      </c>
      <c r="AF1662" s="74">
        <f>tblData[[#This Row],[Gross Sales]]+tblData[[#This Row],[Trade Discounts]]+tblData[[#This Row],[Returns]]</f>
        <v>527</v>
      </c>
      <c r="AG1662" s="74">
        <f>tblData[[#This Row],[Material Cost]]+tblData[[#This Row],[Conversion Cost]]+tblData[[#This Row],[Inbound Freight]]</f>
        <v>-235</v>
      </c>
      <c r="AH1662" s="74">
        <f>tblData[[#This Row],[Net Revenue]]+tblData[[#This Row],[COGS]]</f>
        <v>292</v>
      </c>
      <c r="AI1662" s="74">
        <f>tblData[[#This Row],[Advertising]]+tblData[[#This Row],[Promotions]]</f>
        <v>-21</v>
      </c>
      <c r="AJ1662" s="74">
        <f>tblData[[#This Row],[Outbound Logistics]]+tblData[[#This Row],[Direct Selling]]</f>
        <v>-94</v>
      </c>
      <c r="AK1662" s="74">
        <f>tblData[[#This Row],[Gross Profit]]+tblData[[#This Row],[AP Spend]]+tblData[[#This Row],[Cost to Serve]]</f>
        <v>177</v>
      </c>
    </row>
    <row r="1663" spans="2:37" x14ac:dyDescent="0.25">
      <c r="B1663" s="71" t="s">
        <v>36</v>
      </c>
      <c r="C1663" s="71">
        <v>2026</v>
      </c>
      <c r="D1663" s="71">
        <v>8</v>
      </c>
      <c r="E1663" s="71" t="s">
        <v>47</v>
      </c>
      <c r="F1663" s="71" t="s">
        <v>41</v>
      </c>
      <c r="G1663" s="72">
        <v>42.1</v>
      </c>
      <c r="H1663" s="73">
        <v>468</v>
      </c>
      <c r="I1663" s="73">
        <v>-14</v>
      </c>
      <c r="J1663" s="73">
        <v>-23</v>
      </c>
      <c r="K1663" s="73">
        <v>-113</v>
      </c>
      <c r="L1663" s="73">
        <v>-28</v>
      </c>
      <c r="M1663" s="73">
        <v>-17</v>
      </c>
      <c r="N1663" s="73">
        <v>-29</v>
      </c>
      <c r="O1663" s="73">
        <v>-17</v>
      </c>
      <c r="P1663" s="73">
        <v>-58</v>
      </c>
      <c r="Q1663" s="73">
        <v>-19</v>
      </c>
      <c r="R1663" s="73">
        <v>0</v>
      </c>
      <c r="S1663" s="73">
        <v>0</v>
      </c>
      <c r="T1663" s="73">
        <v>0</v>
      </c>
      <c r="U1663" s="73">
        <v>0</v>
      </c>
      <c r="V1663" s="73">
        <v>0</v>
      </c>
      <c r="W1663" s="73">
        <v>0</v>
      </c>
      <c r="X1663" s="73">
        <v>0</v>
      </c>
      <c r="Y1663" s="73">
        <v>0</v>
      </c>
      <c r="Z1663" s="73">
        <v>84</v>
      </c>
      <c r="AA1663" s="73">
        <v>491</v>
      </c>
      <c r="AB1663" s="73">
        <v>0</v>
      </c>
      <c r="AC1663" s="73">
        <v>0</v>
      </c>
      <c r="AD1663" s="73">
        <v>0</v>
      </c>
      <c r="AE1663" s="73">
        <v>0</v>
      </c>
      <c r="AF1663" s="74">
        <f>tblData[[#This Row],[Gross Sales]]+tblData[[#This Row],[Trade Discounts]]+tblData[[#This Row],[Returns]]</f>
        <v>431</v>
      </c>
      <c r="AG1663" s="74">
        <f>tblData[[#This Row],[Material Cost]]+tblData[[#This Row],[Conversion Cost]]+tblData[[#This Row],[Inbound Freight]]</f>
        <v>-158</v>
      </c>
      <c r="AH1663" s="74">
        <f>tblData[[#This Row],[Net Revenue]]+tblData[[#This Row],[COGS]]</f>
        <v>273</v>
      </c>
      <c r="AI1663" s="74">
        <f>tblData[[#This Row],[Advertising]]+tblData[[#This Row],[Promotions]]</f>
        <v>-46</v>
      </c>
      <c r="AJ1663" s="74">
        <f>tblData[[#This Row],[Outbound Logistics]]+tblData[[#This Row],[Direct Selling]]</f>
        <v>-77</v>
      </c>
      <c r="AK1663" s="74">
        <f>tblData[[#This Row],[Gross Profit]]+tblData[[#This Row],[AP Spend]]+tblData[[#This Row],[Cost to Serve]]</f>
        <v>150</v>
      </c>
    </row>
    <row r="1664" spans="2:37" x14ac:dyDescent="0.25">
      <c r="B1664" s="71" t="s">
        <v>36</v>
      </c>
      <c r="C1664" s="71">
        <v>2026</v>
      </c>
      <c r="D1664" s="71">
        <v>8</v>
      </c>
      <c r="E1664" s="71" t="s">
        <v>47</v>
      </c>
      <c r="F1664" s="71" t="s">
        <v>42</v>
      </c>
      <c r="G1664" s="72">
        <v>50.9</v>
      </c>
      <c r="H1664" s="73">
        <v>306</v>
      </c>
      <c r="I1664" s="73">
        <v>-9</v>
      </c>
      <c r="J1664" s="73">
        <v>-15</v>
      </c>
      <c r="K1664" s="73">
        <v>-98</v>
      </c>
      <c r="L1664" s="73">
        <v>-24</v>
      </c>
      <c r="M1664" s="73">
        <v>-15</v>
      </c>
      <c r="N1664" s="73">
        <v>-6</v>
      </c>
      <c r="O1664" s="73">
        <v>-3</v>
      </c>
      <c r="P1664" s="73">
        <v>-38</v>
      </c>
      <c r="Q1664" s="73">
        <v>-12</v>
      </c>
      <c r="R1664" s="73">
        <v>0</v>
      </c>
      <c r="S1664" s="73">
        <v>0</v>
      </c>
      <c r="T1664" s="73">
        <v>0</v>
      </c>
      <c r="U1664" s="73">
        <v>0</v>
      </c>
      <c r="V1664" s="73">
        <v>0</v>
      </c>
      <c r="W1664" s="73">
        <v>0</v>
      </c>
      <c r="X1664" s="73">
        <v>0</v>
      </c>
      <c r="Y1664" s="73">
        <v>0</v>
      </c>
      <c r="Z1664" s="73">
        <v>55</v>
      </c>
      <c r="AA1664" s="73">
        <v>555</v>
      </c>
      <c r="AB1664" s="73">
        <v>0</v>
      </c>
      <c r="AC1664" s="73">
        <v>0</v>
      </c>
      <c r="AD1664" s="73">
        <v>0</v>
      </c>
      <c r="AE1664" s="73">
        <v>0</v>
      </c>
      <c r="AF1664" s="74">
        <f>tblData[[#This Row],[Gross Sales]]+tblData[[#This Row],[Trade Discounts]]+tblData[[#This Row],[Returns]]</f>
        <v>282</v>
      </c>
      <c r="AG1664" s="74">
        <f>tblData[[#This Row],[Material Cost]]+tblData[[#This Row],[Conversion Cost]]+tblData[[#This Row],[Inbound Freight]]</f>
        <v>-137</v>
      </c>
      <c r="AH1664" s="74">
        <f>tblData[[#This Row],[Net Revenue]]+tblData[[#This Row],[COGS]]</f>
        <v>145</v>
      </c>
      <c r="AI1664" s="74">
        <f>tblData[[#This Row],[Advertising]]+tblData[[#This Row],[Promotions]]</f>
        <v>-9</v>
      </c>
      <c r="AJ1664" s="74">
        <f>tblData[[#This Row],[Outbound Logistics]]+tblData[[#This Row],[Direct Selling]]</f>
        <v>-50</v>
      </c>
      <c r="AK1664" s="74">
        <f>tblData[[#This Row],[Gross Profit]]+tblData[[#This Row],[AP Spend]]+tblData[[#This Row],[Cost to Serve]]</f>
        <v>86</v>
      </c>
    </row>
    <row r="1665" spans="2:37" x14ac:dyDescent="0.25">
      <c r="B1665" s="71" t="s">
        <v>36</v>
      </c>
      <c r="C1665" s="71">
        <v>2026</v>
      </c>
      <c r="D1665" s="71">
        <v>8</v>
      </c>
      <c r="E1665" s="71" t="s">
        <v>47</v>
      </c>
      <c r="F1665" s="71" t="s">
        <v>43</v>
      </c>
      <c r="G1665" s="72">
        <v>9.4</v>
      </c>
      <c r="H1665" s="73">
        <v>170</v>
      </c>
      <c r="I1665" s="73">
        <v>-5</v>
      </c>
      <c r="J1665" s="73">
        <v>-9</v>
      </c>
      <c r="K1665" s="73">
        <v>-47</v>
      </c>
      <c r="L1665" s="73">
        <v>-12</v>
      </c>
      <c r="M1665" s="73">
        <v>-7</v>
      </c>
      <c r="N1665" s="73">
        <v>-16</v>
      </c>
      <c r="O1665" s="73">
        <v>-9</v>
      </c>
      <c r="P1665" s="73">
        <v>-21</v>
      </c>
      <c r="Q1665" s="73">
        <v>-7</v>
      </c>
      <c r="R1665" s="73">
        <v>0</v>
      </c>
      <c r="S1665" s="73">
        <v>0</v>
      </c>
      <c r="T1665" s="73">
        <v>0</v>
      </c>
      <c r="U1665" s="73">
        <v>0</v>
      </c>
      <c r="V1665" s="73">
        <v>0</v>
      </c>
      <c r="W1665" s="73">
        <v>0</v>
      </c>
      <c r="X1665" s="73">
        <v>0</v>
      </c>
      <c r="Y1665" s="73">
        <v>0</v>
      </c>
      <c r="Z1665" s="73">
        <v>31</v>
      </c>
      <c r="AA1665" s="73">
        <v>276</v>
      </c>
      <c r="AB1665" s="73">
        <v>0</v>
      </c>
      <c r="AC1665" s="73">
        <v>0</v>
      </c>
      <c r="AD1665" s="73">
        <v>0</v>
      </c>
      <c r="AE1665" s="73">
        <v>0</v>
      </c>
      <c r="AF1665" s="74">
        <f>tblData[[#This Row],[Gross Sales]]+tblData[[#This Row],[Trade Discounts]]+tblData[[#This Row],[Returns]]</f>
        <v>156</v>
      </c>
      <c r="AG1665" s="74">
        <f>tblData[[#This Row],[Material Cost]]+tblData[[#This Row],[Conversion Cost]]+tblData[[#This Row],[Inbound Freight]]</f>
        <v>-66</v>
      </c>
      <c r="AH1665" s="74">
        <f>tblData[[#This Row],[Net Revenue]]+tblData[[#This Row],[COGS]]</f>
        <v>90</v>
      </c>
      <c r="AI1665" s="74">
        <f>tblData[[#This Row],[Advertising]]+tblData[[#This Row],[Promotions]]</f>
        <v>-25</v>
      </c>
      <c r="AJ1665" s="74">
        <f>tblData[[#This Row],[Outbound Logistics]]+tblData[[#This Row],[Direct Selling]]</f>
        <v>-28</v>
      </c>
      <c r="AK1665" s="74">
        <f>tblData[[#This Row],[Gross Profit]]+tblData[[#This Row],[AP Spend]]+tblData[[#This Row],[Cost to Serve]]</f>
        <v>37</v>
      </c>
    </row>
    <row r="1666" spans="2:37" x14ac:dyDescent="0.25">
      <c r="B1666" s="71" t="s">
        <v>36</v>
      </c>
      <c r="C1666" s="71">
        <v>2026</v>
      </c>
      <c r="D1666" s="71">
        <v>8</v>
      </c>
      <c r="E1666" s="71" t="s">
        <v>48</v>
      </c>
      <c r="F1666" s="71" t="s">
        <v>38</v>
      </c>
      <c r="G1666" s="72">
        <v>102.7</v>
      </c>
      <c r="H1666" s="73">
        <v>1446</v>
      </c>
      <c r="I1666" s="73">
        <v>-130</v>
      </c>
      <c r="J1666" s="73">
        <v>-14</v>
      </c>
      <c r="K1666" s="73">
        <v>-317</v>
      </c>
      <c r="L1666" s="73">
        <v>-78</v>
      </c>
      <c r="M1666" s="73">
        <v>-49</v>
      </c>
      <c r="N1666" s="73">
        <v>-79</v>
      </c>
      <c r="O1666" s="73">
        <v>-46</v>
      </c>
      <c r="P1666" s="73">
        <v>-45</v>
      </c>
      <c r="Q1666" s="73">
        <v>-22</v>
      </c>
      <c r="R1666" s="73">
        <v>0</v>
      </c>
      <c r="S1666" s="73">
        <v>0</v>
      </c>
      <c r="T1666" s="73">
        <v>0</v>
      </c>
      <c r="U1666" s="73">
        <v>0</v>
      </c>
      <c r="V1666" s="73">
        <v>0</v>
      </c>
      <c r="W1666" s="73">
        <v>0</v>
      </c>
      <c r="X1666" s="73">
        <v>0</v>
      </c>
      <c r="Y1666" s="73">
        <v>0</v>
      </c>
      <c r="Z1666" s="73">
        <v>3193</v>
      </c>
      <c r="AA1666" s="73">
        <v>1506</v>
      </c>
      <c r="AB1666" s="73">
        <v>0</v>
      </c>
      <c r="AC1666" s="73">
        <v>0</v>
      </c>
      <c r="AD1666" s="73">
        <v>0</v>
      </c>
      <c r="AE1666" s="73">
        <v>0</v>
      </c>
      <c r="AF1666" s="74">
        <f>tblData[[#This Row],[Gross Sales]]+tblData[[#This Row],[Trade Discounts]]+tblData[[#This Row],[Returns]]</f>
        <v>1302</v>
      </c>
      <c r="AG1666" s="74">
        <f>tblData[[#This Row],[Material Cost]]+tblData[[#This Row],[Conversion Cost]]+tblData[[#This Row],[Inbound Freight]]</f>
        <v>-444</v>
      </c>
      <c r="AH1666" s="74">
        <f>tblData[[#This Row],[Net Revenue]]+tblData[[#This Row],[COGS]]</f>
        <v>858</v>
      </c>
      <c r="AI1666" s="74">
        <f>tblData[[#This Row],[Advertising]]+tblData[[#This Row],[Promotions]]</f>
        <v>-125</v>
      </c>
      <c r="AJ1666" s="74">
        <f>tblData[[#This Row],[Outbound Logistics]]+tblData[[#This Row],[Direct Selling]]</f>
        <v>-67</v>
      </c>
      <c r="AK1666" s="74">
        <f>tblData[[#This Row],[Gross Profit]]+tblData[[#This Row],[AP Spend]]+tblData[[#This Row],[Cost to Serve]]</f>
        <v>666</v>
      </c>
    </row>
    <row r="1667" spans="2:37" x14ac:dyDescent="0.25">
      <c r="B1667" s="71" t="s">
        <v>36</v>
      </c>
      <c r="C1667" s="71">
        <v>2026</v>
      </c>
      <c r="D1667" s="71">
        <v>8</v>
      </c>
      <c r="E1667" s="71" t="s">
        <v>48</v>
      </c>
      <c r="F1667" s="71" t="s">
        <v>39</v>
      </c>
      <c r="G1667" s="72">
        <v>141.9</v>
      </c>
      <c r="H1667" s="73">
        <v>1279</v>
      </c>
      <c r="I1667" s="73">
        <v>-115</v>
      </c>
      <c r="J1667" s="73">
        <v>-13</v>
      </c>
      <c r="K1667" s="73">
        <v>-337</v>
      </c>
      <c r="L1667" s="73">
        <v>-83</v>
      </c>
      <c r="M1667" s="73">
        <v>-52</v>
      </c>
      <c r="N1667" s="73">
        <v>-45</v>
      </c>
      <c r="O1667" s="73">
        <v>-27</v>
      </c>
      <c r="P1667" s="73">
        <v>-40</v>
      </c>
      <c r="Q1667" s="73">
        <v>-19</v>
      </c>
      <c r="R1667" s="73">
        <v>0</v>
      </c>
      <c r="S1667" s="73">
        <v>0</v>
      </c>
      <c r="T1667" s="73">
        <v>0</v>
      </c>
      <c r="U1667" s="73">
        <v>0</v>
      </c>
      <c r="V1667" s="73">
        <v>0</v>
      </c>
      <c r="W1667" s="73">
        <v>0</v>
      </c>
      <c r="X1667" s="73">
        <v>0</v>
      </c>
      <c r="Y1667" s="73">
        <v>0</v>
      </c>
      <c r="Z1667" s="73">
        <v>2777</v>
      </c>
      <c r="AA1667" s="73">
        <v>1339</v>
      </c>
      <c r="AB1667" s="73">
        <v>0</v>
      </c>
      <c r="AC1667" s="73">
        <v>0</v>
      </c>
      <c r="AD1667" s="73">
        <v>0</v>
      </c>
      <c r="AE1667" s="73">
        <v>0</v>
      </c>
      <c r="AF1667" s="74">
        <f>tblData[[#This Row],[Gross Sales]]+tblData[[#This Row],[Trade Discounts]]+tblData[[#This Row],[Returns]]</f>
        <v>1151</v>
      </c>
      <c r="AG1667" s="74">
        <f>tblData[[#This Row],[Material Cost]]+tblData[[#This Row],[Conversion Cost]]+tblData[[#This Row],[Inbound Freight]]</f>
        <v>-472</v>
      </c>
      <c r="AH1667" s="74">
        <f>tblData[[#This Row],[Net Revenue]]+tblData[[#This Row],[COGS]]</f>
        <v>679</v>
      </c>
      <c r="AI1667" s="74">
        <f>tblData[[#This Row],[Advertising]]+tblData[[#This Row],[Promotions]]</f>
        <v>-72</v>
      </c>
      <c r="AJ1667" s="74">
        <f>tblData[[#This Row],[Outbound Logistics]]+tblData[[#This Row],[Direct Selling]]</f>
        <v>-59</v>
      </c>
      <c r="AK1667" s="74">
        <f>tblData[[#This Row],[Gross Profit]]+tblData[[#This Row],[AP Spend]]+tblData[[#This Row],[Cost to Serve]]</f>
        <v>548</v>
      </c>
    </row>
    <row r="1668" spans="2:37" x14ac:dyDescent="0.25">
      <c r="B1668" s="71" t="s">
        <v>36</v>
      </c>
      <c r="C1668" s="71">
        <v>2026</v>
      </c>
      <c r="D1668" s="71">
        <v>8</v>
      </c>
      <c r="E1668" s="71" t="s">
        <v>48</v>
      </c>
      <c r="F1668" s="71" t="s">
        <v>40</v>
      </c>
      <c r="G1668" s="72">
        <v>132.30000000000001</v>
      </c>
      <c r="H1668" s="73">
        <v>926</v>
      </c>
      <c r="I1668" s="73">
        <v>-83</v>
      </c>
      <c r="J1668" s="73">
        <v>-9</v>
      </c>
      <c r="K1668" s="73">
        <v>-271</v>
      </c>
      <c r="L1668" s="73">
        <v>-67</v>
      </c>
      <c r="M1668" s="73">
        <v>-41</v>
      </c>
      <c r="N1668" s="73">
        <v>-22</v>
      </c>
      <c r="O1668" s="73">
        <v>-13</v>
      </c>
      <c r="P1668" s="73">
        <v>-29</v>
      </c>
      <c r="Q1668" s="73">
        <v>-14</v>
      </c>
      <c r="R1668" s="73">
        <v>0</v>
      </c>
      <c r="S1668" s="73">
        <v>0</v>
      </c>
      <c r="T1668" s="73">
        <v>0</v>
      </c>
      <c r="U1668" s="73">
        <v>0</v>
      </c>
      <c r="V1668" s="73">
        <v>0</v>
      </c>
      <c r="W1668" s="73">
        <v>0</v>
      </c>
      <c r="X1668" s="73">
        <v>0</v>
      </c>
      <c r="Y1668" s="73">
        <v>0</v>
      </c>
      <c r="Z1668" s="73">
        <v>1989</v>
      </c>
      <c r="AA1668" s="73">
        <v>1003</v>
      </c>
      <c r="AB1668" s="73">
        <v>0</v>
      </c>
      <c r="AC1668" s="73">
        <v>0</v>
      </c>
      <c r="AD1668" s="73">
        <v>0</v>
      </c>
      <c r="AE1668" s="73">
        <v>0</v>
      </c>
      <c r="AF1668" s="74">
        <f>tblData[[#This Row],[Gross Sales]]+tblData[[#This Row],[Trade Discounts]]+tblData[[#This Row],[Returns]]</f>
        <v>834</v>
      </c>
      <c r="AG1668" s="74">
        <f>tblData[[#This Row],[Material Cost]]+tblData[[#This Row],[Conversion Cost]]+tblData[[#This Row],[Inbound Freight]]</f>
        <v>-379</v>
      </c>
      <c r="AH1668" s="74">
        <f>tblData[[#This Row],[Net Revenue]]+tblData[[#This Row],[COGS]]</f>
        <v>455</v>
      </c>
      <c r="AI1668" s="74">
        <f>tblData[[#This Row],[Advertising]]+tblData[[#This Row],[Promotions]]</f>
        <v>-35</v>
      </c>
      <c r="AJ1668" s="74">
        <f>tblData[[#This Row],[Outbound Logistics]]+tblData[[#This Row],[Direct Selling]]</f>
        <v>-43</v>
      </c>
      <c r="AK1668" s="74">
        <f>tblData[[#This Row],[Gross Profit]]+tblData[[#This Row],[AP Spend]]+tblData[[#This Row],[Cost to Serve]]</f>
        <v>377</v>
      </c>
    </row>
    <row r="1669" spans="2:37" x14ac:dyDescent="0.25">
      <c r="B1669" s="71" t="s">
        <v>36</v>
      </c>
      <c r="C1669" s="71">
        <v>2026</v>
      </c>
      <c r="D1669" s="71">
        <v>8</v>
      </c>
      <c r="E1669" s="71" t="s">
        <v>48</v>
      </c>
      <c r="F1669" s="71" t="s">
        <v>41</v>
      </c>
      <c r="G1669" s="72">
        <v>66.3</v>
      </c>
      <c r="H1669" s="73">
        <v>731</v>
      </c>
      <c r="I1669" s="73">
        <v>-66</v>
      </c>
      <c r="J1669" s="73">
        <v>-7</v>
      </c>
      <c r="K1669" s="73">
        <v>-176</v>
      </c>
      <c r="L1669" s="73">
        <v>-43</v>
      </c>
      <c r="M1669" s="73">
        <v>-27</v>
      </c>
      <c r="N1669" s="73">
        <v>-48</v>
      </c>
      <c r="O1669" s="73">
        <v>-28</v>
      </c>
      <c r="P1669" s="73">
        <v>-23</v>
      </c>
      <c r="Q1669" s="73">
        <v>-11</v>
      </c>
      <c r="R1669" s="73">
        <v>0</v>
      </c>
      <c r="S1669" s="73">
        <v>0</v>
      </c>
      <c r="T1669" s="73">
        <v>0</v>
      </c>
      <c r="U1669" s="73">
        <v>0</v>
      </c>
      <c r="V1669" s="73">
        <v>0</v>
      </c>
      <c r="W1669" s="73">
        <v>0</v>
      </c>
      <c r="X1669" s="73">
        <v>0</v>
      </c>
      <c r="Y1669" s="73">
        <v>0</v>
      </c>
      <c r="Z1669" s="73">
        <v>1598</v>
      </c>
      <c r="AA1669" s="73">
        <v>788</v>
      </c>
      <c r="AB1669" s="73">
        <v>0</v>
      </c>
      <c r="AC1669" s="73">
        <v>0</v>
      </c>
      <c r="AD1669" s="73">
        <v>0</v>
      </c>
      <c r="AE1669" s="73">
        <v>0</v>
      </c>
      <c r="AF1669" s="74">
        <f>tblData[[#This Row],[Gross Sales]]+tblData[[#This Row],[Trade Discounts]]+tblData[[#This Row],[Returns]]</f>
        <v>658</v>
      </c>
      <c r="AG1669" s="74">
        <f>tblData[[#This Row],[Material Cost]]+tblData[[#This Row],[Conversion Cost]]+tblData[[#This Row],[Inbound Freight]]</f>
        <v>-246</v>
      </c>
      <c r="AH1669" s="74">
        <f>tblData[[#This Row],[Net Revenue]]+tblData[[#This Row],[COGS]]</f>
        <v>412</v>
      </c>
      <c r="AI1669" s="74">
        <f>tblData[[#This Row],[Advertising]]+tblData[[#This Row],[Promotions]]</f>
        <v>-76</v>
      </c>
      <c r="AJ1669" s="74">
        <f>tblData[[#This Row],[Outbound Logistics]]+tblData[[#This Row],[Direct Selling]]</f>
        <v>-34</v>
      </c>
      <c r="AK1669" s="74">
        <f>tblData[[#This Row],[Gross Profit]]+tblData[[#This Row],[AP Spend]]+tblData[[#This Row],[Cost to Serve]]</f>
        <v>302</v>
      </c>
    </row>
    <row r="1670" spans="2:37" x14ac:dyDescent="0.25">
      <c r="B1670" s="71" t="s">
        <v>36</v>
      </c>
      <c r="C1670" s="71">
        <v>2026</v>
      </c>
      <c r="D1670" s="71">
        <v>8</v>
      </c>
      <c r="E1670" s="71" t="s">
        <v>48</v>
      </c>
      <c r="F1670" s="71" t="s">
        <v>42</v>
      </c>
      <c r="G1670" s="72">
        <v>81.900000000000006</v>
      </c>
      <c r="H1670" s="73">
        <v>489</v>
      </c>
      <c r="I1670" s="73">
        <v>-44</v>
      </c>
      <c r="J1670" s="73">
        <v>-5</v>
      </c>
      <c r="K1670" s="73">
        <v>-157</v>
      </c>
      <c r="L1670" s="73">
        <v>-39</v>
      </c>
      <c r="M1670" s="73">
        <v>-24</v>
      </c>
      <c r="N1670" s="73">
        <v>-9</v>
      </c>
      <c r="O1670" s="73">
        <v>-6</v>
      </c>
      <c r="P1670" s="73">
        <v>-15</v>
      </c>
      <c r="Q1670" s="73">
        <v>-7</v>
      </c>
      <c r="R1670" s="73">
        <v>0</v>
      </c>
      <c r="S1670" s="73">
        <v>0</v>
      </c>
      <c r="T1670" s="73">
        <v>0</v>
      </c>
      <c r="U1670" s="73">
        <v>0</v>
      </c>
      <c r="V1670" s="73">
        <v>0</v>
      </c>
      <c r="W1670" s="73">
        <v>0</v>
      </c>
      <c r="X1670" s="73">
        <v>0</v>
      </c>
      <c r="Y1670" s="73">
        <v>0</v>
      </c>
      <c r="Z1670" s="73">
        <v>1043</v>
      </c>
      <c r="AA1670" s="73">
        <v>893</v>
      </c>
      <c r="AB1670" s="73">
        <v>0</v>
      </c>
      <c r="AC1670" s="73">
        <v>0</v>
      </c>
      <c r="AD1670" s="73">
        <v>0</v>
      </c>
      <c r="AE1670" s="73">
        <v>0</v>
      </c>
      <c r="AF1670" s="74">
        <f>tblData[[#This Row],[Gross Sales]]+tblData[[#This Row],[Trade Discounts]]+tblData[[#This Row],[Returns]]</f>
        <v>440</v>
      </c>
      <c r="AG1670" s="74">
        <f>tblData[[#This Row],[Material Cost]]+tblData[[#This Row],[Conversion Cost]]+tblData[[#This Row],[Inbound Freight]]</f>
        <v>-220</v>
      </c>
      <c r="AH1670" s="74">
        <f>tblData[[#This Row],[Net Revenue]]+tblData[[#This Row],[COGS]]</f>
        <v>220</v>
      </c>
      <c r="AI1670" s="74">
        <f>tblData[[#This Row],[Advertising]]+tblData[[#This Row],[Promotions]]</f>
        <v>-15</v>
      </c>
      <c r="AJ1670" s="74">
        <f>tblData[[#This Row],[Outbound Logistics]]+tblData[[#This Row],[Direct Selling]]</f>
        <v>-22</v>
      </c>
      <c r="AK1670" s="74">
        <f>tblData[[#This Row],[Gross Profit]]+tblData[[#This Row],[AP Spend]]+tblData[[#This Row],[Cost to Serve]]</f>
        <v>183</v>
      </c>
    </row>
    <row r="1671" spans="2:37" x14ac:dyDescent="0.25">
      <c r="B1671" s="71" t="s">
        <v>36</v>
      </c>
      <c r="C1671" s="71">
        <v>2026</v>
      </c>
      <c r="D1671" s="71">
        <v>8</v>
      </c>
      <c r="E1671" s="71" t="s">
        <v>48</v>
      </c>
      <c r="F1671" s="71" t="s">
        <v>43</v>
      </c>
      <c r="G1671" s="72">
        <v>15.5</v>
      </c>
      <c r="H1671" s="73">
        <v>280</v>
      </c>
      <c r="I1671" s="73">
        <v>-25</v>
      </c>
      <c r="J1671" s="73">
        <v>-3</v>
      </c>
      <c r="K1671" s="73">
        <v>-78</v>
      </c>
      <c r="L1671" s="73">
        <v>-19</v>
      </c>
      <c r="M1671" s="73">
        <v>-12</v>
      </c>
      <c r="N1671" s="73">
        <v>-26</v>
      </c>
      <c r="O1671" s="73">
        <v>-15</v>
      </c>
      <c r="P1671" s="73">
        <v>-9</v>
      </c>
      <c r="Q1671" s="73">
        <v>-4</v>
      </c>
      <c r="R1671" s="73">
        <v>0</v>
      </c>
      <c r="S1671" s="73">
        <v>0</v>
      </c>
      <c r="T1671" s="73">
        <v>0</v>
      </c>
      <c r="U1671" s="73">
        <v>0</v>
      </c>
      <c r="V1671" s="73">
        <v>0</v>
      </c>
      <c r="W1671" s="73">
        <v>0</v>
      </c>
      <c r="X1671" s="73">
        <v>0</v>
      </c>
      <c r="Y1671" s="73">
        <v>0</v>
      </c>
      <c r="Z1671" s="73">
        <v>592</v>
      </c>
      <c r="AA1671" s="73">
        <v>442</v>
      </c>
      <c r="AB1671" s="73">
        <v>0</v>
      </c>
      <c r="AC1671" s="73">
        <v>0</v>
      </c>
      <c r="AD1671" s="73">
        <v>0</v>
      </c>
      <c r="AE1671" s="73">
        <v>0</v>
      </c>
      <c r="AF1671" s="74">
        <f>tblData[[#This Row],[Gross Sales]]+tblData[[#This Row],[Trade Discounts]]+tblData[[#This Row],[Returns]]</f>
        <v>252</v>
      </c>
      <c r="AG1671" s="74">
        <f>tblData[[#This Row],[Material Cost]]+tblData[[#This Row],[Conversion Cost]]+tblData[[#This Row],[Inbound Freight]]</f>
        <v>-109</v>
      </c>
      <c r="AH1671" s="74">
        <f>tblData[[#This Row],[Net Revenue]]+tblData[[#This Row],[COGS]]</f>
        <v>143</v>
      </c>
      <c r="AI1671" s="74">
        <f>tblData[[#This Row],[Advertising]]+tblData[[#This Row],[Promotions]]</f>
        <v>-41</v>
      </c>
      <c r="AJ1671" s="74">
        <f>tblData[[#This Row],[Outbound Logistics]]+tblData[[#This Row],[Direct Selling]]</f>
        <v>-13</v>
      </c>
      <c r="AK1671" s="74">
        <f>tblData[[#This Row],[Gross Profit]]+tblData[[#This Row],[AP Spend]]+tblData[[#This Row],[Cost to Serve]]</f>
        <v>89</v>
      </c>
    </row>
    <row r="1672" spans="2:37" x14ac:dyDescent="0.25">
      <c r="B1672" s="71" t="s">
        <v>36</v>
      </c>
      <c r="C1672" s="71">
        <v>2026</v>
      </c>
      <c r="D1672" s="71">
        <v>8</v>
      </c>
      <c r="E1672" s="71" t="s">
        <v>49</v>
      </c>
      <c r="F1672" s="71" t="s">
        <v>49</v>
      </c>
      <c r="G1672" s="72">
        <v>0</v>
      </c>
      <c r="H1672" s="73">
        <v>0</v>
      </c>
      <c r="I1672" s="73">
        <v>0</v>
      </c>
      <c r="J1672" s="73">
        <v>0</v>
      </c>
      <c r="K1672" s="73">
        <v>0</v>
      </c>
      <c r="L1672" s="73">
        <v>0</v>
      </c>
      <c r="M1672" s="73">
        <v>0</v>
      </c>
      <c r="N1672" s="73">
        <v>0</v>
      </c>
      <c r="O1672" s="73">
        <v>0</v>
      </c>
      <c r="P1672" s="73">
        <v>0</v>
      </c>
      <c r="Q1672" s="73">
        <v>0</v>
      </c>
      <c r="R1672" s="73">
        <v>-4356</v>
      </c>
      <c r="S1672" s="73">
        <v>-1000</v>
      </c>
      <c r="T1672" s="73">
        <v>-1280</v>
      </c>
      <c r="U1672" s="73">
        <v>-1085</v>
      </c>
      <c r="V1672" s="73">
        <v>-1480</v>
      </c>
      <c r="W1672" s="73">
        <v>-694</v>
      </c>
      <c r="X1672" s="73">
        <v>-1580</v>
      </c>
      <c r="Y1672" s="73">
        <v>-1318</v>
      </c>
      <c r="Z1672" s="73">
        <v>0</v>
      </c>
      <c r="AA1672" s="73">
        <v>0</v>
      </c>
      <c r="AB1672" s="73">
        <v>34390</v>
      </c>
      <c r="AC1672" s="73">
        <v>52939</v>
      </c>
      <c r="AD1672" s="73">
        <v>185000</v>
      </c>
      <c r="AE1672" s="73">
        <v>1192</v>
      </c>
      <c r="AF1672" s="74">
        <f>tblData[[#This Row],[Gross Sales]]+tblData[[#This Row],[Trade Discounts]]+tblData[[#This Row],[Returns]]</f>
        <v>0</v>
      </c>
      <c r="AG1672" s="74">
        <f>tblData[[#This Row],[Material Cost]]+tblData[[#This Row],[Conversion Cost]]+tblData[[#This Row],[Inbound Freight]]</f>
        <v>0</v>
      </c>
      <c r="AH1672" s="74">
        <f>tblData[[#This Row],[Net Revenue]]+tblData[[#This Row],[COGS]]</f>
        <v>0</v>
      </c>
      <c r="AI1672" s="74">
        <f>tblData[[#This Row],[Advertising]]+tblData[[#This Row],[Promotions]]</f>
        <v>0</v>
      </c>
      <c r="AJ1672" s="74">
        <f>tblData[[#This Row],[Outbound Logistics]]+tblData[[#This Row],[Direct Selling]]</f>
        <v>0</v>
      </c>
      <c r="AK1672" s="74">
        <f>tblData[[#This Row],[Gross Profit]]+tblData[[#This Row],[AP Spend]]+tblData[[#This Row],[Cost to Serve]]</f>
        <v>0</v>
      </c>
    </row>
    <row r="1673" spans="2:37" x14ac:dyDescent="0.25">
      <c r="B1673" s="71" t="s">
        <v>36</v>
      </c>
      <c r="C1673" s="71">
        <v>2026</v>
      </c>
      <c r="D1673" s="71">
        <v>9</v>
      </c>
      <c r="E1673" s="71" t="s">
        <v>37</v>
      </c>
      <c r="F1673" s="71" t="s">
        <v>38</v>
      </c>
      <c r="G1673" s="72">
        <v>333.1</v>
      </c>
      <c r="H1673" s="73">
        <v>4692</v>
      </c>
      <c r="I1673" s="73">
        <v>-920</v>
      </c>
      <c r="J1673" s="73">
        <v>-70</v>
      </c>
      <c r="K1673" s="73">
        <v>-1029</v>
      </c>
      <c r="L1673" s="73">
        <v>-253</v>
      </c>
      <c r="M1673" s="73">
        <v>-158</v>
      </c>
      <c r="N1673" s="73">
        <v>-259</v>
      </c>
      <c r="O1673" s="73">
        <v>-153</v>
      </c>
      <c r="P1673" s="73">
        <v>-193</v>
      </c>
      <c r="Q1673" s="73">
        <v>-141</v>
      </c>
      <c r="R1673" s="73">
        <v>0</v>
      </c>
      <c r="S1673" s="73">
        <v>0</v>
      </c>
      <c r="T1673" s="73">
        <v>0</v>
      </c>
      <c r="U1673" s="73">
        <v>0</v>
      </c>
      <c r="V1673" s="73">
        <v>0</v>
      </c>
      <c r="W1673" s="73">
        <v>0</v>
      </c>
      <c r="X1673" s="73">
        <v>0</v>
      </c>
      <c r="Y1673" s="73">
        <v>0</v>
      </c>
      <c r="Z1673" s="73">
        <v>6663</v>
      </c>
      <c r="AA1673" s="73">
        <v>4512</v>
      </c>
      <c r="AB1673" s="73">
        <v>0</v>
      </c>
      <c r="AC1673" s="73">
        <v>0</v>
      </c>
      <c r="AD1673" s="73">
        <v>0</v>
      </c>
      <c r="AE1673" s="73">
        <v>0</v>
      </c>
      <c r="AF1673" s="74">
        <f>tblData[[#This Row],[Gross Sales]]+tblData[[#This Row],[Trade Discounts]]+tblData[[#This Row],[Returns]]</f>
        <v>3702</v>
      </c>
      <c r="AG1673" s="74">
        <f>tblData[[#This Row],[Material Cost]]+tblData[[#This Row],[Conversion Cost]]+tblData[[#This Row],[Inbound Freight]]</f>
        <v>-1440</v>
      </c>
      <c r="AH1673" s="74">
        <f>tblData[[#This Row],[Net Revenue]]+tblData[[#This Row],[COGS]]</f>
        <v>2262</v>
      </c>
      <c r="AI1673" s="74">
        <f>tblData[[#This Row],[Advertising]]+tblData[[#This Row],[Promotions]]</f>
        <v>-412</v>
      </c>
      <c r="AJ1673" s="74">
        <f>tblData[[#This Row],[Outbound Logistics]]+tblData[[#This Row],[Direct Selling]]</f>
        <v>-334</v>
      </c>
      <c r="AK1673" s="74">
        <f>tblData[[#This Row],[Gross Profit]]+tblData[[#This Row],[AP Spend]]+tblData[[#This Row],[Cost to Serve]]</f>
        <v>1516</v>
      </c>
    </row>
    <row r="1674" spans="2:37" x14ac:dyDescent="0.25">
      <c r="B1674" s="71" t="s">
        <v>36</v>
      </c>
      <c r="C1674" s="71">
        <v>2026</v>
      </c>
      <c r="D1674" s="71">
        <v>9</v>
      </c>
      <c r="E1674" s="71" t="s">
        <v>37</v>
      </c>
      <c r="F1674" s="71" t="s">
        <v>39</v>
      </c>
      <c r="G1674" s="72">
        <v>441.2</v>
      </c>
      <c r="H1674" s="73">
        <v>3978</v>
      </c>
      <c r="I1674" s="73">
        <v>-780</v>
      </c>
      <c r="J1674" s="73">
        <v>-60</v>
      </c>
      <c r="K1674" s="73">
        <v>-1047</v>
      </c>
      <c r="L1674" s="73">
        <v>-258</v>
      </c>
      <c r="M1674" s="73">
        <v>-160</v>
      </c>
      <c r="N1674" s="73">
        <v>-148</v>
      </c>
      <c r="O1674" s="73">
        <v>-87</v>
      </c>
      <c r="P1674" s="73">
        <v>-164</v>
      </c>
      <c r="Q1674" s="73">
        <v>-119</v>
      </c>
      <c r="R1674" s="73">
        <v>0</v>
      </c>
      <c r="S1674" s="73">
        <v>0</v>
      </c>
      <c r="T1674" s="73">
        <v>0</v>
      </c>
      <c r="U1674" s="73">
        <v>0</v>
      </c>
      <c r="V1674" s="73">
        <v>0</v>
      </c>
      <c r="W1674" s="73">
        <v>0</v>
      </c>
      <c r="X1674" s="73">
        <v>0</v>
      </c>
      <c r="Y1674" s="73">
        <v>0</v>
      </c>
      <c r="Z1674" s="73">
        <v>5483</v>
      </c>
      <c r="AA1674" s="73">
        <v>3794</v>
      </c>
      <c r="AB1674" s="73">
        <v>0</v>
      </c>
      <c r="AC1674" s="73">
        <v>0</v>
      </c>
      <c r="AD1674" s="73">
        <v>0</v>
      </c>
      <c r="AE1674" s="73">
        <v>0</v>
      </c>
      <c r="AF1674" s="74">
        <f>tblData[[#This Row],[Gross Sales]]+tblData[[#This Row],[Trade Discounts]]+tblData[[#This Row],[Returns]]</f>
        <v>3138</v>
      </c>
      <c r="AG1674" s="74">
        <f>tblData[[#This Row],[Material Cost]]+tblData[[#This Row],[Conversion Cost]]+tblData[[#This Row],[Inbound Freight]]</f>
        <v>-1465</v>
      </c>
      <c r="AH1674" s="74">
        <f>tblData[[#This Row],[Net Revenue]]+tblData[[#This Row],[COGS]]</f>
        <v>1673</v>
      </c>
      <c r="AI1674" s="74">
        <f>tblData[[#This Row],[Advertising]]+tblData[[#This Row],[Promotions]]</f>
        <v>-235</v>
      </c>
      <c r="AJ1674" s="74">
        <f>tblData[[#This Row],[Outbound Logistics]]+tblData[[#This Row],[Direct Selling]]</f>
        <v>-283</v>
      </c>
      <c r="AK1674" s="74">
        <f>tblData[[#This Row],[Gross Profit]]+tblData[[#This Row],[AP Spend]]+tblData[[#This Row],[Cost to Serve]]</f>
        <v>1155</v>
      </c>
    </row>
    <row r="1675" spans="2:37" x14ac:dyDescent="0.25">
      <c r="B1675" s="71" t="s">
        <v>36</v>
      </c>
      <c r="C1675" s="71">
        <v>2026</v>
      </c>
      <c r="D1675" s="71">
        <v>9</v>
      </c>
      <c r="E1675" s="71" t="s">
        <v>37</v>
      </c>
      <c r="F1675" s="71" t="s">
        <v>40</v>
      </c>
      <c r="G1675" s="72">
        <v>409.8</v>
      </c>
      <c r="H1675" s="73">
        <v>2869</v>
      </c>
      <c r="I1675" s="73">
        <v>-562</v>
      </c>
      <c r="J1675" s="73">
        <v>-43</v>
      </c>
      <c r="K1675" s="73">
        <v>-839</v>
      </c>
      <c r="L1675" s="73">
        <v>-207</v>
      </c>
      <c r="M1675" s="73">
        <v>-129</v>
      </c>
      <c r="N1675" s="73">
        <v>-74</v>
      </c>
      <c r="O1675" s="73">
        <v>-44</v>
      </c>
      <c r="P1675" s="73">
        <v>-118</v>
      </c>
      <c r="Q1675" s="73">
        <v>-86</v>
      </c>
      <c r="R1675" s="73">
        <v>0</v>
      </c>
      <c r="S1675" s="73">
        <v>0</v>
      </c>
      <c r="T1675" s="73">
        <v>0</v>
      </c>
      <c r="U1675" s="73">
        <v>0</v>
      </c>
      <c r="V1675" s="73">
        <v>0</v>
      </c>
      <c r="W1675" s="73">
        <v>0</v>
      </c>
      <c r="X1675" s="73">
        <v>0</v>
      </c>
      <c r="Y1675" s="73">
        <v>0</v>
      </c>
      <c r="Z1675" s="73">
        <v>4114</v>
      </c>
      <c r="AA1675" s="73">
        <v>2979</v>
      </c>
      <c r="AB1675" s="73">
        <v>0</v>
      </c>
      <c r="AC1675" s="73">
        <v>0</v>
      </c>
      <c r="AD1675" s="73">
        <v>0</v>
      </c>
      <c r="AE1675" s="73">
        <v>0</v>
      </c>
      <c r="AF1675" s="74">
        <f>tblData[[#This Row],[Gross Sales]]+tblData[[#This Row],[Trade Discounts]]+tblData[[#This Row],[Returns]]</f>
        <v>2264</v>
      </c>
      <c r="AG1675" s="74">
        <f>tblData[[#This Row],[Material Cost]]+tblData[[#This Row],[Conversion Cost]]+tblData[[#This Row],[Inbound Freight]]</f>
        <v>-1175</v>
      </c>
      <c r="AH1675" s="74">
        <f>tblData[[#This Row],[Net Revenue]]+tblData[[#This Row],[COGS]]</f>
        <v>1089</v>
      </c>
      <c r="AI1675" s="74">
        <f>tblData[[#This Row],[Advertising]]+tblData[[#This Row],[Promotions]]</f>
        <v>-118</v>
      </c>
      <c r="AJ1675" s="74">
        <f>tblData[[#This Row],[Outbound Logistics]]+tblData[[#This Row],[Direct Selling]]</f>
        <v>-204</v>
      </c>
      <c r="AK1675" s="74">
        <f>tblData[[#This Row],[Gross Profit]]+tblData[[#This Row],[AP Spend]]+tblData[[#This Row],[Cost to Serve]]</f>
        <v>767</v>
      </c>
    </row>
    <row r="1676" spans="2:37" x14ac:dyDescent="0.25">
      <c r="B1676" s="71" t="s">
        <v>36</v>
      </c>
      <c r="C1676" s="71">
        <v>2026</v>
      </c>
      <c r="D1676" s="71">
        <v>9</v>
      </c>
      <c r="E1676" s="71" t="s">
        <v>37</v>
      </c>
      <c r="F1676" s="71" t="s">
        <v>41</v>
      </c>
      <c r="G1676" s="72">
        <v>215.1</v>
      </c>
      <c r="H1676" s="73">
        <v>2373</v>
      </c>
      <c r="I1676" s="73">
        <v>-465</v>
      </c>
      <c r="J1676" s="73">
        <v>-36</v>
      </c>
      <c r="K1676" s="73">
        <v>-572</v>
      </c>
      <c r="L1676" s="73">
        <v>-141</v>
      </c>
      <c r="M1676" s="73">
        <v>-88</v>
      </c>
      <c r="N1676" s="73">
        <v>-158</v>
      </c>
      <c r="O1676" s="73">
        <v>-94</v>
      </c>
      <c r="P1676" s="73">
        <v>-98</v>
      </c>
      <c r="Q1676" s="73">
        <v>-71</v>
      </c>
      <c r="R1676" s="73">
        <v>0</v>
      </c>
      <c r="S1676" s="73">
        <v>0</v>
      </c>
      <c r="T1676" s="73">
        <v>0</v>
      </c>
      <c r="U1676" s="73">
        <v>0</v>
      </c>
      <c r="V1676" s="73">
        <v>0</v>
      </c>
      <c r="W1676" s="73">
        <v>0</v>
      </c>
      <c r="X1676" s="73">
        <v>0</v>
      </c>
      <c r="Y1676" s="73">
        <v>0</v>
      </c>
      <c r="Z1676" s="73">
        <v>3284</v>
      </c>
      <c r="AA1676" s="73">
        <v>2325</v>
      </c>
      <c r="AB1676" s="73">
        <v>0</v>
      </c>
      <c r="AC1676" s="73">
        <v>0</v>
      </c>
      <c r="AD1676" s="73">
        <v>0</v>
      </c>
      <c r="AE1676" s="73">
        <v>0</v>
      </c>
      <c r="AF1676" s="74">
        <f>tblData[[#This Row],[Gross Sales]]+tblData[[#This Row],[Trade Discounts]]+tblData[[#This Row],[Returns]]</f>
        <v>1872</v>
      </c>
      <c r="AG1676" s="74">
        <f>tblData[[#This Row],[Material Cost]]+tblData[[#This Row],[Conversion Cost]]+tblData[[#This Row],[Inbound Freight]]</f>
        <v>-801</v>
      </c>
      <c r="AH1676" s="74">
        <f>tblData[[#This Row],[Net Revenue]]+tblData[[#This Row],[COGS]]</f>
        <v>1071</v>
      </c>
      <c r="AI1676" s="74">
        <f>tblData[[#This Row],[Advertising]]+tblData[[#This Row],[Promotions]]</f>
        <v>-252</v>
      </c>
      <c r="AJ1676" s="74">
        <f>tblData[[#This Row],[Outbound Logistics]]+tblData[[#This Row],[Direct Selling]]</f>
        <v>-169</v>
      </c>
      <c r="AK1676" s="74">
        <f>tblData[[#This Row],[Gross Profit]]+tblData[[#This Row],[AP Spend]]+tblData[[#This Row],[Cost to Serve]]</f>
        <v>650</v>
      </c>
    </row>
    <row r="1677" spans="2:37" x14ac:dyDescent="0.25">
      <c r="B1677" s="71" t="s">
        <v>36</v>
      </c>
      <c r="C1677" s="71">
        <v>2026</v>
      </c>
      <c r="D1677" s="71">
        <v>9</v>
      </c>
      <c r="E1677" s="71" t="s">
        <v>37</v>
      </c>
      <c r="F1677" s="71" t="s">
        <v>42</v>
      </c>
      <c r="G1677" s="72">
        <v>255.4</v>
      </c>
      <c r="H1677" s="73">
        <v>1526</v>
      </c>
      <c r="I1677" s="73">
        <v>-299</v>
      </c>
      <c r="J1677" s="73">
        <v>-23</v>
      </c>
      <c r="K1677" s="73">
        <v>-491</v>
      </c>
      <c r="L1677" s="73">
        <v>-121</v>
      </c>
      <c r="M1677" s="73">
        <v>-75</v>
      </c>
      <c r="N1677" s="73">
        <v>-31</v>
      </c>
      <c r="O1677" s="73">
        <v>-18</v>
      </c>
      <c r="P1677" s="73">
        <v>-63</v>
      </c>
      <c r="Q1677" s="73">
        <v>-46</v>
      </c>
      <c r="R1677" s="73">
        <v>0</v>
      </c>
      <c r="S1677" s="73">
        <v>0</v>
      </c>
      <c r="T1677" s="73">
        <v>0</v>
      </c>
      <c r="U1677" s="73">
        <v>0</v>
      </c>
      <c r="V1677" s="73">
        <v>0</v>
      </c>
      <c r="W1677" s="73">
        <v>0</v>
      </c>
      <c r="X1677" s="73">
        <v>0</v>
      </c>
      <c r="Y1677" s="73">
        <v>0</v>
      </c>
      <c r="Z1677" s="73">
        <v>2107</v>
      </c>
      <c r="AA1677" s="73">
        <v>2590</v>
      </c>
      <c r="AB1677" s="73">
        <v>0</v>
      </c>
      <c r="AC1677" s="73">
        <v>0</v>
      </c>
      <c r="AD1677" s="73">
        <v>0</v>
      </c>
      <c r="AE1677" s="73">
        <v>0</v>
      </c>
      <c r="AF1677" s="74">
        <f>tblData[[#This Row],[Gross Sales]]+tblData[[#This Row],[Trade Discounts]]+tblData[[#This Row],[Returns]]</f>
        <v>1204</v>
      </c>
      <c r="AG1677" s="74">
        <f>tblData[[#This Row],[Material Cost]]+tblData[[#This Row],[Conversion Cost]]+tblData[[#This Row],[Inbound Freight]]</f>
        <v>-687</v>
      </c>
      <c r="AH1677" s="74">
        <f>tblData[[#This Row],[Net Revenue]]+tblData[[#This Row],[COGS]]</f>
        <v>517</v>
      </c>
      <c r="AI1677" s="74">
        <f>tblData[[#This Row],[Advertising]]+tblData[[#This Row],[Promotions]]</f>
        <v>-49</v>
      </c>
      <c r="AJ1677" s="74">
        <f>tblData[[#This Row],[Outbound Logistics]]+tblData[[#This Row],[Direct Selling]]</f>
        <v>-109</v>
      </c>
      <c r="AK1677" s="74">
        <f>tblData[[#This Row],[Gross Profit]]+tblData[[#This Row],[AP Spend]]+tblData[[#This Row],[Cost to Serve]]</f>
        <v>359</v>
      </c>
    </row>
    <row r="1678" spans="2:37" x14ac:dyDescent="0.25">
      <c r="B1678" s="71" t="s">
        <v>36</v>
      </c>
      <c r="C1678" s="71">
        <v>2026</v>
      </c>
      <c r="D1678" s="71">
        <v>9</v>
      </c>
      <c r="E1678" s="71" t="s">
        <v>37</v>
      </c>
      <c r="F1678" s="71" t="s">
        <v>43</v>
      </c>
      <c r="G1678" s="72">
        <v>47.7</v>
      </c>
      <c r="H1678" s="73">
        <v>859</v>
      </c>
      <c r="I1678" s="73">
        <v>-168</v>
      </c>
      <c r="J1678" s="73">
        <v>-13</v>
      </c>
      <c r="K1678" s="73">
        <v>-239</v>
      </c>
      <c r="L1678" s="73">
        <v>-59</v>
      </c>
      <c r="M1678" s="73">
        <v>-37</v>
      </c>
      <c r="N1678" s="73">
        <v>-86</v>
      </c>
      <c r="O1678" s="73">
        <v>-51</v>
      </c>
      <c r="P1678" s="73">
        <v>-35</v>
      </c>
      <c r="Q1678" s="73">
        <v>-26</v>
      </c>
      <c r="R1678" s="73">
        <v>0</v>
      </c>
      <c r="S1678" s="73">
        <v>0</v>
      </c>
      <c r="T1678" s="73">
        <v>0</v>
      </c>
      <c r="U1678" s="73">
        <v>0</v>
      </c>
      <c r="V1678" s="73">
        <v>0</v>
      </c>
      <c r="W1678" s="73">
        <v>0</v>
      </c>
      <c r="X1678" s="73">
        <v>0</v>
      </c>
      <c r="Y1678" s="73">
        <v>0</v>
      </c>
      <c r="Z1678" s="73">
        <v>1203</v>
      </c>
      <c r="AA1678" s="73">
        <v>1288</v>
      </c>
      <c r="AB1678" s="73">
        <v>0</v>
      </c>
      <c r="AC1678" s="73">
        <v>0</v>
      </c>
      <c r="AD1678" s="73">
        <v>0</v>
      </c>
      <c r="AE1678" s="73">
        <v>0</v>
      </c>
      <c r="AF1678" s="74">
        <f>tblData[[#This Row],[Gross Sales]]+tblData[[#This Row],[Trade Discounts]]+tblData[[#This Row],[Returns]]</f>
        <v>678</v>
      </c>
      <c r="AG1678" s="74">
        <f>tblData[[#This Row],[Material Cost]]+tblData[[#This Row],[Conversion Cost]]+tblData[[#This Row],[Inbound Freight]]</f>
        <v>-335</v>
      </c>
      <c r="AH1678" s="74">
        <f>tblData[[#This Row],[Net Revenue]]+tblData[[#This Row],[COGS]]</f>
        <v>343</v>
      </c>
      <c r="AI1678" s="74">
        <f>tblData[[#This Row],[Advertising]]+tblData[[#This Row],[Promotions]]</f>
        <v>-137</v>
      </c>
      <c r="AJ1678" s="74">
        <f>tblData[[#This Row],[Outbound Logistics]]+tblData[[#This Row],[Direct Selling]]</f>
        <v>-61</v>
      </c>
      <c r="AK1678" s="74">
        <f>tblData[[#This Row],[Gross Profit]]+tblData[[#This Row],[AP Spend]]+tblData[[#This Row],[Cost to Serve]]</f>
        <v>145</v>
      </c>
    </row>
    <row r="1679" spans="2:37" x14ac:dyDescent="0.25">
      <c r="B1679" s="71" t="s">
        <v>36</v>
      </c>
      <c r="C1679" s="71">
        <v>2026</v>
      </c>
      <c r="D1679" s="71">
        <v>9</v>
      </c>
      <c r="E1679" s="71" t="s">
        <v>44</v>
      </c>
      <c r="F1679" s="71" t="s">
        <v>38</v>
      </c>
      <c r="G1679" s="72">
        <v>280.89999999999998</v>
      </c>
      <c r="H1679" s="73">
        <v>3972</v>
      </c>
      <c r="I1679" s="73">
        <v>-643</v>
      </c>
      <c r="J1679" s="73">
        <v>-48</v>
      </c>
      <c r="K1679" s="73">
        <v>-871</v>
      </c>
      <c r="L1679" s="73">
        <v>-214</v>
      </c>
      <c r="M1679" s="73">
        <v>-133</v>
      </c>
      <c r="N1679" s="73">
        <v>-207</v>
      </c>
      <c r="O1679" s="73">
        <v>-122</v>
      </c>
      <c r="P1679" s="73">
        <v>-164</v>
      </c>
      <c r="Q1679" s="73">
        <v>-119</v>
      </c>
      <c r="R1679" s="73">
        <v>0</v>
      </c>
      <c r="S1679" s="73">
        <v>0</v>
      </c>
      <c r="T1679" s="73">
        <v>0</v>
      </c>
      <c r="U1679" s="73">
        <v>0</v>
      </c>
      <c r="V1679" s="73">
        <v>0</v>
      </c>
      <c r="W1679" s="73">
        <v>0</v>
      </c>
      <c r="X1679" s="73">
        <v>0</v>
      </c>
      <c r="Y1679" s="73">
        <v>0</v>
      </c>
      <c r="Z1679" s="73">
        <v>5363</v>
      </c>
      <c r="AA1679" s="73">
        <v>3796</v>
      </c>
      <c r="AB1679" s="73">
        <v>0</v>
      </c>
      <c r="AC1679" s="73">
        <v>0</v>
      </c>
      <c r="AD1679" s="73">
        <v>0</v>
      </c>
      <c r="AE1679" s="73">
        <v>0</v>
      </c>
      <c r="AF1679" s="74">
        <f>tblData[[#This Row],[Gross Sales]]+tblData[[#This Row],[Trade Discounts]]+tblData[[#This Row],[Returns]]</f>
        <v>3281</v>
      </c>
      <c r="AG1679" s="74">
        <f>tblData[[#This Row],[Material Cost]]+tblData[[#This Row],[Conversion Cost]]+tblData[[#This Row],[Inbound Freight]]</f>
        <v>-1218</v>
      </c>
      <c r="AH1679" s="74">
        <f>tblData[[#This Row],[Net Revenue]]+tblData[[#This Row],[COGS]]</f>
        <v>2063</v>
      </c>
      <c r="AI1679" s="74">
        <f>tblData[[#This Row],[Advertising]]+tblData[[#This Row],[Promotions]]</f>
        <v>-329</v>
      </c>
      <c r="AJ1679" s="74">
        <f>tblData[[#This Row],[Outbound Logistics]]+tblData[[#This Row],[Direct Selling]]</f>
        <v>-283</v>
      </c>
      <c r="AK1679" s="74">
        <f>tblData[[#This Row],[Gross Profit]]+tblData[[#This Row],[AP Spend]]+tblData[[#This Row],[Cost to Serve]]</f>
        <v>1451</v>
      </c>
    </row>
    <row r="1680" spans="2:37" x14ac:dyDescent="0.25">
      <c r="B1680" s="71" t="s">
        <v>36</v>
      </c>
      <c r="C1680" s="71">
        <v>2026</v>
      </c>
      <c r="D1680" s="71">
        <v>9</v>
      </c>
      <c r="E1680" s="71" t="s">
        <v>44</v>
      </c>
      <c r="F1680" s="71" t="s">
        <v>39</v>
      </c>
      <c r="G1680" s="72">
        <v>367.8</v>
      </c>
      <c r="H1680" s="73">
        <v>3330</v>
      </c>
      <c r="I1680" s="73">
        <v>-540</v>
      </c>
      <c r="J1680" s="73">
        <v>-40</v>
      </c>
      <c r="K1680" s="73">
        <v>-876</v>
      </c>
      <c r="L1680" s="73">
        <v>-216</v>
      </c>
      <c r="M1680" s="73">
        <v>-134</v>
      </c>
      <c r="N1680" s="73">
        <v>-118</v>
      </c>
      <c r="O1680" s="73">
        <v>-70</v>
      </c>
      <c r="P1680" s="73">
        <v>-137</v>
      </c>
      <c r="Q1680" s="73">
        <v>-100</v>
      </c>
      <c r="R1680" s="73">
        <v>0</v>
      </c>
      <c r="S1680" s="73">
        <v>0</v>
      </c>
      <c r="T1680" s="73">
        <v>0</v>
      </c>
      <c r="U1680" s="73">
        <v>0</v>
      </c>
      <c r="V1680" s="73">
        <v>0</v>
      </c>
      <c r="W1680" s="73">
        <v>0</v>
      </c>
      <c r="X1680" s="73">
        <v>0</v>
      </c>
      <c r="Y1680" s="73">
        <v>0</v>
      </c>
      <c r="Z1680" s="73">
        <v>4454</v>
      </c>
      <c r="AA1680" s="73">
        <v>3222</v>
      </c>
      <c r="AB1680" s="73">
        <v>0</v>
      </c>
      <c r="AC1680" s="73">
        <v>0</v>
      </c>
      <c r="AD1680" s="73">
        <v>0</v>
      </c>
      <c r="AE1680" s="73">
        <v>0</v>
      </c>
      <c r="AF1680" s="74">
        <f>tblData[[#This Row],[Gross Sales]]+tblData[[#This Row],[Trade Discounts]]+tblData[[#This Row],[Returns]]</f>
        <v>2750</v>
      </c>
      <c r="AG1680" s="74">
        <f>tblData[[#This Row],[Material Cost]]+tblData[[#This Row],[Conversion Cost]]+tblData[[#This Row],[Inbound Freight]]</f>
        <v>-1226</v>
      </c>
      <c r="AH1680" s="74">
        <f>tblData[[#This Row],[Net Revenue]]+tblData[[#This Row],[COGS]]</f>
        <v>1524</v>
      </c>
      <c r="AI1680" s="74">
        <f>tblData[[#This Row],[Advertising]]+tblData[[#This Row],[Promotions]]</f>
        <v>-188</v>
      </c>
      <c r="AJ1680" s="74">
        <f>tblData[[#This Row],[Outbound Logistics]]+tblData[[#This Row],[Direct Selling]]</f>
        <v>-237</v>
      </c>
      <c r="AK1680" s="74">
        <f>tblData[[#This Row],[Gross Profit]]+tblData[[#This Row],[AP Spend]]+tblData[[#This Row],[Cost to Serve]]</f>
        <v>1099</v>
      </c>
    </row>
    <row r="1681" spans="2:37" x14ac:dyDescent="0.25">
      <c r="B1681" s="71" t="s">
        <v>36</v>
      </c>
      <c r="C1681" s="71">
        <v>2026</v>
      </c>
      <c r="D1681" s="71">
        <v>9</v>
      </c>
      <c r="E1681" s="71" t="s">
        <v>44</v>
      </c>
      <c r="F1681" s="71" t="s">
        <v>40</v>
      </c>
      <c r="G1681" s="72">
        <v>342.5</v>
      </c>
      <c r="H1681" s="73">
        <v>2407</v>
      </c>
      <c r="I1681" s="73">
        <v>-390</v>
      </c>
      <c r="J1681" s="73">
        <v>-29</v>
      </c>
      <c r="K1681" s="73">
        <v>-704</v>
      </c>
      <c r="L1681" s="73">
        <v>-173</v>
      </c>
      <c r="M1681" s="73">
        <v>-108</v>
      </c>
      <c r="N1681" s="73">
        <v>-59</v>
      </c>
      <c r="O1681" s="73">
        <v>-35</v>
      </c>
      <c r="P1681" s="73">
        <v>-99</v>
      </c>
      <c r="Q1681" s="73">
        <v>-72</v>
      </c>
      <c r="R1681" s="73">
        <v>0</v>
      </c>
      <c r="S1681" s="73">
        <v>0</v>
      </c>
      <c r="T1681" s="73">
        <v>0</v>
      </c>
      <c r="U1681" s="73">
        <v>0</v>
      </c>
      <c r="V1681" s="73">
        <v>0</v>
      </c>
      <c r="W1681" s="73">
        <v>0</v>
      </c>
      <c r="X1681" s="73">
        <v>0</v>
      </c>
      <c r="Y1681" s="73">
        <v>0</v>
      </c>
      <c r="Z1681" s="73">
        <v>3228</v>
      </c>
      <c r="AA1681" s="73">
        <v>2443</v>
      </c>
      <c r="AB1681" s="73">
        <v>0</v>
      </c>
      <c r="AC1681" s="73">
        <v>0</v>
      </c>
      <c r="AD1681" s="73">
        <v>0</v>
      </c>
      <c r="AE1681" s="73">
        <v>0</v>
      </c>
      <c r="AF1681" s="74">
        <f>tblData[[#This Row],[Gross Sales]]+tblData[[#This Row],[Trade Discounts]]+tblData[[#This Row],[Returns]]</f>
        <v>1988</v>
      </c>
      <c r="AG1681" s="74">
        <f>tblData[[#This Row],[Material Cost]]+tblData[[#This Row],[Conversion Cost]]+tblData[[#This Row],[Inbound Freight]]</f>
        <v>-985</v>
      </c>
      <c r="AH1681" s="74">
        <f>tblData[[#This Row],[Net Revenue]]+tblData[[#This Row],[COGS]]</f>
        <v>1003</v>
      </c>
      <c r="AI1681" s="74">
        <f>tblData[[#This Row],[Advertising]]+tblData[[#This Row],[Promotions]]</f>
        <v>-94</v>
      </c>
      <c r="AJ1681" s="74">
        <f>tblData[[#This Row],[Outbound Logistics]]+tblData[[#This Row],[Direct Selling]]</f>
        <v>-171</v>
      </c>
      <c r="AK1681" s="74">
        <f>tblData[[#This Row],[Gross Profit]]+tblData[[#This Row],[AP Spend]]+tblData[[#This Row],[Cost to Serve]]</f>
        <v>738</v>
      </c>
    </row>
    <row r="1682" spans="2:37" x14ac:dyDescent="0.25">
      <c r="B1682" s="71" t="s">
        <v>36</v>
      </c>
      <c r="C1682" s="71">
        <v>2026</v>
      </c>
      <c r="D1682" s="71">
        <v>9</v>
      </c>
      <c r="E1682" s="71" t="s">
        <v>44</v>
      </c>
      <c r="F1682" s="71" t="s">
        <v>41</v>
      </c>
      <c r="G1682" s="72">
        <v>176</v>
      </c>
      <c r="H1682" s="73">
        <v>1950</v>
      </c>
      <c r="I1682" s="73">
        <v>-316</v>
      </c>
      <c r="J1682" s="73">
        <v>-23</v>
      </c>
      <c r="K1682" s="73">
        <v>-470</v>
      </c>
      <c r="L1682" s="73">
        <v>-116</v>
      </c>
      <c r="M1682" s="73">
        <v>-72</v>
      </c>
      <c r="N1682" s="73">
        <v>-127</v>
      </c>
      <c r="O1682" s="73">
        <v>-75</v>
      </c>
      <c r="P1682" s="73">
        <v>-80</v>
      </c>
      <c r="Q1682" s="73">
        <v>-59</v>
      </c>
      <c r="R1682" s="73">
        <v>0</v>
      </c>
      <c r="S1682" s="73">
        <v>0</v>
      </c>
      <c r="T1682" s="73">
        <v>0</v>
      </c>
      <c r="U1682" s="73">
        <v>0</v>
      </c>
      <c r="V1682" s="73">
        <v>0</v>
      </c>
      <c r="W1682" s="73">
        <v>0</v>
      </c>
      <c r="X1682" s="73">
        <v>0</v>
      </c>
      <c r="Y1682" s="73">
        <v>0</v>
      </c>
      <c r="Z1682" s="73">
        <v>2643</v>
      </c>
      <c r="AA1682" s="73">
        <v>1956</v>
      </c>
      <c r="AB1682" s="73">
        <v>0</v>
      </c>
      <c r="AC1682" s="73">
        <v>0</v>
      </c>
      <c r="AD1682" s="73">
        <v>0</v>
      </c>
      <c r="AE1682" s="73">
        <v>0</v>
      </c>
      <c r="AF1682" s="74">
        <f>tblData[[#This Row],[Gross Sales]]+tblData[[#This Row],[Trade Discounts]]+tblData[[#This Row],[Returns]]</f>
        <v>1611</v>
      </c>
      <c r="AG1682" s="74">
        <f>tblData[[#This Row],[Material Cost]]+tblData[[#This Row],[Conversion Cost]]+tblData[[#This Row],[Inbound Freight]]</f>
        <v>-658</v>
      </c>
      <c r="AH1682" s="74">
        <f>tblData[[#This Row],[Net Revenue]]+tblData[[#This Row],[COGS]]</f>
        <v>953</v>
      </c>
      <c r="AI1682" s="74">
        <f>tblData[[#This Row],[Advertising]]+tblData[[#This Row],[Promotions]]</f>
        <v>-202</v>
      </c>
      <c r="AJ1682" s="74">
        <f>tblData[[#This Row],[Outbound Logistics]]+tblData[[#This Row],[Direct Selling]]</f>
        <v>-139</v>
      </c>
      <c r="AK1682" s="74">
        <f>tblData[[#This Row],[Gross Profit]]+tblData[[#This Row],[AP Spend]]+tblData[[#This Row],[Cost to Serve]]</f>
        <v>612</v>
      </c>
    </row>
    <row r="1683" spans="2:37" x14ac:dyDescent="0.25">
      <c r="B1683" s="71" t="s">
        <v>36</v>
      </c>
      <c r="C1683" s="71">
        <v>2026</v>
      </c>
      <c r="D1683" s="71">
        <v>9</v>
      </c>
      <c r="E1683" s="71" t="s">
        <v>44</v>
      </c>
      <c r="F1683" s="71" t="s">
        <v>42</v>
      </c>
      <c r="G1683" s="72">
        <v>211.7</v>
      </c>
      <c r="H1683" s="73">
        <v>1270</v>
      </c>
      <c r="I1683" s="73">
        <v>-206</v>
      </c>
      <c r="J1683" s="73">
        <v>-15</v>
      </c>
      <c r="K1683" s="73">
        <v>-408</v>
      </c>
      <c r="L1683" s="73">
        <v>-101</v>
      </c>
      <c r="M1683" s="73">
        <v>-63</v>
      </c>
      <c r="N1683" s="73">
        <v>-25</v>
      </c>
      <c r="O1683" s="73">
        <v>-15</v>
      </c>
      <c r="P1683" s="73">
        <v>-52</v>
      </c>
      <c r="Q1683" s="73">
        <v>-38</v>
      </c>
      <c r="R1683" s="73">
        <v>0</v>
      </c>
      <c r="S1683" s="73">
        <v>0</v>
      </c>
      <c r="T1683" s="73">
        <v>0</v>
      </c>
      <c r="U1683" s="73">
        <v>0</v>
      </c>
      <c r="V1683" s="73">
        <v>0</v>
      </c>
      <c r="W1683" s="73">
        <v>0</v>
      </c>
      <c r="X1683" s="73">
        <v>0</v>
      </c>
      <c r="Y1683" s="73">
        <v>0</v>
      </c>
      <c r="Z1683" s="73">
        <v>1717</v>
      </c>
      <c r="AA1683" s="73">
        <v>2206</v>
      </c>
      <c r="AB1683" s="73">
        <v>0</v>
      </c>
      <c r="AC1683" s="73">
        <v>0</v>
      </c>
      <c r="AD1683" s="73">
        <v>0</v>
      </c>
      <c r="AE1683" s="73">
        <v>0</v>
      </c>
      <c r="AF1683" s="74">
        <f>tblData[[#This Row],[Gross Sales]]+tblData[[#This Row],[Trade Discounts]]+tblData[[#This Row],[Returns]]</f>
        <v>1049</v>
      </c>
      <c r="AG1683" s="74">
        <f>tblData[[#This Row],[Material Cost]]+tblData[[#This Row],[Conversion Cost]]+tblData[[#This Row],[Inbound Freight]]</f>
        <v>-572</v>
      </c>
      <c r="AH1683" s="74">
        <f>tblData[[#This Row],[Net Revenue]]+tblData[[#This Row],[COGS]]</f>
        <v>477</v>
      </c>
      <c r="AI1683" s="74">
        <f>tblData[[#This Row],[Advertising]]+tblData[[#This Row],[Promotions]]</f>
        <v>-40</v>
      </c>
      <c r="AJ1683" s="74">
        <f>tblData[[#This Row],[Outbound Logistics]]+tblData[[#This Row],[Direct Selling]]</f>
        <v>-90</v>
      </c>
      <c r="AK1683" s="74">
        <f>tblData[[#This Row],[Gross Profit]]+tblData[[#This Row],[AP Spend]]+tblData[[#This Row],[Cost to Serve]]</f>
        <v>347</v>
      </c>
    </row>
    <row r="1684" spans="2:37" x14ac:dyDescent="0.25">
      <c r="B1684" s="71" t="s">
        <v>36</v>
      </c>
      <c r="C1684" s="71">
        <v>2026</v>
      </c>
      <c r="D1684" s="71">
        <v>9</v>
      </c>
      <c r="E1684" s="71" t="s">
        <v>44</v>
      </c>
      <c r="F1684" s="71" t="s">
        <v>43</v>
      </c>
      <c r="G1684" s="72">
        <v>40.5</v>
      </c>
      <c r="H1684" s="73">
        <v>732</v>
      </c>
      <c r="I1684" s="73">
        <v>-119</v>
      </c>
      <c r="J1684" s="73">
        <v>-9</v>
      </c>
      <c r="K1684" s="73">
        <v>-203</v>
      </c>
      <c r="L1684" s="73">
        <v>-50</v>
      </c>
      <c r="M1684" s="73">
        <v>-31</v>
      </c>
      <c r="N1684" s="73">
        <v>-69</v>
      </c>
      <c r="O1684" s="73">
        <v>-41</v>
      </c>
      <c r="P1684" s="73">
        <v>-30</v>
      </c>
      <c r="Q1684" s="73">
        <v>-22</v>
      </c>
      <c r="R1684" s="73">
        <v>0</v>
      </c>
      <c r="S1684" s="73">
        <v>0</v>
      </c>
      <c r="T1684" s="73">
        <v>0</v>
      </c>
      <c r="U1684" s="73">
        <v>0</v>
      </c>
      <c r="V1684" s="73">
        <v>0</v>
      </c>
      <c r="W1684" s="73">
        <v>0</v>
      </c>
      <c r="X1684" s="73">
        <v>0</v>
      </c>
      <c r="Y1684" s="73">
        <v>0</v>
      </c>
      <c r="Z1684" s="73">
        <v>978</v>
      </c>
      <c r="AA1684" s="73">
        <v>1093</v>
      </c>
      <c r="AB1684" s="73">
        <v>0</v>
      </c>
      <c r="AC1684" s="73">
        <v>0</v>
      </c>
      <c r="AD1684" s="73">
        <v>0</v>
      </c>
      <c r="AE1684" s="73">
        <v>0</v>
      </c>
      <c r="AF1684" s="74">
        <f>tblData[[#This Row],[Gross Sales]]+tblData[[#This Row],[Trade Discounts]]+tblData[[#This Row],[Returns]]</f>
        <v>604</v>
      </c>
      <c r="AG1684" s="74">
        <f>tblData[[#This Row],[Material Cost]]+tblData[[#This Row],[Conversion Cost]]+tblData[[#This Row],[Inbound Freight]]</f>
        <v>-284</v>
      </c>
      <c r="AH1684" s="74">
        <f>tblData[[#This Row],[Net Revenue]]+tblData[[#This Row],[COGS]]</f>
        <v>320</v>
      </c>
      <c r="AI1684" s="74">
        <f>tblData[[#This Row],[Advertising]]+tblData[[#This Row],[Promotions]]</f>
        <v>-110</v>
      </c>
      <c r="AJ1684" s="74">
        <f>tblData[[#This Row],[Outbound Logistics]]+tblData[[#This Row],[Direct Selling]]</f>
        <v>-52</v>
      </c>
      <c r="AK1684" s="74">
        <f>tblData[[#This Row],[Gross Profit]]+tblData[[#This Row],[AP Spend]]+tblData[[#This Row],[Cost to Serve]]</f>
        <v>158</v>
      </c>
    </row>
    <row r="1685" spans="2:37" x14ac:dyDescent="0.25">
      <c r="B1685" s="71" t="s">
        <v>36</v>
      </c>
      <c r="C1685" s="71">
        <v>2026</v>
      </c>
      <c r="D1685" s="71">
        <v>9</v>
      </c>
      <c r="E1685" s="71" t="s">
        <v>45</v>
      </c>
      <c r="F1685" s="71" t="s">
        <v>38</v>
      </c>
      <c r="G1685" s="72">
        <v>154.30000000000001</v>
      </c>
      <c r="H1685" s="73">
        <v>2156</v>
      </c>
      <c r="I1685" s="73">
        <v>-500</v>
      </c>
      <c r="J1685" s="73">
        <v>-22</v>
      </c>
      <c r="K1685" s="73">
        <v>-473</v>
      </c>
      <c r="L1685" s="73">
        <v>-116</v>
      </c>
      <c r="M1685" s="73">
        <v>-72</v>
      </c>
      <c r="N1685" s="73">
        <v>-121</v>
      </c>
      <c r="O1685" s="73">
        <v>-71</v>
      </c>
      <c r="P1685" s="73">
        <v>-78</v>
      </c>
      <c r="Q1685" s="73">
        <v>-43</v>
      </c>
      <c r="R1685" s="73">
        <v>0</v>
      </c>
      <c r="S1685" s="73">
        <v>0</v>
      </c>
      <c r="T1685" s="73">
        <v>0</v>
      </c>
      <c r="U1685" s="73">
        <v>0</v>
      </c>
      <c r="V1685" s="73">
        <v>0</v>
      </c>
      <c r="W1685" s="73">
        <v>0</v>
      </c>
      <c r="X1685" s="73">
        <v>0</v>
      </c>
      <c r="Y1685" s="73">
        <v>0</v>
      </c>
      <c r="Z1685" s="73">
        <v>2446</v>
      </c>
      <c r="AA1685" s="73">
        <v>2083</v>
      </c>
      <c r="AB1685" s="73">
        <v>0</v>
      </c>
      <c r="AC1685" s="73">
        <v>0</v>
      </c>
      <c r="AD1685" s="73">
        <v>0</v>
      </c>
      <c r="AE1685" s="73">
        <v>0</v>
      </c>
      <c r="AF1685" s="74">
        <f>tblData[[#This Row],[Gross Sales]]+tblData[[#This Row],[Trade Discounts]]+tblData[[#This Row],[Returns]]</f>
        <v>1634</v>
      </c>
      <c r="AG1685" s="74">
        <f>tblData[[#This Row],[Material Cost]]+tblData[[#This Row],[Conversion Cost]]+tblData[[#This Row],[Inbound Freight]]</f>
        <v>-661</v>
      </c>
      <c r="AH1685" s="74">
        <f>tblData[[#This Row],[Net Revenue]]+tblData[[#This Row],[COGS]]</f>
        <v>973</v>
      </c>
      <c r="AI1685" s="74">
        <f>tblData[[#This Row],[Advertising]]+tblData[[#This Row],[Promotions]]</f>
        <v>-192</v>
      </c>
      <c r="AJ1685" s="74">
        <f>tblData[[#This Row],[Outbound Logistics]]+tblData[[#This Row],[Direct Selling]]</f>
        <v>-121</v>
      </c>
      <c r="AK1685" s="74">
        <f>tblData[[#This Row],[Gross Profit]]+tblData[[#This Row],[AP Spend]]+tblData[[#This Row],[Cost to Serve]]</f>
        <v>660</v>
      </c>
    </row>
    <row r="1686" spans="2:37" x14ac:dyDescent="0.25">
      <c r="B1686" s="71" t="s">
        <v>36</v>
      </c>
      <c r="C1686" s="71">
        <v>2026</v>
      </c>
      <c r="D1686" s="71">
        <v>9</v>
      </c>
      <c r="E1686" s="71" t="s">
        <v>45</v>
      </c>
      <c r="F1686" s="71" t="s">
        <v>39</v>
      </c>
      <c r="G1686" s="72">
        <v>198.8</v>
      </c>
      <c r="H1686" s="73">
        <v>1778</v>
      </c>
      <c r="I1686" s="73">
        <v>-413</v>
      </c>
      <c r="J1686" s="73">
        <v>-18</v>
      </c>
      <c r="K1686" s="73">
        <v>-468</v>
      </c>
      <c r="L1686" s="73">
        <v>-115</v>
      </c>
      <c r="M1686" s="73">
        <v>-72</v>
      </c>
      <c r="N1686" s="73">
        <v>-69</v>
      </c>
      <c r="O1686" s="73">
        <v>-41</v>
      </c>
      <c r="P1686" s="73">
        <v>-64</v>
      </c>
      <c r="Q1686" s="73">
        <v>-36</v>
      </c>
      <c r="R1686" s="73">
        <v>0</v>
      </c>
      <c r="S1686" s="73">
        <v>0</v>
      </c>
      <c r="T1686" s="73">
        <v>0</v>
      </c>
      <c r="U1686" s="73">
        <v>0</v>
      </c>
      <c r="V1686" s="73">
        <v>0</v>
      </c>
      <c r="W1686" s="73">
        <v>0</v>
      </c>
      <c r="X1686" s="73">
        <v>0</v>
      </c>
      <c r="Y1686" s="73">
        <v>0</v>
      </c>
      <c r="Z1686" s="73">
        <v>2030</v>
      </c>
      <c r="AA1686" s="73">
        <v>1766</v>
      </c>
      <c r="AB1686" s="73">
        <v>0</v>
      </c>
      <c r="AC1686" s="73">
        <v>0</v>
      </c>
      <c r="AD1686" s="73">
        <v>0</v>
      </c>
      <c r="AE1686" s="73">
        <v>0</v>
      </c>
      <c r="AF1686" s="74">
        <f>tblData[[#This Row],[Gross Sales]]+tblData[[#This Row],[Trade Discounts]]+tblData[[#This Row],[Returns]]</f>
        <v>1347</v>
      </c>
      <c r="AG1686" s="74">
        <f>tblData[[#This Row],[Material Cost]]+tblData[[#This Row],[Conversion Cost]]+tblData[[#This Row],[Inbound Freight]]</f>
        <v>-655</v>
      </c>
      <c r="AH1686" s="74">
        <f>tblData[[#This Row],[Net Revenue]]+tblData[[#This Row],[COGS]]</f>
        <v>692</v>
      </c>
      <c r="AI1686" s="74">
        <f>tblData[[#This Row],[Advertising]]+tblData[[#This Row],[Promotions]]</f>
        <v>-110</v>
      </c>
      <c r="AJ1686" s="74">
        <f>tblData[[#This Row],[Outbound Logistics]]+tblData[[#This Row],[Direct Selling]]</f>
        <v>-100</v>
      </c>
      <c r="AK1686" s="74">
        <f>tblData[[#This Row],[Gross Profit]]+tblData[[#This Row],[AP Spend]]+tblData[[#This Row],[Cost to Serve]]</f>
        <v>482</v>
      </c>
    </row>
    <row r="1687" spans="2:37" x14ac:dyDescent="0.25">
      <c r="B1687" s="71" t="s">
        <v>36</v>
      </c>
      <c r="C1687" s="71">
        <v>2026</v>
      </c>
      <c r="D1687" s="71">
        <v>9</v>
      </c>
      <c r="E1687" s="71" t="s">
        <v>45</v>
      </c>
      <c r="F1687" s="71" t="s">
        <v>40</v>
      </c>
      <c r="G1687" s="72">
        <v>195.6</v>
      </c>
      <c r="H1687" s="73">
        <v>1358</v>
      </c>
      <c r="I1687" s="73">
        <v>-315</v>
      </c>
      <c r="J1687" s="73">
        <v>-14</v>
      </c>
      <c r="K1687" s="73">
        <v>-397</v>
      </c>
      <c r="L1687" s="73">
        <v>-98</v>
      </c>
      <c r="M1687" s="73">
        <v>-61</v>
      </c>
      <c r="N1687" s="73">
        <v>-35</v>
      </c>
      <c r="O1687" s="73">
        <v>-20</v>
      </c>
      <c r="P1687" s="73">
        <v>-49</v>
      </c>
      <c r="Q1687" s="73">
        <v>-27</v>
      </c>
      <c r="R1687" s="73">
        <v>0</v>
      </c>
      <c r="S1687" s="73">
        <v>0</v>
      </c>
      <c r="T1687" s="73">
        <v>0</v>
      </c>
      <c r="U1687" s="73">
        <v>0</v>
      </c>
      <c r="V1687" s="73">
        <v>0</v>
      </c>
      <c r="W1687" s="73">
        <v>0</v>
      </c>
      <c r="X1687" s="73">
        <v>0</v>
      </c>
      <c r="Y1687" s="73">
        <v>0</v>
      </c>
      <c r="Z1687" s="73">
        <v>1511</v>
      </c>
      <c r="AA1687" s="73">
        <v>1376</v>
      </c>
      <c r="AB1687" s="73">
        <v>0</v>
      </c>
      <c r="AC1687" s="73">
        <v>0</v>
      </c>
      <c r="AD1687" s="73">
        <v>0</v>
      </c>
      <c r="AE1687" s="73">
        <v>0</v>
      </c>
      <c r="AF1687" s="74">
        <f>tblData[[#This Row],[Gross Sales]]+tblData[[#This Row],[Trade Discounts]]+tblData[[#This Row],[Returns]]</f>
        <v>1029</v>
      </c>
      <c r="AG1687" s="74">
        <f>tblData[[#This Row],[Material Cost]]+tblData[[#This Row],[Conversion Cost]]+tblData[[#This Row],[Inbound Freight]]</f>
        <v>-556</v>
      </c>
      <c r="AH1687" s="74">
        <f>tblData[[#This Row],[Net Revenue]]+tblData[[#This Row],[COGS]]</f>
        <v>473</v>
      </c>
      <c r="AI1687" s="74">
        <f>tblData[[#This Row],[Advertising]]+tblData[[#This Row],[Promotions]]</f>
        <v>-55</v>
      </c>
      <c r="AJ1687" s="74">
        <f>tblData[[#This Row],[Outbound Logistics]]+tblData[[#This Row],[Direct Selling]]</f>
        <v>-76</v>
      </c>
      <c r="AK1687" s="74">
        <f>tblData[[#This Row],[Gross Profit]]+tblData[[#This Row],[AP Spend]]+tblData[[#This Row],[Cost to Serve]]</f>
        <v>342</v>
      </c>
    </row>
    <row r="1688" spans="2:37" x14ac:dyDescent="0.25">
      <c r="B1688" s="71" t="s">
        <v>36</v>
      </c>
      <c r="C1688" s="71">
        <v>2026</v>
      </c>
      <c r="D1688" s="71">
        <v>9</v>
      </c>
      <c r="E1688" s="71" t="s">
        <v>45</v>
      </c>
      <c r="F1688" s="71" t="s">
        <v>41</v>
      </c>
      <c r="G1688" s="72">
        <v>95.7</v>
      </c>
      <c r="H1688" s="73">
        <v>1048</v>
      </c>
      <c r="I1688" s="73">
        <v>-243</v>
      </c>
      <c r="J1688" s="73">
        <v>-10</v>
      </c>
      <c r="K1688" s="73">
        <v>-253</v>
      </c>
      <c r="L1688" s="73">
        <v>-62</v>
      </c>
      <c r="M1688" s="73">
        <v>-39</v>
      </c>
      <c r="N1688" s="73">
        <v>-74</v>
      </c>
      <c r="O1688" s="73">
        <v>-44</v>
      </c>
      <c r="P1688" s="73">
        <v>-38</v>
      </c>
      <c r="Q1688" s="73">
        <v>-21</v>
      </c>
      <c r="R1688" s="73">
        <v>0</v>
      </c>
      <c r="S1688" s="73">
        <v>0</v>
      </c>
      <c r="T1688" s="73">
        <v>0</v>
      </c>
      <c r="U1688" s="73">
        <v>0</v>
      </c>
      <c r="V1688" s="73">
        <v>0</v>
      </c>
      <c r="W1688" s="73">
        <v>0</v>
      </c>
      <c r="X1688" s="73">
        <v>0</v>
      </c>
      <c r="Y1688" s="73">
        <v>0</v>
      </c>
      <c r="Z1688" s="73">
        <v>1205</v>
      </c>
      <c r="AA1688" s="73">
        <v>1073</v>
      </c>
      <c r="AB1688" s="73">
        <v>0</v>
      </c>
      <c r="AC1688" s="73">
        <v>0</v>
      </c>
      <c r="AD1688" s="73">
        <v>0</v>
      </c>
      <c r="AE1688" s="73">
        <v>0</v>
      </c>
      <c r="AF1688" s="74">
        <f>tblData[[#This Row],[Gross Sales]]+tblData[[#This Row],[Trade Discounts]]+tblData[[#This Row],[Returns]]</f>
        <v>795</v>
      </c>
      <c r="AG1688" s="74">
        <f>tblData[[#This Row],[Material Cost]]+tblData[[#This Row],[Conversion Cost]]+tblData[[#This Row],[Inbound Freight]]</f>
        <v>-354</v>
      </c>
      <c r="AH1688" s="74">
        <f>tblData[[#This Row],[Net Revenue]]+tblData[[#This Row],[COGS]]</f>
        <v>441</v>
      </c>
      <c r="AI1688" s="74">
        <f>tblData[[#This Row],[Advertising]]+tblData[[#This Row],[Promotions]]</f>
        <v>-118</v>
      </c>
      <c r="AJ1688" s="74">
        <f>tblData[[#This Row],[Outbound Logistics]]+tblData[[#This Row],[Direct Selling]]</f>
        <v>-59</v>
      </c>
      <c r="AK1688" s="74">
        <f>tblData[[#This Row],[Gross Profit]]+tblData[[#This Row],[AP Spend]]+tblData[[#This Row],[Cost to Serve]]</f>
        <v>264</v>
      </c>
    </row>
    <row r="1689" spans="2:37" x14ac:dyDescent="0.25">
      <c r="B1689" s="71" t="s">
        <v>36</v>
      </c>
      <c r="C1689" s="71">
        <v>2026</v>
      </c>
      <c r="D1689" s="71">
        <v>9</v>
      </c>
      <c r="E1689" s="71" t="s">
        <v>45</v>
      </c>
      <c r="F1689" s="71" t="s">
        <v>42</v>
      </c>
      <c r="G1689" s="72">
        <v>121.7</v>
      </c>
      <c r="H1689" s="73">
        <v>721</v>
      </c>
      <c r="I1689" s="73">
        <v>-167</v>
      </c>
      <c r="J1689" s="73">
        <v>-7</v>
      </c>
      <c r="K1689" s="73">
        <v>-232</v>
      </c>
      <c r="L1689" s="73">
        <v>-57</v>
      </c>
      <c r="M1689" s="73">
        <v>-36</v>
      </c>
      <c r="N1689" s="73">
        <v>-14</v>
      </c>
      <c r="O1689" s="73">
        <v>-9</v>
      </c>
      <c r="P1689" s="73">
        <v>-26</v>
      </c>
      <c r="Q1689" s="73">
        <v>-14</v>
      </c>
      <c r="R1689" s="73">
        <v>0</v>
      </c>
      <c r="S1689" s="73">
        <v>0</v>
      </c>
      <c r="T1689" s="73">
        <v>0</v>
      </c>
      <c r="U1689" s="73">
        <v>0</v>
      </c>
      <c r="V1689" s="73">
        <v>0</v>
      </c>
      <c r="W1689" s="73">
        <v>0</v>
      </c>
      <c r="X1689" s="73">
        <v>0</v>
      </c>
      <c r="Y1689" s="73">
        <v>0</v>
      </c>
      <c r="Z1689" s="73">
        <v>792</v>
      </c>
      <c r="AA1689" s="73">
        <v>1225</v>
      </c>
      <c r="AB1689" s="73">
        <v>0</v>
      </c>
      <c r="AC1689" s="73">
        <v>0</v>
      </c>
      <c r="AD1689" s="73">
        <v>0</v>
      </c>
      <c r="AE1689" s="73">
        <v>0</v>
      </c>
      <c r="AF1689" s="74">
        <f>tblData[[#This Row],[Gross Sales]]+tblData[[#This Row],[Trade Discounts]]+tblData[[#This Row],[Returns]]</f>
        <v>547</v>
      </c>
      <c r="AG1689" s="74">
        <f>tblData[[#This Row],[Material Cost]]+tblData[[#This Row],[Conversion Cost]]+tblData[[#This Row],[Inbound Freight]]</f>
        <v>-325</v>
      </c>
      <c r="AH1689" s="74">
        <f>tblData[[#This Row],[Net Revenue]]+tblData[[#This Row],[COGS]]</f>
        <v>222</v>
      </c>
      <c r="AI1689" s="74">
        <f>tblData[[#This Row],[Advertising]]+tblData[[#This Row],[Promotions]]</f>
        <v>-23</v>
      </c>
      <c r="AJ1689" s="74">
        <f>tblData[[#This Row],[Outbound Logistics]]+tblData[[#This Row],[Direct Selling]]</f>
        <v>-40</v>
      </c>
      <c r="AK1689" s="74">
        <f>tblData[[#This Row],[Gross Profit]]+tblData[[#This Row],[AP Spend]]+tblData[[#This Row],[Cost to Serve]]</f>
        <v>159</v>
      </c>
    </row>
    <row r="1690" spans="2:37" x14ac:dyDescent="0.25">
      <c r="B1690" s="71" t="s">
        <v>36</v>
      </c>
      <c r="C1690" s="71">
        <v>2026</v>
      </c>
      <c r="D1690" s="71">
        <v>9</v>
      </c>
      <c r="E1690" s="71" t="s">
        <v>45</v>
      </c>
      <c r="F1690" s="71" t="s">
        <v>43</v>
      </c>
      <c r="G1690" s="72">
        <v>22.5</v>
      </c>
      <c r="H1690" s="73">
        <v>402</v>
      </c>
      <c r="I1690" s="73">
        <v>-93</v>
      </c>
      <c r="J1690" s="73">
        <v>-4</v>
      </c>
      <c r="K1690" s="73">
        <v>-112</v>
      </c>
      <c r="L1690" s="73">
        <v>-27</v>
      </c>
      <c r="M1690" s="73">
        <v>-17</v>
      </c>
      <c r="N1690" s="73">
        <v>-40</v>
      </c>
      <c r="O1690" s="73">
        <v>-24</v>
      </c>
      <c r="P1690" s="73">
        <v>-14</v>
      </c>
      <c r="Q1690" s="73">
        <v>-8</v>
      </c>
      <c r="R1690" s="73">
        <v>0</v>
      </c>
      <c r="S1690" s="73">
        <v>0</v>
      </c>
      <c r="T1690" s="73">
        <v>0</v>
      </c>
      <c r="U1690" s="73">
        <v>0</v>
      </c>
      <c r="V1690" s="73">
        <v>0</v>
      </c>
      <c r="W1690" s="73">
        <v>0</v>
      </c>
      <c r="X1690" s="73">
        <v>0</v>
      </c>
      <c r="Y1690" s="73">
        <v>0</v>
      </c>
      <c r="Z1690" s="73">
        <v>446</v>
      </c>
      <c r="AA1690" s="73">
        <v>600</v>
      </c>
      <c r="AB1690" s="73">
        <v>0</v>
      </c>
      <c r="AC1690" s="73">
        <v>0</v>
      </c>
      <c r="AD1690" s="73">
        <v>0</v>
      </c>
      <c r="AE1690" s="73">
        <v>0</v>
      </c>
      <c r="AF1690" s="74">
        <f>tblData[[#This Row],[Gross Sales]]+tblData[[#This Row],[Trade Discounts]]+tblData[[#This Row],[Returns]]</f>
        <v>305</v>
      </c>
      <c r="AG1690" s="74">
        <f>tblData[[#This Row],[Material Cost]]+tblData[[#This Row],[Conversion Cost]]+tblData[[#This Row],[Inbound Freight]]</f>
        <v>-156</v>
      </c>
      <c r="AH1690" s="74">
        <f>tblData[[#This Row],[Net Revenue]]+tblData[[#This Row],[COGS]]</f>
        <v>149</v>
      </c>
      <c r="AI1690" s="74">
        <f>tblData[[#This Row],[Advertising]]+tblData[[#This Row],[Promotions]]</f>
        <v>-64</v>
      </c>
      <c r="AJ1690" s="74">
        <f>tblData[[#This Row],[Outbound Logistics]]+tblData[[#This Row],[Direct Selling]]</f>
        <v>-22</v>
      </c>
      <c r="AK1690" s="74">
        <f>tblData[[#This Row],[Gross Profit]]+tblData[[#This Row],[AP Spend]]+tblData[[#This Row],[Cost to Serve]]</f>
        <v>63</v>
      </c>
    </row>
    <row r="1691" spans="2:37" x14ac:dyDescent="0.25">
      <c r="B1691" s="71" t="s">
        <v>36</v>
      </c>
      <c r="C1691" s="71">
        <v>2026</v>
      </c>
      <c r="D1691" s="71">
        <v>9</v>
      </c>
      <c r="E1691" s="71" t="s">
        <v>46</v>
      </c>
      <c r="F1691" s="71" t="s">
        <v>38</v>
      </c>
      <c r="G1691" s="72">
        <v>201.3</v>
      </c>
      <c r="H1691" s="73">
        <v>2841</v>
      </c>
      <c r="I1691" s="73">
        <v>-307</v>
      </c>
      <c r="J1691" s="73">
        <v>-114</v>
      </c>
      <c r="K1691" s="73">
        <v>-623</v>
      </c>
      <c r="L1691" s="73">
        <v>-153</v>
      </c>
      <c r="M1691" s="73">
        <v>-95</v>
      </c>
      <c r="N1691" s="73">
        <v>-138</v>
      </c>
      <c r="O1691" s="73">
        <v>-82</v>
      </c>
      <c r="P1691" s="73">
        <v>-219</v>
      </c>
      <c r="Q1691" s="73">
        <v>-57</v>
      </c>
      <c r="R1691" s="73">
        <v>0</v>
      </c>
      <c r="S1691" s="73">
        <v>0</v>
      </c>
      <c r="T1691" s="73">
        <v>0</v>
      </c>
      <c r="U1691" s="73">
        <v>0</v>
      </c>
      <c r="V1691" s="73">
        <v>0</v>
      </c>
      <c r="W1691" s="73">
        <v>0</v>
      </c>
      <c r="X1691" s="73">
        <v>0</v>
      </c>
      <c r="Y1691" s="73">
        <v>0</v>
      </c>
      <c r="Z1691" s="73">
        <v>2089</v>
      </c>
      <c r="AA1691" s="73">
        <v>2714</v>
      </c>
      <c r="AB1691" s="73">
        <v>0</v>
      </c>
      <c r="AC1691" s="73">
        <v>0</v>
      </c>
      <c r="AD1691" s="73">
        <v>0</v>
      </c>
      <c r="AE1691" s="73">
        <v>0</v>
      </c>
      <c r="AF1691" s="74">
        <f>tblData[[#This Row],[Gross Sales]]+tblData[[#This Row],[Trade Discounts]]+tblData[[#This Row],[Returns]]</f>
        <v>2420</v>
      </c>
      <c r="AG1691" s="74">
        <f>tblData[[#This Row],[Material Cost]]+tblData[[#This Row],[Conversion Cost]]+tblData[[#This Row],[Inbound Freight]]</f>
        <v>-871</v>
      </c>
      <c r="AH1691" s="74">
        <f>tblData[[#This Row],[Net Revenue]]+tblData[[#This Row],[COGS]]</f>
        <v>1549</v>
      </c>
      <c r="AI1691" s="74">
        <f>tblData[[#This Row],[Advertising]]+tblData[[#This Row],[Promotions]]</f>
        <v>-220</v>
      </c>
      <c r="AJ1691" s="74">
        <f>tblData[[#This Row],[Outbound Logistics]]+tblData[[#This Row],[Direct Selling]]</f>
        <v>-276</v>
      </c>
      <c r="AK1691" s="74">
        <f>tblData[[#This Row],[Gross Profit]]+tblData[[#This Row],[AP Spend]]+tblData[[#This Row],[Cost to Serve]]</f>
        <v>1053</v>
      </c>
    </row>
    <row r="1692" spans="2:37" x14ac:dyDescent="0.25">
      <c r="B1692" s="71" t="s">
        <v>36</v>
      </c>
      <c r="C1692" s="71">
        <v>2026</v>
      </c>
      <c r="D1692" s="71">
        <v>9</v>
      </c>
      <c r="E1692" s="71" t="s">
        <v>46</v>
      </c>
      <c r="F1692" s="71" t="s">
        <v>39</v>
      </c>
      <c r="G1692" s="72">
        <v>262.89999999999998</v>
      </c>
      <c r="H1692" s="73">
        <v>2376</v>
      </c>
      <c r="I1692" s="73">
        <v>-257</v>
      </c>
      <c r="J1692" s="73">
        <v>-95</v>
      </c>
      <c r="K1692" s="73">
        <v>-625</v>
      </c>
      <c r="L1692" s="73">
        <v>-154</v>
      </c>
      <c r="M1692" s="73">
        <v>-96</v>
      </c>
      <c r="N1692" s="73">
        <v>-79</v>
      </c>
      <c r="O1692" s="73">
        <v>-47</v>
      </c>
      <c r="P1692" s="73">
        <v>-184</v>
      </c>
      <c r="Q1692" s="73">
        <v>-48</v>
      </c>
      <c r="R1692" s="73">
        <v>0</v>
      </c>
      <c r="S1692" s="73">
        <v>0</v>
      </c>
      <c r="T1692" s="73">
        <v>0</v>
      </c>
      <c r="U1692" s="73">
        <v>0</v>
      </c>
      <c r="V1692" s="73">
        <v>0</v>
      </c>
      <c r="W1692" s="73">
        <v>0</v>
      </c>
      <c r="X1692" s="73">
        <v>0</v>
      </c>
      <c r="Y1692" s="73">
        <v>0</v>
      </c>
      <c r="Z1692" s="73">
        <v>1757</v>
      </c>
      <c r="AA1692" s="73">
        <v>2332</v>
      </c>
      <c r="AB1692" s="73">
        <v>0</v>
      </c>
      <c r="AC1692" s="73">
        <v>0</v>
      </c>
      <c r="AD1692" s="73">
        <v>0</v>
      </c>
      <c r="AE1692" s="73">
        <v>0</v>
      </c>
      <c r="AF1692" s="74">
        <f>tblData[[#This Row],[Gross Sales]]+tblData[[#This Row],[Trade Discounts]]+tblData[[#This Row],[Returns]]</f>
        <v>2024</v>
      </c>
      <c r="AG1692" s="74">
        <f>tblData[[#This Row],[Material Cost]]+tblData[[#This Row],[Conversion Cost]]+tblData[[#This Row],[Inbound Freight]]</f>
        <v>-875</v>
      </c>
      <c r="AH1692" s="74">
        <f>tblData[[#This Row],[Net Revenue]]+tblData[[#This Row],[COGS]]</f>
        <v>1149</v>
      </c>
      <c r="AI1692" s="74">
        <f>tblData[[#This Row],[Advertising]]+tblData[[#This Row],[Promotions]]</f>
        <v>-126</v>
      </c>
      <c r="AJ1692" s="74">
        <f>tblData[[#This Row],[Outbound Logistics]]+tblData[[#This Row],[Direct Selling]]</f>
        <v>-232</v>
      </c>
      <c r="AK1692" s="74">
        <f>tblData[[#This Row],[Gross Profit]]+tblData[[#This Row],[AP Spend]]+tblData[[#This Row],[Cost to Serve]]</f>
        <v>791</v>
      </c>
    </row>
    <row r="1693" spans="2:37" x14ac:dyDescent="0.25">
      <c r="B1693" s="71" t="s">
        <v>36</v>
      </c>
      <c r="C1693" s="71">
        <v>2026</v>
      </c>
      <c r="D1693" s="71">
        <v>9</v>
      </c>
      <c r="E1693" s="71" t="s">
        <v>46</v>
      </c>
      <c r="F1693" s="71" t="s">
        <v>40</v>
      </c>
      <c r="G1693" s="72">
        <v>248.7</v>
      </c>
      <c r="H1693" s="73">
        <v>1744</v>
      </c>
      <c r="I1693" s="73">
        <v>-188</v>
      </c>
      <c r="J1693" s="73">
        <v>-70</v>
      </c>
      <c r="K1693" s="73">
        <v>-510</v>
      </c>
      <c r="L1693" s="73">
        <v>-126</v>
      </c>
      <c r="M1693" s="73">
        <v>-78</v>
      </c>
      <c r="N1693" s="73">
        <v>-39</v>
      </c>
      <c r="O1693" s="73">
        <v>-23</v>
      </c>
      <c r="P1693" s="73">
        <v>-135</v>
      </c>
      <c r="Q1693" s="73">
        <v>-35</v>
      </c>
      <c r="R1693" s="73">
        <v>0</v>
      </c>
      <c r="S1693" s="73">
        <v>0</v>
      </c>
      <c r="T1693" s="73">
        <v>0</v>
      </c>
      <c r="U1693" s="73">
        <v>0</v>
      </c>
      <c r="V1693" s="73">
        <v>0</v>
      </c>
      <c r="W1693" s="73">
        <v>0</v>
      </c>
      <c r="X1693" s="73">
        <v>0</v>
      </c>
      <c r="Y1693" s="73">
        <v>0</v>
      </c>
      <c r="Z1693" s="73">
        <v>1282</v>
      </c>
      <c r="AA1693" s="73">
        <v>1781</v>
      </c>
      <c r="AB1693" s="73">
        <v>0</v>
      </c>
      <c r="AC1693" s="73">
        <v>0</v>
      </c>
      <c r="AD1693" s="73">
        <v>0</v>
      </c>
      <c r="AE1693" s="73">
        <v>0</v>
      </c>
      <c r="AF1693" s="74">
        <f>tblData[[#This Row],[Gross Sales]]+tblData[[#This Row],[Trade Discounts]]+tblData[[#This Row],[Returns]]</f>
        <v>1486</v>
      </c>
      <c r="AG1693" s="74">
        <f>tblData[[#This Row],[Material Cost]]+tblData[[#This Row],[Conversion Cost]]+tblData[[#This Row],[Inbound Freight]]</f>
        <v>-714</v>
      </c>
      <c r="AH1693" s="74">
        <f>tblData[[#This Row],[Net Revenue]]+tblData[[#This Row],[COGS]]</f>
        <v>772</v>
      </c>
      <c r="AI1693" s="74">
        <f>tblData[[#This Row],[Advertising]]+tblData[[#This Row],[Promotions]]</f>
        <v>-62</v>
      </c>
      <c r="AJ1693" s="74">
        <f>tblData[[#This Row],[Outbound Logistics]]+tblData[[#This Row],[Direct Selling]]</f>
        <v>-170</v>
      </c>
      <c r="AK1693" s="74">
        <f>tblData[[#This Row],[Gross Profit]]+tblData[[#This Row],[AP Spend]]+tblData[[#This Row],[Cost to Serve]]</f>
        <v>540</v>
      </c>
    </row>
    <row r="1694" spans="2:37" x14ac:dyDescent="0.25">
      <c r="B1694" s="71" t="s">
        <v>36</v>
      </c>
      <c r="C1694" s="71">
        <v>2026</v>
      </c>
      <c r="D1694" s="71">
        <v>9</v>
      </c>
      <c r="E1694" s="71" t="s">
        <v>46</v>
      </c>
      <c r="F1694" s="71" t="s">
        <v>41</v>
      </c>
      <c r="G1694" s="72">
        <v>128.6</v>
      </c>
      <c r="H1694" s="73">
        <v>1421</v>
      </c>
      <c r="I1694" s="73">
        <v>-153</v>
      </c>
      <c r="J1694" s="73">
        <v>-57</v>
      </c>
      <c r="K1694" s="73">
        <v>-343</v>
      </c>
      <c r="L1694" s="73">
        <v>-84</v>
      </c>
      <c r="M1694" s="73">
        <v>-53</v>
      </c>
      <c r="N1694" s="73">
        <v>-84</v>
      </c>
      <c r="O1694" s="73">
        <v>-50</v>
      </c>
      <c r="P1694" s="73">
        <v>-110</v>
      </c>
      <c r="Q1694" s="73">
        <v>-28</v>
      </c>
      <c r="R1694" s="73">
        <v>0</v>
      </c>
      <c r="S1694" s="73">
        <v>0</v>
      </c>
      <c r="T1694" s="73">
        <v>0</v>
      </c>
      <c r="U1694" s="73">
        <v>0</v>
      </c>
      <c r="V1694" s="73">
        <v>0</v>
      </c>
      <c r="W1694" s="73">
        <v>0</v>
      </c>
      <c r="X1694" s="73">
        <v>0</v>
      </c>
      <c r="Y1694" s="73">
        <v>0</v>
      </c>
      <c r="Z1694" s="73">
        <v>1041</v>
      </c>
      <c r="AA1694" s="73">
        <v>1413</v>
      </c>
      <c r="AB1694" s="73">
        <v>0</v>
      </c>
      <c r="AC1694" s="73">
        <v>0</v>
      </c>
      <c r="AD1694" s="73">
        <v>0</v>
      </c>
      <c r="AE1694" s="73">
        <v>0</v>
      </c>
      <c r="AF1694" s="74">
        <f>tblData[[#This Row],[Gross Sales]]+tblData[[#This Row],[Trade Discounts]]+tblData[[#This Row],[Returns]]</f>
        <v>1211</v>
      </c>
      <c r="AG1694" s="74">
        <f>tblData[[#This Row],[Material Cost]]+tblData[[#This Row],[Conversion Cost]]+tblData[[#This Row],[Inbound Freight]]</f>
        <v>-480</v>
      </c>
      <c r="AH1694" s="74">
        <f>tblData[[#This Row],[Net Revenue]]+tblData[[#This Row],[COGS]]</f>
        <v>731</v>
      </c>
      <c r="AI1694" s="74">
        <f>tblData[[#This Row],[Advertising]]+tblData[[#This Row],[Promotions]]</f>
        <v>-134</v>
      </c>
      <c r="AJ1694" s="74">
        <f>tblData[[#This Row],[Outbound Logistics]]+tblData[[#This Row],[Direct Selling]]</f>
        <v>-138</v>
      </c>
      <c r="AK1694" s="74">
        <f>tblData[[#This Row],[Gross Profit]]+tblData[[#This Row],[AP Spend]]+tblData[[#This Row],[Cost to Serve]]</f>
        <v>459</v>
      </c>
    </row>
    <row r="1695" spans="2:37" x14ac:dyDescent="0.25">
      <c r="B1695" s="71" t="s">
        <v>36</v>
      </c>
      <c r="C1695" s="71">
        <v>2026</v>
      </c>
      <c r="D1695" s="71">
        <v>9</v>
      </c>
      <c r="E1695" s="71" t="s">
        <v>46</v>
      </c>
      <c r="F1695" s="71" t="s">
        <v>42</v>
      </c>
      <c r="G1695" s="72">
        <v>155.19999999999999</v>
      </c>
      <c r="H1695" s="73">
        <v>929</v>
      </c>
      <c r="I1695" s="73">
        <v>-100</v>
      </c>
      <c r="J1695" s="73">
        <v>-37</v>
      </c>
      <c r="K1695" s="73">
        <v>-299</v>
      </c>
      <c r="L1695" s="73">
        <v>-74</v>
      </c>
      <c r="M1695" s="73">
        <v>-46</v>
      </c>
      <c r="N1695" s="73">
        <v>-16</v>
      </c>
      <c r="O1695" s="73">
        <v>-10</v>
      </c>
      <c r="P1695" s="73">
        <v>-72</v>
      </c>
      <c r="Q1695" s="73">
        <v>-19</v>
      </c>
      <c r="R1695" s="73">
        <v>0</v>
      </c>
      <c r="S1695" s="73">
        <v>0</v>
      </c>
      <c r="T1695" s="73">
        <v>0</v>
      </c>
      <c r="U1695" s="73">
        <v>0</v>
      </c>
      <c r="V1695" s="73">
        <v>0</v>
      </c>
      <c r="W1695" s="73">
        <v>0</v>
      </c>
      <c r="X1695" s="73">
        <v>0</v>
      </c>
      <c r="Y1695" s="73">
        <v>0</v>
      </c>
      <c r="Z1695" s="73">
        <v>662</v>
      </c>
      <c r="AA1695" s="73">
        <v>1561</v>
      </c>
      <c r="AB1695" s="73">
        <v>0</v>
      </c>
      <c r="AC1695" s="73">
        <v>0</v>
      </c>
      <c r="AD1695" s="73">
        <v>0</v>
      </c>
      <c r="AE1695" s="73">
        <v>0</v>
      </c>
      <c r="AF1695" s="74">
        <f>tblData[[#This Row],[Gross Sales]]+tblData[[#This Row],[Trade Discounts]]+tblData[[#This Row],[Returns]]</f>
        <v>792</v>
      </c>
      <c r="AG1695" s="74">
        <f>tblData[[#This Row],[Material Cost]]+tblData[[#This Row],[Conversion Cost]]+tblData[[#This Row],[Inbound Freight]]</f>
        <v>-419</v>
      </c>
      <c r="AH1695" s="74">
        <f>tblData[[#This Row],[Net Revenue]]+tblData[[#This Row],[COGS]]</f>
        <v>373</v>
      </c>
      <c r="AI1695" s="74">
        <f>tblData[[#This Row],[Advertising]]+tblData[[#This Row],[Promotions]]</f>
        <v>-26</v>
      </c>
      <c r="AJ1695" s="74">
        <f>tblData[[#This Row],[Outbound Logistics]]+tblData[[#This Row],[Direct Selling]]</f>
        <v>-91</v>
      </c>
      <c r="AK1695" s="74">
        <f>tblData[[#This Row],[Gross Profit]]+tblData[[#This Row],[AP Spend]]+tblData[[#This Row],[Cost to Serve]]</f>
        <v>256</v>
      </c>
    </row>
    <row r="1696" spans="2:37" x14ac:dyDescent="0.25">
      <c r="B1696" s="71" t="s">
        <v>36</v>
      </c>
      <c r="C1696" s="71">
        <v>2026</v>
      </c>
      <c r="D1696" s="71">
        <v>9</v>
      </c>
      <c r="E1696" s="71" t="s">
        <v>46</v>
      </c>
      <c r="F1696" s="71" t="s">
        <v>43</v>
      </c>
      <c r="G1696" s="72">
        <v>28.4</v>
      </c>
      <c r="H1696" s="73">
        <v>513</v>
      </c>
      <c r="I1696" s="73">
        <v>-55</v>
      </c>
      <c r="J1696" s="73">
        <v>-21</v>
      </c>
      <c r="K1696" s="73">
        <v>-142</v>
      </c>
      <c r="L1696" s="73">
        <v>-35</v>
      </c>
      <c r="M1696" s="73">
        <v>-22</v>
      </c>
      <c r="N1696" s="73">
        <v>-46</v>
      </c>
      <c r="O1696" s="73">
        <v>-27</v>
      </c>
      <c r="P1696" s="73">
        <v>-40</v>
      </c>
      <c r="Q1696" s="73">
        <v>-10</v>
      </c>
      <c r="R1696" s="73">
        <v>0</v>
      </c>
      <c r="S1696" s="73">
        <v>0</v>
      </c>
      <c r="T1696" s="73">
        <v>0</v>
      </c>
      <c r="U1696" s="73">
        <v>0</v>
      </c>
      <c r="V1696" s="73">
        <v>0</v>
      </c>
      <c r="W1696" s="73">
        <v>0</v>
      </c>
      <c r="X1696" s="73">
        <v>0</v>
      </c>
      <c r="Y1696" s="73">
        <v>0</v>
      </c>
      <c r="Z1696" s="73">
        <v>383</v>
      </c>
      <c r="AA1696" s="73">
        <v>787</v>
      </c>
      <c r="AB1696" s="73">
        <v>0</v>
      </c>
      <c r="AC1696" s="73">
        <v>0</v>
      </c>
      <c r="AD1696" s="73">
        <v>0</v>
      </c>
      <c r="AE1696" s="73">
        <v>0</v>
      </c>
      <c r="AF1696" s="74">
        <f>tblData[[#This Row],[Gross Sales]]+tblData[[#This Row],[Trade Discounts]]+tblData[[#This Row],[Returns]]</f>
        <v>437</v>
      </c>
      <c r="AG1696" s="74">
        <f>tblData[[#This Row],[Material Cost]]+tblData[[#This Row],[Conversion Cost]]+tblData[[#This Row],[Inbound Freight]]</f>
        <v>-199</v>
      </c>
      <c r="AH1696" s="74">
        <f>tblData[[#This Row],[Net Revenue]]+tblData[[#This Row],[COGS]]</f>
        <v>238</v>
      </c>
      <c r="AI1696" s="74">
        <f>tblData[[#This Row],[Advertising]]+tblData[[#This Row],[Promotions]]</f>
        <v>-73</v>
      </c>
      <c r="AJ1696" s="74">
        <f>tblData[[#This Row],[Outbound Logistics]]+tblData[[#This Row],[Direct Selling]]</f>
        <v>-50</v>
      </c>
      <c r="AK1696" s="74">
        <f>tblData[[#This Row],[Gross Profit]]+tblData[[#This Row],[AP Spend]]+tblData[[#This Row],[Cost to Serve]]</f>
        <v>115</v>
      </c>
    </row>
    <row r="1697" spans="2:37" x14ac:dyDescent="0.25">
      <c r="B1697" s="71" t="s">
        <v>36</v>
      </c>
      <c r="C1697" s="71">
        <v>2026</v>
      </c>
      <c r="D1697" s="71">
        <v>9</v>
      </c>
      <c r="E1697" s="71" t="s">
        <v>47</v>
      </c>
      <c r="F1697" s="71" t="s">
        <v>38</v>
      </c>
      <c r="G1697" s="72">
        <v>73.3</v>
      </c>
      <c r="H1697" s="73">
        <v>1038</v>
      </c>
      <c r="I1697" s="73">
        <v>-31</v>
      </c>
      <c r="J1697" s="73">
        <v>-52</v>
      </c>
      <c r="K1697" s="73">
        <v>-228</v>
      </c>
      <c r="L1697" s="73">
        <v>-56</v>
      </c>
      <c r="M1697" s="73">
        <v>-35</v>
      </c>
      <c r="N1697" s="73">
        <v>-52</v>
      </c>
      <c r="O1697" s="73">
        <v>-31</v>
      </c>
      <c r="P1697" s="73">
        <v>-128</v>
      </c>
      <c r="Q1697" s="73">
        <v>-42</v>
      </c>
      <c r="R1697" s="73">
        <v>0</v>
      </c>
      <c r="S1697" s="73">
        <v>0</v>
      </c>
      <c r="T1697" s="73">
        <v>0</v>
      </c>
      <c r="U1697" s="73">
        <v>0</v>
      </c>
      <c r="V1697" s="73">
        <v>0</v>
      </c>
      <c r="W1697" s="73">
        <v>0</v>
      </c>
      <c r="X1697" s="73">
        <v>0</v>
      </c>
      <c r="Y1697" s="73">
        <v>0</v>
      </c>
      <c r="Z1697" s="73">
        <v>176</v>
      </c>
      <c r="AA1697" s="73">
        <v>988</v>
      </c>
      <c r="AB1697" s="73">
        <v>0</v>
      </c>
      <c r="AC1697" s="73">
        <v>0</v>
      </c>
      <c r="AD1697" s="73">
        <v>0</v>
      </c>
      <c r="AE1697" s="73">
        <v>0</v>
      </c>
      <c r="AF1697" s="74">
        <f>tblData[[#This Row],[Gross Sales]]+tblData[[#This Row],[Trade Discounts]]+tblData[[#This Row],[Returns]]</f>
        <v>955</v>
      </c>
      <c r="AG1697" s="74">
        <f>tblData[[#This Row],[Material Cost]]+tblData[[#This Row],[Conversion Cost]]+tblData[[#This Row],[Inbound Freight]]</f>
        <v>-319</v>
      </c>
      <c r="AH1697" s="74">
        <f>tblData[[#This Row],[Net Revenue]]+tblData[[#This Row],[COGS]]</f>
        <v>636</v>
      </c>
      <c r="AI1697" s="74">
        <f>tblData[[#This Row],[Advertising]]+tblData[[#This Row],[Promotions]]</f>
        <v>-83</v>
      </c>
      <c r="AJ1697" s="74">
        <f>tblData[[#This Row],[Outbound Logistics]]+tblData[[#This Row],[Direct Selling]]</f>
        <v>-170</v>
      </c>
      <c r="AK1697" s="74">
        <f>tblData[[#This Row],[Gross Profit]]+tblData[[#This Row],[AP Spend]]+tblData[[#This Row],[Cost to Serve]]</f>
        <v>383</v>
      </c>
    </row>
    <row r="1698" spans="2:37" x14ac:dyDescent="0.25">
      <c r="B1698" s="71" t="s">
        <v>36</v>
      </c>
      <c r="C1698" s="71">
        <v>2026</v>
      </c>
      <c r="D1698" s="71">
        <v>9</v>
      </c>
      <c r="E1698" s="71" t="s">
        <v>47</v>
      </c>
      <c r="F1698" s="71" t="s">
        <v>39</v>
      </c>
      <c r="G1698" s="72">
        <v>97.7</v>
      </c>
      <c r="H1698" s="73">
        <v>886</v>
      </c>
      <c r="I1698" s="73">
        <v>-27</v>
      </c>
      <c r="J1698" s="73">
        <v>-44</v>
      </c>
      <c r="K1698" s="73">
        <v>-233</v>
      </c>
      <c r="L1698" s="73">
        <v>-57</v>
      </c>
      <c r="M1698" s="73">
        <v>-36</v>
      </c>
      <c r="N1698" s="73">
        <v>-30</v>
      </c>
      <c r="O1698" s="73">
        <v>-17</v>
      </c>
      <c r="P1698" s="73">
        <v>-110</v>
      </c>
      <c r="Q1698" s="73">
        <v>-35</v>
      </c>
      <c r="R1698" s="73">
        <v>0</v>
      </c>
      <c r="S1698" s="73">
        <v>0</v>
      </c>
      <c r="T1698" s="73">
        <v>0</v>
      </c>
      <c r="U1698" s="73">
        <v>0</v>
      </c>
      <c r="V1698" s="73">
        <v>0</v>
      </c>
      <c r="W1698" s="73">
        <v>0</v>
      </c>
      <c r="X1698" s="73">
        <v>0</v>
      </c>
      <c r="Y1698" s="73">
        <v>0</v>
      </c>
      <c r="Z1698" s="73">
        <v>148</v>
      </c>
      <c r="AA1698" s="73">
        <v>851</v>
      </c>
      <c r="AB1698" s="73">
        <v>0</v>
      </c>
      <c r="AC1698" s="73">
        <v>0</v>
      </c>
      <c r="AD1698" s="73">
        <v>0</v>
      </c>
      <c r="AE1698" s="73">
        <v>0</v>
      </c>
      <c r="AF1698" s="74">
        <f>tblData[[#This Row],[Gross Sales]]+tblData[[#This Row],[Trade Discounts]]+tblData[[#This Row],[Returns]]</f>
        <v>815</v>
      </c>
      <c r="AG1698" s="74">
        <f>tblData[[#This Row],[Material Cost]]+tblData[[#This Row],[Conversion Cost]]+tblData[[#This Row],[Inbound Freight]]</f>
        <v>-326</v>
      </c>
      <c r="AH1698" s="74">
        <f>tblData[[#This Row],[Net Revenue]]+tblData[[#This Row],[COGS]]</f>
        <v>489</v>
      </c>
      <c r="AI1698" s="74">
        <f>tblData[[#This Row],[Advertising]]+tblData[[#This Row],[Promotions]]</f>
        <v>-47</v>
      </c>
      <c r="AJ1698" s="74">
        <f>tblData[[#This Row],[Outbound Logistics]]+tblData[[#This Row],[Direct Selling]]</f>
        <v>-145</v>
      </c>
      <c r="AK1698" s="74">
        <f>tblData[[#This Row],[Gross Profit]]+tblData[[#This Row],[AP Spend]]+tblData[[#This Row],[Cost to Serve]]</f>
        <v>297</v>
      </c>
    </row>
    <row r="1699" spans="2:37" x14ac:dyDescent="0.25">
      <c r="B1699" s="71" t="s">
        <v>36</v>
      </c>
      <c r="C1699" s="71">
        <v>2026</v>
      </c>
      <c r="D1699" s="71">
        <v>9</v>
      </c>
      <c r="E1699" s="71" t="s">
        <v>47</v>
      </c>
      <c r="F1699" s="71" t="s">
        <v>40</v>
      </c>
      <c r="G1699" s="72">
        <v>89.6</v>
      </c>
      <c r="H1699" s="73">
        <v>631</v>
      </c>
      <c r="I1699" s="73">
        <v>-19</v>
      </c>
      <c r="J1699" s="73">
        <v>-32</v>
      </c>
      <c r="K1699" s="73">
        <v>-184</v>
      </c>
      <c r="L1699" s="73">
        <v>-45</v>
      </c>
      <c r="M1699" s="73">
        <v>-28</v>
      </c>
      <c r="N1699" s="73">
        <v>-15</v>
      </c>
      <c r="O1699" s="73">
        <v>-9</v>
      </c>
      <c r="P1699" s="73">
        <v>-78</v>
      </c>
      <c r="Q1699" s="73">
        <v>-25</v>
      </c>
      <c r="R1699" s="73">
        <v>0</v>
      </c>
      <c r="S1699" s="73">
        <v>0</v>
      </c>
      <c r="T1699" s="73">
        <v>0</v>
      </c>
      <c r="U1699" s="73">
        <v>0</v>
      </c>
      <c r="V1699" s="73">
        <v>0</v>
      </c>
      <c r="W1699" s="73">
        <v>0</v>
      </c>
      <c r="X1699" s="73">
        <v>0</v>
      </c>
      <c r="Y1699" s="73">
        <v>0</v>
      </c>
      <c r="Z1699" s="73">
        <v>107</v>
      </c>
      <c r="AA1699" s="73">
        <v>643</v>
      </c>
      <c r="AB1699" s="73">
        <v>0</v>
      </c>
      <c r="AC1699" s="73">
        <v>0</v>
      </c>
      <c r="AD1699" s="73">
        <v>0</v>
      </c>
      <c r="AE1699" s="73">
        <v>0</v>
      </c>
      <c r="AF1699" s="74">
        <f>tblData[[#This Row],[Gross Sales]]+tblData[[#This Row],[Trade Discounts]]+tblData[[#This Row],[Returns]]</f>
        <v>580</v>
      </c>
      <c r="AG1699" s="74">
        <f>tblData[[#This Row],[Material Cost]]+tblData[[#This Row],[Conversion Cost]]+tblData[[#This Row],[Inbound Freight]]</f>
        <v>-257</v>
      </c>
      <c r="AH1699" s="74">
        <f>tblData[[#This Row],[Net Revenue]]+tblData[[#This Row],[COGS]]</f>
        <v>323</v>
      </c>
      <c r="AI1699" s="74">
        <f>tblData[[#This Row],[Advertising]]+tblData[[#This Row],[Promotions]]</f>
        <v>-24</v>
      </c>
      <c r="AJ1699" s="74">
        <f>tblData[[#This Row],[Outbound Logistics]]+tblData[[#This Row],[Direct Selling]]</f>
        <v>-103</v>
      </c>
      <c r="AK1699" s="74">
        <f>tblData[[#This Row],[Gross Profit]]+tblData[[#This Row],[AP Spend]]+tblData[[#This Row],[Cost to Serve]]</f>
        <v>196</v>
      </c>
    </row>
    <row r="1700" spans="2:37" x14ac:dyDescent="0.25">
      <c r="B1700" s="71" t="s">
        <v>36</v>
      </c>
      <c r="C1700" s="71">
        <v>2026</v>
      </c>
      <c r="D1700" s="71">
        <v>9</v>
      </c>
      <c r="E1700" s="71" t="s">
        <v>47</v>
      </c>
      <c r="F1700" s="71" t="s">
        <v>41</v>
      </c>
      <c r="G1700" s="72">
        <v>47.2</v>
      </c>
      <c r="H1700" s="73">
        <v>524</v>
      </c>
      <c r="I1700" s="73">
        <v>-16</v>
      </c>
      <c r="J1700" s="73">
        <v>-26</v>
      </c>
      <c r="K1700" s="73">
        <v>-126</v>
      </c>
      <c r="L1700" s="73">
        <v>-31</v>
      </c>
      <c r="M1700" s="73">
        <v>-19</v>
      </c>
      <c r="N1700" s="73">
        <v>-32</v>
      </c>
      <c r="O1700" s="73">
        <v>-19</v>
      </c>
      <c r="P1700" s="73">
        <v>-65</v>
      </c>
      <c r="Q1700" s="73">
        <v>-21</v>
      </c>
      <c r="R1700" s="73">
        <v>0</v>
      </c>
      <c r="S1700" s="73">
        <v>0</v>
      </c>
      <c r="T1700" s="73">
        <v>0</v>
      </c>
      <c r="U1700" s="73">
        <v>0</v>
      </c>
      <c r="V1700" s="73">
        <v>0</v>
      </c>
      <c r="W1700" s="73">
        <v>0</v>
      </c>
      <c r="X1700" s="73">
        <v>0</v>
      </c>
      <c r="Y1700" s="73">
        <v>0</v>
      </c>
      <c r="Z1700" s="73">
        <v>87</v>
      </c>
      <c r="AA1700" s="73">
        <v>512</v>
      </c>
      <c r="AB1700" s="73">
        <v>0</v>
      </c>
      <c r="AC1700" s="73">
        <v>0</v>
      </c>
      <c r="AD1700" s="73">
        <v>0</v>
      </c>
      <c r="AE1700" s="73">
        <v>0</v>
      </c>
      <c r="AF1700" s="74">
        <f>tblData[[#This Row],[Gross Sales]]+tblData[[#This Row],[Trade Discounts]]+tblData[[#This Row],[Returns]]</f>
        <v>482</v>
      </c>
      <c r="AG1700" s="74">
        <f>tblData[[#This Row],[Material Cost]]+tblData[[#This Row],[Conversion Cost]]+tblData[[#This Row],[Inbound Freight]]</f>
        <v>-176</v>
      </c>
      <c r="AH1700" s="74">
        <f>tblData[[#This Row],[Net Revenue]]+tblData[[#This Row],[COGS]]</f>
        <v>306</v>
      </c>
      <c r="AI1700" s="74">
        <f>tblData[[#This Row],[Advertising]]+tblData[[#This Row],[Promotions]]</f>
        <v>-51</v>
      </c>
      <c r="AJ1700" s="74">
        <f>tblData[[#This Row],[Outbound Logistics]]+tblData[[#This Row],[Direct Selling]]</f>
        <v>-86</v>
      </c>
      <c r="AK1700" s="74">
        <f>tblData[[#This Row],[Gross Profit]]+tblData[[#This Row],[AP Spend]]+tblData[[#This Row],[Cost to Serve]]</f>
        <v>169</v>
      </c>
    </row>
    <row r="1701" spans="2:37" x14ac:dyDescent="0.25">
      <c r="B1701" s="71" t="s">
        <v>36</v>
      </c>
      <c r="C1701" s="71">
        <v>2026</v>
      </c>
      <c r="D1701" s="71">
        <v>9</v>
      </c>
      <c r="E1701" s="71" t="s">
        <v>47</v>
      </c>
      <c r="F1701" s="71" t="s">
        <v>42</v>
      </c>
      <c r="G1701" s="72">
        <v>54</v>
      </c>
      <c r="H1701" s="73">
        <v>325</v>
      </c>
      <c r="I1701" s="73">
        <v>-10</v>
      </c>
      <c r="J1701" s="73">
        <v>-16</v>
      </c>
      <c r="K1701" s="73">
        <v>-104</v>
      </c>
      <c r="L1701" s="73">
        <v>-26</v>
      </c>
      <c r="M1701" s="73">
        <v>-16</v>
      </c>
      <c r="N1701" s="73">
        <v>-6</v>
      </c>
      <c r="O1701" s="73">
        <v>-4</v>
      </c>
      <c r="P1701" s="73">
        <v>-40</v>
      </c>
      <c r="Q1701" s="73">
        <v>-13</v>
      </c>
      <c r="R1701" s="73">
        <v>0</v>
      </c>
      <c r="S1701" s="73">
        <v>0</v>
      </c>
      <c r="T1701" s="73">
        <v>0</v>
      </c>
      <c r="U1701" s="73">
        <v>0</v>
      </c>
      <c r="V1701" s="73">
        <v>0</v>
      </c>
      <c r="W1701" s="73">
        <v>0</v>
      </c>
      <c r="X1701" s="73">
        <v>0</v>
      </c>
      <c r="Y1701" s="73">
        <v>0</v>
      </c>
      <c r="Z1701" s="73">
        <v>56</v>
      </c>
      <c r="AA1701" s="73">
        <v>569</v>
      </c>
      <c r="AB1701" s="73">
        <v>0</v>
      </c>
      <c r="AC1701" s="73">
        <v>0</v>
      </c>
      <c r="AD1701" s="73">
        <v>0</v>
      </c>
      <c r="AE1701" s="73">
        <v>0</v>
      </c>
      <c r="AF1701" s="74">
        <f>tblData[[#This Row],[Gross Sales]]+tblData[[#This Row],[Trade Discounts]]+tblData[[#This Row],[Returns]]</f>
        <v>299</v>
      </c>
      <c r="AG1701" s="74">
        <f>tblData[[#This Row],[Material Cost]]+tblData[[#This Row],[Conversion Cost]]+tblData[[#This Row],[Inbound Freight]]</f>
        <v>-146</v>
      </c>
      <c r="AH1701" s="74">
        <f>tblData[[#This Row],[Net Revenue]]+tblData[[#This Row],[COGS]]</f>
        <v>153</v>
      </c>
      <c r="AI1701" s="74">
        <f>tblData[[#This Row],[Advertising]]+tblData[[#This Row],[Promotions]]</f>
        <v>-10</v>
      </c>
      <c r="AJ1701" s="74">
        <f>tblData[[#This Row],[Outbound Logistics]]+tblData[[#This Row],[Direct Selling]]</f>
        <v>-53</v>
      </c>
      <c r="AK1701" s="74">
        <f>tblData[[#This Row],[Gross Profit]]+tblData[[#This Row],[AP Spend]]+tblData[[#This Row],[Cost to Serve]]</f>
        <v>90</v>
      </c>
    </row>
    <row r="1702" spans="2:37" x14ac:dyDescent="0.25">
      <c r="B1702" s="71" t="s">
        <v>36</v>
      </c>
      <c r="C1702" s="71">
        <v>2026</v>
      </c>
      <c r="D1702" s="71">
        <v>9</v>
      </c>
      <c r="E1702" s="71" t="s">
        <v>47</v>
      </c>
      <c r="F1702" s="71" t="s">
        <v>43</v>
      </c>
      <c r="G1702" s="72">
        <v>10.4</v>
      </c>
      <c r="H1702" s="73">
        <v>189</v>
      </c>
      <c r="I1702" s="73">
        <v>-6</v>
      </c>
      <c r="J1702" s="73">
        <v>-9</v>
      </c>
      <c r="K1702" s="73">
        <v>-52</v>
      </c>
      <c r="L1702" s="73">
        <v>-13</v>
      </c>
      <c r="M1702" s="73">
        <v>-8</v>
      </c>
      <c r="N1702" s="73">
        <v>-17</v>
      </c>
      <c r="O1702" s="73">
        <v>-10</v>
      </c>
      <c r="P1702" s="73">
        <v>-23</v>
      </c>
      <c r="Q1702" s="73">
        <v>-8</v>
      </c>
      <c r="R1702" s="73">
        <v>0</v>
      </c>
      <c r="S1702" s="73">
        <v>0</v>
      </c>
      <c r="T1702" s="73">
        <v>0</v>
      </c>
      <c r="U1702" s="73">
        <v>0</v>
      </c>
      <c r="V1702" s="73">
        <v>0</v>
      </c>
      <c r="W1702" s="73">
        <v>0</v>
      </c>
      <c r="X1702" s="73">
        <v>0</v>
      </c>
      <c r="Y1702" s="73">
        <v>0</v>
      </c>
      <c r="Z1702" s="73">
        <v>32</v>
      </c>
      <c r="AA1702" s="73">
        <v>285</v>
      </c>
      <c r="AB1702" s="73">
        <v>0</v>
      </c>
      <c r="AC1702" s="73">
        <v>0</v>
      </c>
      <c r="AD1702" s="73">
        <v>0</v>
      </c>
      <c r="AE1702" s="73">
        <v>0</v>
      </c>
      <c r="AF1702" s="74">
        <f>tblData[[#This Row],[Gross Sales]]+tblData[[#This Row],[Trade Discounts]]+tblData[[#This Row],[Returns]]</f>
        <v>174</v>
      </c>
      <c r="AG1702" s="74">
        <f>tblData[[#This Row],[Material Cost]]+tblData[[#This Row],[Conversion Cost]]+tblData[[#This Row],[Inbound Freight]]</f>
        <v>-73</v>
      </c>
      <c r="AH1702" s="74">
        <f>tblData[[#This Row],[Net Revenue]]+tblData[[#This Row],[COGS]]</f>
        <v>101</v>
      </c>
      <c r="AI1702" s="74">
        <f>tblData[[#This Row],[Advertising]]+tblData[[#This Row],[Promotions]]</f>
        <v>-27</v>
      </c>
      <c r="AJ1702" s="74">
        <f>tblData[[#This Row],[Outbound Logistics]]+tblData[[#This Row],[Direct Selling]]</f>
        <v>-31</v>
      </c>
      <c r="AK1702" s="74">
        <f>tblData[[#This Row],[Gross Profit]]+tblData[[#This Row],[AP Spend]]+tblData[[#This Row],[Cost to Serve]]</f>
        <v>43</v>
      </c>
    </row>
    <row r="1703" spans="2:37" x14ac:dyDescent="0.25">
      <c r="B1703" s="71" t="s">
        <v>36</v>
      </c>
      <c r="C1703" s="71">
        <v>2026</v>
      </c>
      <c r="D1703" s="71">
        <v>9</v>
      </c>
      <c r="E1703" s="71" t="s">
        <v>48</v>
      </c>
      <c r="F1703" s="71" t="s">
        <v>38</v>
      </c>
      <c r="G1703" s="72">
        <v>118.6</v>
      </c>
      <c r="H1703" s="73">
        <v>1671</v>
      </c>
      <c r="I1703" s="73">
        <v>-150</v>
      </c>
      <c r="J1703" s="73">
        <v>-17</v>
      </c>
      <c r="K1703" s="73">
        <v>-366</v>
      </c>
      <c r="L1703" s="73">
        <v>-90</v>
      </c>
      <c r="M1703" s="73">
        <v>-56</v>
      </c>
      <c r="N1703" s="73">
        <v>-86</v>
      </c>
      <c r="O1703" s="73">
        <v>-51</v>
      </c>
      <c r="P1703" s="73">
        <v>-52</v>
      </c>
      <c r="Q1703" s="73">
        <v>-25</v>
      </c>
      <c r="R1703" s="73">
        <v>0</v>
      </c>
      <c r="S1703" s="73">
        <v>0</v>
      </c>
      <c r="T1703" s="73">
        <v>0</v>
      </c>
      <c r="U1703" s="73">
        <v>0</v>
      </c>
      <c r="V1703" s="73">
        <v>0</v>
      </c>
      <c r="W1703" s="73">
        <v>0</v>
      </c>
      <c r="X1703" s="73">
        <v>0</v>
      </c>
      <c r="Y1703" s="73">
        <v>0</v>
      </c>
      <c r="Z1703" s="73">
        <v>3289</v>
      </c>
      <c r="AA1703" s="73">
        <v>1551</v>
      </c>
      <c r="AB1703" s="73">
        <v>0</v>
      </c>
      <c r="AC1703" s="73">
        <v>0</v>
      </c>
      <c r="AD1703" s="73">
        <v>0</v>
      </c>
      <c r="AE1703" s="73">
        <v>0</v>
      </c>
      <c r="AF1703" s="74">
        <f>tblData[[#This Row],[Gross Sales]]+tblData[[#This Row],[Trade Discounts]]+tblData[[#This Row],[Returns]]</f>
        <v>1504</v>
      </c>
      <c r="AG1703" s="74">
        <f>tblData[[#This Row],[Material Cost]]+tblData[[#This Row],[Conversion Cost]]+tblData[[#This Row],[Inbound Freight]]</f>
        <v>-512</v>
      </c>
      <c r="AH1703" s="74">
        <f>tblData[[#This Row],[Net Revenue]]+tblData[[#This Row],[COGS]]</f>
        <v>992</v>
      </c>
      <c r="AI1703" s="74">
        <f>tblData[[#This Row],[Advertising]]+tblData[[#This Row],[Promotions]]</f>
        <v>-137</v>
      </c>
      <c r="AJ1703" s="74">
        <f>tblData[[#This Row],[Outbound Logistics]]+tblData[[#This Row],[Direct Selling]]</f>
        <v>-77</v>
      </c>
      <c r="AK1703" s="74">
        <f>tblData[[#This Row],[Gross Profit]]+tblData[[#This Row],[AP Spend]]+tblData[[#This Row],[Cost to Serve]]</f>
        <v>778</v>
      </c>
    </row>
    <row r="1704" spans="2:37" x14ac:dyDescent="0.25">
      <c r="B1704" s="71" t="s">
        <v>36</v>
      </c>
      <c r="C1704" s="71">
        <v>2026</v>
      </c>
      <c r="D1704" s="71">
        <v>9</v>
      </c>
      <c r="E1704" s="71" t="s">
        <v>48</v>
      </c>
      <c r="F1704" s="71" t="s">
        <v>39</v>
      </c>
      <c r="G1704" s="72">
        <v>155.69999999999999</v>
      </c>
      <c r="H1704" s="73">
        <v>1404</v>
      </c>
      <c r="I1704" s="73">
        <v>-126</v>
      </c>
      <c r="J1704" s="73">
        <v>-14</v>
      </c>
      <c r="K1704" s="73">
        <v>-369</v>
      </c>
      <c r="L1704" s="73">
        <v>-91</v>
      </c>
      <c r="M1704" s="73">
        <v>-57</v>
      </c>
      <c r="N1704" s="73">
        <v>-49</v>
      </c>
      <c r="O1704" s="73">
        <v>-29</v>
      </c>
      <c r="P1704" s="73">
        <v>-43</v>
      </c>
      <c r="Q1704" s="73">
        <v>-21</v>
      </c>
      <c r="R1704" s="73">
        <v>0</v>
      </c>
      <c r="S1704" s="73">
        <v>0</v>
      </c>
      <c r="T1704" s="73">
        <v>0</v>
      </c>
      <c r="U1704" s="73">
        <v>0</v>
      </c>
      <c r="V1704" s="73">
        <v>0</v>
      </c>
      <c r="W1704" s="73">
        <v>0</v>
      </c>
      <c r="X1704" s="73">
        <v>0</v>
      </c>
      <c r="Y1704" s="73">
        <v>0</v>
      </c>
      <c r="Z1704" s="73">
        <v>2861</v>
      </c>
      <c r="AA1704" s="73">
        <v>1379</v>
      </c>
      <c r="AB1704" s="73">
        <v>0</v>
      </c>
      <c r="AC1704" s="73">
        <v>0</v>
      </c>
      <c r="AD1704" s="73">
        <v>0</v>
      </c>
      <c r="AE1704" s="73">
        <v>0</v>
      </c>
      <c r="AF1704" s="74">
        <f>tblData[[#This Row],[Gross Sales]]+tblData[[#This Row],[Trade Discounts]]+tblData[[#This Row],[Returns]]</f>
        <v>1264</v>
      </c>
      <c r="AG1704" s="74">
        <f>tblData[[#This Row],[Material Cost]]+tblData[[#This Row],[Conversion Cost]]+tblData[[#This Row],[Inbound Freight]]</f>
        <v>-517</v>
      </c>
      <c r="AH1704" s="74">
        <f>tblData[[#This Row],[Net Revenue]]+tblData[[#This Row],[COGS]]</f>
        <v>747</v>
      </c>
      <c r="AI1704" s="74">
        <f>tblData[[#This Row],[Advertising]]+tblData[[#This Row],[Promotions]]</f>
        <v>-78</v>
      </c>
      <c r="AJ1704" s="74">
        <f>tblData[[#This Row],[Outbound Logistics]]+tblData[[#This Row],[Direct Selling]]</f>
        <v>-64</v>
      </c>
      <c r="AK1704" s="74">
        <f>tblData[[#This Row],[Gross Profit]]+tblData[[#This Row],[AP Spend]]+tblData[[#This Row],[Cost to Serve]]</f>
        <v>605</v>
      </c>
    </row>
    <row r="1705" spans="2:37" x14ac:dyDescent="0.25">
      <c r="B1705" s="71" t="s">
        <v>36</v>
      </c>
      <c r="C1705" s="71">
        <v>2026</v>
      </c>
      <c r="D1705" s="71">
        <v>9</v>
      </c>
      <c r="E1705" s="71" t="s">
        <v>48</v>
      </c>
      <c r="F1705" s="71" t="s">
        <v>40</v>
      </c>
      <c r="G1705" s="72">
        <v>145.5</v>
      </c>
      <c r="H1705" s="73">
        <v>1018</v>
      </c>
      <c r="I1705" s="73">
        <v>-92</v>
      </c>
      <c r="J1705" s="73">
        <v>-10</v>
      </c>
      <c r="K1705" s="73">
        <v>-298</v>
      </c>
      <c r="L1705" s="73">
        <v>-73</v>
      </c>
      <c r="M1705" s="73">
        <v>-46</v>
      </c>
      <c r="N1705" s="73">
        <v>-25</v>
      </c>
      <c r="O1705" s="73">
        <v>-15</v>
      </c>
      <c r="P1705" s="73">
        <v>-31</v>
      </c>
      <c r="Q1705" s="73">
        <v>-15</v>
      </c>
      <c r="R1705" s="73">
        <v>0</v>
      </c>
      <c r="S1705" s="73">
        <v>0</v>
      </c>
      <c r="T1705" s="73">
        <v>0</v>
      </c>
      <c r="U1705" s="73">
        <v>0</v>
      </c>
      <c r="V1705" s="73">
        <v>0</v>
      </c>
      <c r="W1705" s="73">
        <v>0</v>
      </c>
      <c r="X1705" s="73">
        <v>0</v>
      </c>
      <c r="Y1705" s="73">
        <v>0</v>
      </c>
      <c r="Z1705" s="73">
        <v>2052</v>
      </c>
      <c r="AA1705" s="73">
        <v>1035</v>
      </c>
      <c r="AB1705" s="73">
        <v>0</v>
      </c>
      <c r="AC1705" s="73">
        <v>0</v>
      </c>
      <c r="AD1705" s="73">
        <v>0</v>
      </c>
      <c r="AE1705" s="73">
        <v>0</v>
      </c>
      <c r="AF1705" s="74">
        <f>tblData[[#This Row],[Gross Sales]]+tblData[[#This Row],[Trade Discounts]]+tblData[[#This Row],[Returns]]</f>
        <v>916</v>
      </c>
      <c r="AG1705" s="74">
        <f>tblData[[#This Row],[Material Cost]]+tblData[[#This Row],[Conversion Cost]]+tblData[[#This Row],[Inbound Freight]]</f>
        <v>-417</v>
      </c>
      <c r="AH1705" s="74">
        <f>tblData[[#This Row],[Net Revenue]]+tblData[[#This Row],[COGS]]</f>
        <v>499</v>
      </c>
      <c r="AI1705" s="74">
        <f>tblData[[#This Row],[Advertising]]+tblData[[#This Row],[Promotions]]</f>
        <v>-40</v>
      </c>
      <c r="AJ1705" s="74">
        <f>tblData[[#This Row],[Outbound Logistics]]+tblData[[#This Row],[Direct Selling]]</f>
        <v>-46</v>
      </c>
      <c r="AK1705" s="74">
        <f>tblData[[#This Row],[Gross Profit]]+tblData[[#This Row],[AP Spend]]+tblData[[#This Row],[Cost to Serve]]</f>
        <v>413</v>
      </c>
    </row>
    <row r="1706" spans="2:37" x14ac:dyDescent="0.25">
      <c r="B1706" s="71" t="s">
        <v>36</v>
      </c>
      <c r="C1706" s="71">
        <v>2026</v>
      </c>
      <c r="D1706" s="71">
        <v>9</v>
      </c>
      <c r="E1706" s="71" t="s">
        <v>48</v>
      </c>
      <c r="F1706" s="71" t="s">
        <v>41</v>
      </c>
      <c r="G1706" s="72">
        <v>75.099999999999994</v>
      </c>
      <c r="H1706" s="73">
        <v>829</v>
      </c>
      <c r="I1706" s="73">
        <v>-75</v>
      </c>
      <c r="J1706" s="73">
        <v>-8</v>
      </c>
      <c r="K1706" s="73">
        <v>-200</v>
      </c>
      <c r="L1706" s="73">
        <v>-49</v>
      </c>
      <c r="M1706" s="73">
        <v>-31</v>
      </c>
      <c r="N1706" s="73">
        <v>-53</v>
      </c>
      <c r="O1706" s="73">
        <v>-31</v>
      </c>
      <c r="P1706" s="73">
        <v>-26</v>
      </c>
      <c r="Q1706" s="73">
        <v>-12</v>
      </c>
      <c r="R1706" s="73">
        <v>0</v>
      </c>
      <c r="S1706" s="73">
        <v>0</v>
      </c>
      <c r="T1706" s="73">
        <v>0</v>
      </c>
      <c r="U1706" s="73">
        <v>0</v>
      </c>
      <c r="V1706" s="73">
        <v>0</v>
      </c>
      <c r="W1706" s="73">
        <v>0</v>
      </c>
      <c r="X1706" s="73">
        <v>0</v>
      </c>
      <c r="Y1706" s="73">
        <v>0</v>
      </c>
      <c r="Z1706" s="73">
        <v>1659</v>
      </c>
      <c r="AA1706" s="73">
        <v>818</v>
      </c>
      <c r="AB1706" s="73">
        <v>0</v>
      </c>
      <c r="AC1706" s="73">
        <v>0</v>
      </c>
      <c r="AD1706" s="73">
        <v>0</v>
      </c>
      <c r="AE1706" s="73">
        <v>0</v>
      </c>
      <c r="AF1706" s="74">
        <f>tblData[[#This Row],[Gross Sales]]+tblData[[#This Row],[Trade Discounts]]+tblData[[#This Row],[Returns]]</f>
        <v>746</v>
      </c>
      <c r="AG1706" s="74">
        <f>tblData[[#This Row],[Material Cost]]+tblData[[#This Row],[Conversion Cost]]+tblData[[#This Row],[Inbound Freight]]</f>
        <v>-280</v>
      </c>
      <c r="AH1706" s="74">
        <f>tblData[[#This Row],[Net Revenue]]+tblData[[#This Row],[COGS]]</f>
        <v>466</v>
      </c>
      <c r="AI1706" s="74">
        <f>tblData[[#This Row],[Advertising]]+tblData[[#This Row],[Promotions]]</f>
        <v>-84</v>
      </c>
      <c r="AJ1706" s="74">
        <f>tblData[[#This Row],[Outbound Logistics]]+tblData[[#This Row],[Direct Selling]]</f>
        <v>-38</v>
      </c>
      <c r="AK1706" s="74">
        <f>tblData[[#This Row],[Gross Profit]]+tblData[[#This Row],[AP Spend]]+tblData[[#This Row],[Cost to Serve]]</f>
        <v>344</v>
      </c>
    </row>
    <row r="1707" spans="2:37" x14ac:dyDescent="0.25">
      <c r="B1707" s="71" t="s">
        <v>36</v>
      </c>
      <c r="C1707" s="71">
        <v>2026</v>
      </c>
      <c r="D1707" s="71">
        <v>9</v>
      </c>
      <c r="E1707" s="71" t="s">
        <v>48</v>
      </c>
      <c r="F1707" s="71" t="s">
        <v>42</v>
      </c>
      <c r="G1707" s="72">
        <v>91.2</v>
      </c>
      <c r="H1707" s="73">
        <v>545</v>
      </c>
      <c r="I1707" s="73">
        <v>-49</v>
      </c>
      <c r="J1707" s="73">
        <v>-5</v>
      </c>
      <c r="K1707" s="73">
        <v>-175</v>
      </c>
      <c r="L1707" s="73">
        <v>-43</v>
      </c>
      <c r="M1707" s="73">
        <v>-27</v>
      </c>
      <c r="N1707" s="73">
        <v>-10</v>
      </c>
      <c r="O1707" s="73">
        <v>-6</v>
      </c>
      <c r="P1707" s="73">
        <v>-17</v>
      </c>
      <c r="Q1707" s="73">
        <v>-8</v>
      </c>
      <c r="R1707" s="73">
        <v>0</v>
      </c>
      <c r="S1707" s="73">
        <v>0</v>
      </c>
      <c r="T1707" s="73">
        <v>0</v>
      </c>
      <c r="U1707" s="73">
        <v>0</v>
      </c>
      <c r="V1707" s="73">
        <v>0</v>
      </c>
      <c r="W1707" s="73">
        <v>0</v>
      </c>
      <c r="X1707" s="73">
        <v>0</v>
      </c>
      <c r="Y1707" s="73">
        <v>0</v>
      </c>
      <c r="Z1707" s="73">
        <v>1081</v>
      </c>
      <c r="AA1707" s="73">
        <v>926</v>
      </c>
      <c r="AB1707" s="73">
        <v>0</v>
      </c>
      <c r="AC1707" s="73">
        <v>0</v>
      </c>
      <c r="AD1707" s="73">
        <v>0</v>
      </c>
      <c r="AE1707" s="73">
        <v>0</v>
      </c>
      <c r="AF1707" s="74">
        <f>tblData[[#This Row],[Gross Sales]]+tblData[[#This Row],[Trade Discounts]]+tblData[[#This Row],[Returns]]</f>
        <v>491</v>
      </c>
      <c r="AG1707" s="74">
        <f>tblData[[#This Row],[Material Cost]]+tblData[[#This Row],[Conversion Cost]]+tblData[[#This Row],[Inbound Freight]]</f>
        <v>-245</v>
      </c>
      <c r="AH1707" s="74">
        <f>tblData[[#This Row],[Net Revenue]]+tblData[[#This Row],[COGS]]</f>
        <v>246</v>
      </c>
      <c r="AI1707" s="74">
        <f>tblData[[#This Row],[Advertising]]+tblData[[#This Row],[Promotions]]</f>
        <v>-16</v>
      </c>
      <c r="AJ1707" s="74">
        <f>tblData[[#This Row],[Outbound Logistics]]+tblData[[#This Row],[Direct Selling]]</f>
        <v>-25</v>
      </c>
      <c r="AK1707" s="74">
        <f>tblData[[#This Row],[Gross Profit]]+tblData[[#This Row],[AP Spend]]+tblData[[#This Row],[Cost to Serve]]</f>
        <v>205</v>
      </c>
    </row>
    <row r="1708" spans="2:37" x14ac:dyDescent="0.25">
      <c r="B1708" s="71" t="s">
        <v>36</v>
      </c>
      <c r="C1708" s="71">
        <v>2026</v>
      </c>
      <c r="D1708" s="71">
        <v>9</v>
      </c>
      <c r="E1708" s="71" t="s">
        <v>48</v>
      </c>
      <c r="F1708" s="71" t="s">
        <v>43</v>
      </c>
      <c r="G1708" s="72">
        <v>16.7</v>
      </c>
      <c r="H1708" s="73">
        <v>301</v>
      </c>
      <c r="I1708" s="73">
        <v>-27</v>
      </c>
      <c r="J1708" s="73">
        <v>-3</v>
      </c>
      <c r="K1708" s="73">
        <v>-83</v>
      </c>
      <c r="L1708" s="73">
        <v>-21</v>
      </c>
      <c r="M1708" s="73">
        <v>-13</v>
      </c>
      <c r="N1708" s="73">
        <v>-29</v>
      </c>
      <c r="O1708" s="73">
        <v>-17</v>
      </c>
      <c r="P1708" s="73">
        <v>-9</v>
      </c>
      <c r="Q1708" s="73">
        <v>-5</v>
      </c>
      <c r="R1708" s="73">
        <v>0</v>
      </c>
      <c r="S1708" s="73">
        <v>0</v>
      </c>
      <c r="T1708" s="73">
        <v>0</v>
      </c>
      <c r="U1708" s="73">
        <v>0</v>
      </c>
      <c r="V1708" s="73">
        <v>0</v>
      </c>
      <c r="W1708" s="73">
        <v>0</v>
      </c>
      <c r="X1708" s="73">
        <v>0</v>
      </c>
      <c r="Y1708" s="73">
        <v>0</v>
      </c>
      <c r="Z1708" s="73">
        <v>618</v>
      </c>
      <c r="AA1708" s="73">
        <v>460</v>
      </c>
      <c r="AB1708" s="73">
        <v>0</v>
      </c>
      <c r="AC1708" s="73">
        <v>0</v>
      </c>
      <c r="AD1708" s="73">
        <v>0</v>
      </c>
      <c r="AE1708" s="73">
        <v>0</v>
      </c>
      <c r="AF1708" s="74">
        <f>tblData[[#This Row],[Gross Sales]]+tblData[[#This Row],[Trade Discounts]]+tblData[[#This Row],[Returns]]</f>
        <v>271</v>
      </c>
      <c r="AG1708" s="74">
        <f>tblData[[#This Row],[Material Cost]]+tblData[[#This Row],[Conversion Cost]]+tblData[[#This Row],[Inbound Freight]]</f>
        <v>-117</v>
      </c>
      <c r="AH1708" s="74">
        <f>tblData[[#This Row],[Net Revenue]]+tblData[[#This Row],[COGS]]</f>
        <v>154</v>
      </c>
      <c r="AI1708" s="74">
        <f>tblData[[#This Row],[Advertising]]+tblData[[#This Row],[Promotions]]</f>
        <v>-46</v>
      </c>
      <c r="AJ1708" s="74">
        <f>tblData[[#This Row],[Outbound Logistics]]+tblData[[#This Row],[Direct Selling]]</f>
        <v>-14</v>
      </c>
      <c r="AK1708" s="74">
        <f>tblData[[#This Row],[Gross Profit]]+tblData[[#This Row],[AP Spend]]+tblData[[#This Row],[Cost to Serve]]</f>
        <v>94</v>
      </c>
    </row>
    <row r="1709" spans="2:37" x14ac:dyDescent="0.25">
      <c r="B1709" s="71" t="s">
        <v>36</v>
      </c>
      <c r="C1709" s="71">
        <v>2026</v>
      </c>
      <c r="D1709" s="71">
        <v>9</v>
      </c>
      <c r="E1709" s="71" t="s">
        <v>49</v>
      </c>
      <c r="F1709" s="71" t="s">
        <v>49</v>
      </c>
      <c r="G1709" s="72">
        <v>0</v>
      </c>
      <c r="H1709" s="73">
        <v>0</v>
      </c>
      <c r="I1709" s="73">
        <v>0</v>
      </c>
      <c r="J1709" s="73">
        <v>0</v>
      </c>
      <c r="K1709" s="73">
        <v>0</v>
      </c>
      <c r="L1709" s="73">
        <v>0</v>
      </c>
      <c r="M1709" s="73">
        <v>0</v>
      </c>
      <c r="N1709" s="73">
        <v>0</v>
      </c>
      <c r="O1709" s="73">
        <v>0</v>
      </c>
      <c r="P1709" s="73">
        <v>0</v>
      </c>
      <c r="Q1709" s="73">
        <v>0</v>
      </c>
      <c r="R1709" s="73">
        <v>-4373</v>
      </c>
      <c r="S1709" s="73">
        <v>-1000</v>
      </c>
      <c r="T1709" s="73">
        <v>-1280</v>
      </c>
      <c r="U1709" s="73">
        <v>-1085</v>
      </c>
      <c r="V1709" s="73">
        <v>-1480</v>
      </c>
      <c r="W1709" s="73">
        <v>-694</v>
      </c>
      <c r="X1709" s="73">
        <v>-1972</v>
      </c>
      <c r="Y1709" s="73">
        <v>-1447</v>
      </c>
      <c r="Z1709" s="73">
        <v>0</v>
      </c>
      <c r="AA1709" s="73">
        <v>0</v>
      </c>
      <c r="AB1709" s="73">
        <v>37753</v>
      </c>
      <c r="AC1709" s="73">
        <v>55687</v>
      </c>
      <c r="AD1709" s="73">
        <v>182500</v>
      </c>
      <c r="AE1709" s="73">
        <v>1195</v>
      </c>
      <c r="AF1709" s="74">
        <f>tblData[[#This Row],[Gross Sales]]+tblData[[#This Row],[Trade Discounts]]+tblData[[#This Row],[Returns]]</f>
        <v>0</v>
      </c>
      <c r="AG1709" s="74">
        <f>tblData[[#This Row],[Material Cost]]+tblData[[#This Row],[Conversion Cost]]+tblData[[#This Row],[Inbound Freight]]</f>
        <v>0</v>
      </c>
      <c r="AH1709" s="74">
        <f>tblData[[#This Row],[Net Revenue]]+tblData[[#This Row],[COGS]]</f>
        <v>0</v>
      </c>
      <c r="AI1709" s="74">
        <f>tblData[[#This Row],[Advertising]]+tblData[[#This Row],[Promotions]]</f>
        <v>0</v>
      </c>
      <c r="AJ1709" s="74">
        <f>tblData[[#This Row],[Outbound Logistics]]+tblData[[#This Row],[Direct Selling]]</f>
        <v>0</v>
      </c>
      <c r="AK1709" s="74">
        <f>tblData[[#This Row],[Gross Profit]]+tblData[[#This Row],[AP Spend]]+tblData[[#This Row],[Cost to Serve]]</f>
        <v>0</v>
      </c>
    </row>
    <row r="1710" spans="2:37" x14ac:dyDescent="0.25">
      <c r="B1710" s="71" t="s">
        <v>36</v>
      </c>
      <c r="C1710" s="71">
        <v>2026</v>
      </c>
      <c r="D1710" s="71">
        <v>10</v>
      </c>
      <c r="E1710" s="71" t="s">
        <v>37</v>
      </c>
      <c r="F1710" s="71" t="s">
        <v>38</v>
      </c>
      <c r="G1710" s="72">
        <v>367.6</v>
      </c>
      <c r="H1710" s="73">
        <v>5178</v>
      </c>
      <c r="I1710" s="73">
        <v>-1015</v>
      </c>
      <c r="J1710" s="73">
        <v>-78</v>
      </c>
      <c r="K1710" s="73">
        <v>-1135</v>
      </c>
      <c r="L1710" s="73">
        <v>-280</v>
      </c>
      <c r="M1710" s="73">
        <v>-174</v>
      </c>
      <c r="N1710" s="73">
        <v>-282</v>
      </c>
      <c r="O1710" s="73">
        <v>-167</v>
      </c>
      <c r="P1710" s="73">
        <v>-213</v>
      </c>
      <c r="Q1710" s="73">
        <v>-155</v>
      </c>
      <c r="R1710" s="73">
        <v>0</v>
      </c>
      <c r="S1710" s="73">
        <v>0</v>
      </c>
      <c r="T1710" s="73">
        <v>0</v>
      </c>
      <c r="U1710" s="73">
        <v>0</v>
      </c>
      <c r="V1710" s="73">
        <v>0</v>
      </c>
      <c r="W1710" s="73">
        <v>0</v>
      </c>
      <c r="X1710" s="73">
        <v>0</v>
      </c>
      <c r="Y1710" s="73">
        <v>0</v>
      </c>
      <c r="Z1710" s="73">
        <v>7154</v>
      </c>
      <c r="AA1710" s="73">
        <v>4845</v>
      </c>
      <c r="AB1710" s="73">
        <v>0</v>
      </c>
      <c r="AC1710" s="73">
        <v>0</v>
      </c>
      <c r="AD1710" s="73">
        <v>0</v>
      </c>
      <c r="AE1710" s="73">
        <v>0</v>
      </c>
      <c r="AF1710" s="74">
        <f>tblData[[#This Row],[Gross Sales]]+tblData[[#This Row],[Trade Discounts]]+tblData[[#This Row],[Returns]]</f>
        <v>4085</v>
      </c>
      <c r="AG1710" s="74">
        <f>tblData[[#This Row],[Material Cost]]+tblData[[#This Row],[Conversion Cost]]+tblData[[#This Row],[Inbound Freight]]</f>
        <v>-1589</v>
      </c>
      <c r="AH1710" s="74">
        <f>tblData[[#This Row],[Net Revenue]]+tblData[[#This Row],[COGS]]</f>
        <v>2496</v>
      </c>
      <c r="AI1710" s="74">
        <f>tblData[[#This Row],[Advertising]]+tblData[[#This Row],[Promotions]]</f>
        <v>-449</v>
      </c>
      <c r="AJ1710" s="74">
        <f>tblData[[#This Row],[Outbound Logistics]]+tblData[[#This Row],[Direct Selling]]</f>
        <v>-368</v>
      </c>
      <c r="AK1710" s="74">
        <f>tblData[[#This Row],[Gross Profit]]+tblData[[#This Row],[AP Spend]]+tblData[[#This Row],[Cost to Serve]]</f>
        <v>1679</v>
      </c>
    </row>
    <row r="1711" spans="2:37" x14ac:dyDescent="0.25">
      <c r="B1711" s="71" t="s">
        <v>36</v>
      </c>
      <c r="C1711" s="71">
        <v>2026</v>
      </c>
      <c r="D1711" s="71">
        <v>10</v>
      </c>
      <c r="E1711" s="71" t="s">
        <v>37</v>
      </c>
      <c r="F1711" s="71" t="s">
        <v>39</v>
      </c>
      <c r="G1711" s="72">
        <v>465</v>
      </c>
      <c r="H1711" s="73">
        <v>4194</v>
      </c>
      <c r="I1711" s="73">
        <v>-822</v>
      </c>
      <c r="J1711" s="73">
        <v>-63</v>
      </c>
      <c r="K1711" s="73">
        <v>-1103</v>
      </c>
      <c r="L1711" s="73">
        <v>-272</v>
      </c>
      <c r="M1711" s="73">
        <v>-169</v>
      </c>
      <c r="N1711" s="73">
        <v>-161</v>
      </c>
      <c r="O1711" s="73">
        <v>-95</v>
      </c>
      <c r="P1711" s="73">
        <v>-173</v>
      </c>
      <c r="Q1711" s="73">
        <v>-126</v>
      </c>
      <c r="R1711" s="73">
        <v>0</v>
      </c>
      <c r="S1711" s="73">
        <v>0</v>
      </c>
      <c r="T1711" s="73">
        <v>0</v>
      </c>
      <c r="U1711" s="73">
        <v>0</v>
      </c>
      <c r="V1711" s="73">
        <v>0</v>
      </c>
      <c r="W1711" s="73">
        <v>0</v>
      </c>
      <c r="X1711" s="73">
        <v>0</v>
      </c>
      <c r="Y1711" s="73">
        <v>0</v>
      </c>
      <c r="Z1711" s="73">
        <v>5862</v>
      </c>
      <c r="AA1711" s="73">
        <v>4056</v>
      </c>
      <c r="AB1711" s="73">
        <v>0</v>
      </c>
      <c r="AC1711" s="73">
        <v>0</v>
      </c>
      <c r="AD1711" s="73">
        <v>0</v>
      </c>
      <c r="AE1711" s="73">
        <v>0</v>
      </c>
      <c r="AF1711" s="74">
        <f>tblData[[#This Row],[Gross Sales]]+tblData[[#This Row],[Trade Discounts]]+tblData[[#This Row],[Returns]]</f>
        <v>3309</v>
      </c>
      <c r="AG1711" s="74">
        <f>tblData[[#This Row],[Material Cost]]+tblData[[#This Row],[Conversion Cost]]+tblData[[#This Row],[Inbound Freight]]</f>
        <v>-1544</v>
      </c>
      <c r="AH1711" s="74">
        <f>tblData[[#This Row],[Net Revenue]]+tblData[[#This Row],[COGS]]</f>
        <v>1765</v>
      </c>
      <c r="AI1711" s="74">
        <f>tblData[[#This Row],[Advertising]]+tblData[[#This Row],[Promotions]]</f>
        <v>-256</v>
      </c>
      <c r="AJ1711" s="74">
        <f>tblData[[#This Row],[Outbound Logistics]]+tblData[[#This Row],[Direct Selling]]</f>
        <v>-299</v>
      </c>
      <c r="AK1711" s="74">
        <f>tblData[[#This Row],[Gross Profit]]+tblData[[#This Row],[AP Spend]]+tblData[[#This Row],[Cost to Serve]]</f>
        <v>1210</v>
      </c>
    </row>
    <row r="1712" spans="2:37" x14ac:dyDescent="0.25">
      <c r="B1712" s="71" t="s">
        <v>36</v>
      </c>
      <c r="C1712" s="71">
        <v>2026</v>
      </c>
      <c r="D1712" s="71">
        <v>10</v>
      </c>
      <c r="E1712" s="71" t="s">
        <v>37</v>
      </c>
      <c r="F1712" s="71" t="s">
        <v>40</v>
      </c>
      <c r="G1712" s="72">
        <v>463.3</v>
      </c>
      <c r="H1712" s="73">
        <v>3243</v>
      </c>
      <c r="I1712" s="73">
        <v>-636</v>
      </c>
      <c r="J1712" s="73">
        <v>-49</v>
      </c>
      <c r="K1712" s="73">
        <v>-948</v>
      </c>
      <c r="L1712" s="73">
        <v>-233</v>
      </c>
      <c r="M1712" s="73">
        <v>-145</v>
      </c>
      <c r="N1712" s="73">
        <v>-81</v>
      </c>
      <c r="O1712" s="73">
        <v>-48</v>
      </c>
      <c r="P1712" s="73">
        <v>-134</v>
      </c>
      <c r="Q1712" s="73">
        <v>-97</v>
      </c>
      <c r="R1712" s="73">
        <v>0</v>
      </c>
      <c r="S1712" s="73">
        <v>0</v>
      </c>
      <c r="T1712" s="73">
        <v>0</v>
      </c>
      <c r="U1712" s="73">
        <v>0</v>
      </c>
      <c r="V1712" s="73">
        <v>0</v>
      </c>
      <c r="W1712" s="73">
        <v>0</v>
      </c>
      <c r="X1712" s="73">
        <v>0</v>
      </c>
      <c r="Y1712" s="73">
        <v>0</v>
      </c>
      <c r="Z1712" s="73">
        <v>4418</v>
      </c>
      <c r="AA1712" s="73">
        <v>3200</v>
      </c>
      <c r="AB1712" s="73">
        <v>0</v>
      </c>
      <c r="AC1712" s="73">
        <v>0</v>
      </c>
      <c r="AD1712" s="73">
        <v>0</v>
      </c>
      <c r="AE1712" s="73">
        <v>0</v>
      </c>
      <c r="AF1712" s="74">
        <f>tblData[[#This Row],[Gross Sales]]+tblData[[#This Row],[Trade Discounts]]+tblData[[#This Row],[Returns]]</f>
        <v>2558</v>
      </c>
      <c r="AG1712" s="74">
        <f>tblData[[#This Row],[Material Cost]]+tblData[[#This Row],[Conversion Cost]]+tblData[[#This Row],[Inbound Freight]]</f>
        <v>-1326</v>
      </c>
      <c r="AH1712" s="74">
        <f>tblData[[#This Row],[Net Revenue]]+tblData[[#This Row],[COGS]]</f>
        <v>1232</v>
      </c>
      <c r="AI1712" s="74">
        <f>tblData[[#This Row],[Advertising]]+tblData[[#This Row],[Promotions]]</f>
        <v>-129</v>
      </c>
      <c r="AJ1712" s="74">
        <f>tblData[[#This Row],[Outbound Logistics]]+tblData[[#This Row],[Direct Selling]]</f>
        <v>-231</v>
      </c>
      <c r="AK1712" s="74">
        <f>tblData[[#This Row],[Gross Profit]]+tblData[[#This Row],[AP Spend]]+tblData[[#This Row],[Cost to Serve]]</f>
        <v>872</v>
      </c>
    </row>
    <row r="1713" spans="2:37" x14ac:dyDescent="0.25">
      <c r="B1713" s="71" t="s">
        <v>36</v>
      </c>
      <c r="C1713" s="71">
        <v>2026</v>
      </c>
      <c r="D1713" s="71">
        <v>10</v>
      </c>
      <c r="E1713" s="71" t="s">
        <v>37</v>
      </c>
      <c r="F1713" s="71" t="s">
        <v>41</v>
      </c>
      <c r="G1713" s="72">
        <v>225.1</v>
      </c>
      <c r="H1713" s="73">
        <v>2483</v>
      </c>
      <c r="I1713" s="73">
        <v>-487</v>
      </c>
      <c r="J1713" s="73">
        <v>-37</v>
      </c>
      <c r="K1713" s="73">
        <v>-599</v>
      </c>
      <c r="L1713" s="73">
        <v>-148</v>
      </c>
      <c r="M1713" s="73">
        <v>-92</v>
      </c>
      <c r="N1713" s="73">
        <v>-172</v>
      </c>
      <c r="O1713" s="73">
        <v>-102</v>
      </c>
      <c r="P1713" s="73">
        <v>-102</v>
      </c>
      <c r="Q1713" s="73">
        <v>-74</v>
      </c>
      <c r="R1713" s="73">
        <v>0</v>
      </c>
      <c r="S1713" s="73">
        <v>0</v>
      </c>
      <c r="T1713" s="73">
        <v>0</v>
      </c>
      <c r="U1713" s="73">
        <v>0</v>
      </c>
      <c r="V1713" s="73">
        <v>0</v>
      </c>
      <c r="W1713" s="73">
        <v>0</v>
      </c>
      <c r="X1713" s="73">
        <v>0</v>
      </c>
      <c r="Y1713" s="73">
        <v>0</v>
      </c>
      <c r="Z1713" s="73">
        <v>3530</v>
      </c>
      <c r="AA1713" s="73">
        <v>2499</v>
      </c>
      <c r="AB1713" s="73">
        <v>0</v>
      </c>
      <c r="AC1713" s="73">
        <v>0</v>
      </c>
      <c r="AD1713" s="73">
        <v>0</v>
      </c>
      <c r="AE1713" s="73">
        <v>0</v>
      </c>
      <c r="AF1713" s="74">
        <f>tblData[[#This Row],[Gross Sales]]+tblData[[#This Row],[Trade Discounts]]+tblData[[#This Row],[Returns]]</f>
        <v>1959</v>
      </c>
      <c r="AG1713" s="74">
        <f>tblData[[#This Row],[Material Cost]]+tblData[[#This Row],[Conversion Cost]]+tblData[[#This Row],[Inbound Freight]]</f>
        <v>-839</v>
      </c>
      <c r="AH1713" s="74">
        <f>tblData[[#This Row],[Net Revenue]]+tblData[[#This Row],[COGS]]</f>
        <v>1120</v>
      </c>
      <c r="AI1713" s="74">
        <f>tblData[[#This Row],[Advertising]]+tblData[[#This Row],[Promotions]]</f>
        <v>-274</v>
      </c>
      <c r="AJ1713" s="74">
        <f>tblData[[#This Row],[Outbound Logistics]]+tblData[[#This Row],[Direct Selling]]</f>
        <v>-176</v>
      </c>
      <c r="AK1713" s="74">
        <f>tblData[[#This Row],[Gross Profit]]+tblData[[#This Row],[AP Spend]]+tblData[[#This Row],[Cost to Serve]]</f>
        <v>670</v>
      </c>
    </row>
    <row r="1714" spans="2:37" x14ac:dyDescent="0.25">
      <c r="B1714" s="71" t="s">
        <v>36</v>
      </c>
      <c r="C1714" s="71">
        <v>2026</v>
      </c>
      <c r="D1714" s="71">
        <v>10</v>
      </c>
      <c r="E1714" s="71" t="s">
        <v>37</v>
      </c>
      <c r="F1714" s="71" t="s">
        <v>42</v>
      </c>
      <c r="G1714" s="72">
        <v>278.8</v>
      </c>
      <c r="H1714" s="73">
        <v>1666</v>
      </c>
      <c r="I1714" s="73">
        <v>-327</v>
      </c>
      <c r="J1714" s="73">
        <v>-25</v>
      </c>
      <c r="K1714" s="73">
        <v>-536</v>
      </c>
      <c r="L1714" s="73">
        <v>-132</v>
      </c>
      <c r="M1714" s="73">
        <v>-82</v>
      </c>
      <c r="N1714" s="73">
        <v>-34</v>
      </c>
      <c r="O1714" s="73">
        <v>-20</v>
      </c>
      <c r="P1714" s="73">
        <v>-69</v>
      </c>
      <c r="Q1714" s="73">
        <v>-50</v>
      </c>
      <c r="R1714" s="73">
        <v>0</v>
      </c>
      <c r="S1714" s="73">
        <v>0</v>
      </c>
      <c r="T1714" s="73">
        <v>0</v>
      </c>
      <c r="U1714" s="73">
        <v>0</v>
      </c>
      <c r="V1714" s="73">
        <v>0</v>
      </c>
      <c r="W1714" s="73">
        <v>0</v>
      </c>
      <c r="X1714" s="73">
        <v>0</v>
      </c>
      <c r="Y1714" s="73">
        <v>0</v>
      </c>
      <c r="Z1714" s="73">
        <v>2280</v>
      </c>
      <c r="AA1714" s="73">
        <v>2803</v>
      </c>
      <c r="AB1714" s="73">
        <v>0</v>
      </c>
      <c r="AC1714" s="73">
        <v>0</v>
      </c>
      <c r="AD1714" s="73">
        <v>0</v>
      </c>
      <c r="AE1714" s="73">
        <v>0</v>
      </c>
      <c r="AF1714" s="74">
        <f>tblData[[#This Row],[Gross Sales]]+tblData[[#This Row],[Trade Discounts]]+tblData[[#This Row],[Returns]]</f>
        <v>1314</v>
      </c>
      <c r="AG1714" s="74">
        <f>tblData[[#This Row],[Material Cost]]+tblData[[#This Row],[Conversion Cost]]+tblData[[#This Row],[Inbound Freight]]</f>
        <v>-750</v>
      </c>
      <c r="AH1714" s="74">
        <f>tblData[[#This Row],[Net Revenue]]+tblData[[#This Row],[COGS]]</f>
        <v>564</v>
      </c>
      <c r="AI1714" s="74">
        <f>tblData[[#This Row],[Advertising]]+tblData[[#This Row],[Promotions]]</f>
        <v>-54</v>
      </c>
      <c r="AJ1714" s="74">
        <f>tblData[[#This Row],[Outbound Logistics]]+tblData[[#This Row],[Direct Selling]]</f>
        <v>-119</v>
      </c>
      <c r="AK1714" s="74">
        <f>tblData[[#This Row],[Gross Profit]]+tblData[[#This Row],[AP Spend]]+tblData[[#This Row],[Cost to Serve]]</f>
        <v>391</v>
      </c>
    </row>
    <row r="1715" spans="2:37" x14ac:dyDescent="0.25">
      <c r="B1715" s="71" t="s">
        <v>36</v>
      </c>
      <c r="C1715" s="71">
        <v>2026</v>
      </c>
      <c r="D1715" s="71">
        <v>10</v>
      </c>
      <c r="E1715" s="71" t="s">
        <v>37</v>
      </c>
      <c r="F1715" s="71" t="s">
        <v>43</v>
      </c>
      <c r="G1715" s="72">
        <v>51.1</v>
      </c>
      <c r="H1715" s="73">
        <v>920</v>
      </c>
      <c r="I1715" s="73">
        <v>-180</v>
      </c>
      <c r="J1715" s="73">
        <v>-14</v>
      </c>
      <c r="K1715" s="73">
        <v>-256</v>
      </c>
      <c r="L1715" s="73">
        <v>-63</v>
      </c>
      <c r="M1715" s="73">
        <v>-39</v>
      </c>
      <c r="N1715" s="73">
        <v>-94</v>
      </c>
      <c r="O1715" s="73">
        <v>-56</v>
      </c>
      <c r="P1715" s="73">
        <v>-38</v>
      </c>
      <c r="Q1715" s="73">
        <v>-28</v>
      </c>
      <c r="R1715" s="73">
        <v>0</v>
      </c>
      <c r="S1715" s="73">
        <v>0</v>
      </c>
      <c r="T1715" s="73">
        <v>0</v>
      </c>
      <c r="U1715" s="73">
        <v>0</v>
      </c>
      <c r="V1715" s="73">
        <v>0</v>
      </c>
      <c r="W1715" s="73">
        <v>0</v>
      </c>
      <c r="X1715" s="73">
        <v>0</v>
      </c>
      <c r="Y1715" s="73">
        <v>0</v>
      </c>
      <c r="Z1715" s="73">
        <v>1287</v>
      </c>
      <c r="AA1715" s="73">
        <v>1377</v>
      </c>
      <c r="AB1715" s="73">
        <v>0</v>
      </c>
      <c r="AC1715" s="73">
        <v>0</v>
      </c>
      <c r="AD1715" s="73">
        <v>0</v>
      </c>
      <c r="AE1715" s="73">
        <v>0</v>
      </c>
      <c r="AF1715" s="74">
        <f>tblData[[#This Row],[Gross Sales]]+tblData[[#This Row],[Trade Discounts]]+tblData[[#This Row],[Returns]]</f>
        <v>726</v>
      </c>
      <c r="AG1715" s="74">
        <f>tblData[[#This Row],[Material Cost]]+tblData[[#This Row],[Conversion Cost]]+tblData[[#This Row],[Inbound Freight]]</f>
        <v>-358</v>
      </c>
      <c r="AH1715" s="74">
        <f>tblData[[#This Row],[Net Revenue]]+tblData[[#This Row],[COGS]]</f>
        <v>368</v>
      </c>
      <c r="AI1715" s="74">
        <f>tblData[[#This Row],[Advertising]]+tblData[[#This Row],[Promotions]]</f>
        <v>-150</v>
      </c>
      <c r="AJ1715" s="74">
        <f>tblData[[#This Row],[Outbound Logistics]]+tblData[[#This Row],[Direct Selling]]</f>
        <v>-66</v>
      </c>
      <c r="AK1715" s="74">
        <f>tblData[[#This Row],[Gross Profit]]+tblData[[#This Row],[AP Spend]]+tblData[[#This Row],[Cost to Serve]]</f>
        <v>152</v>
      </c>
    </row>
    <row r="1716" spans="2:37" x14ac:dyDescent="0.25">
      <c r="B1716" s="71" t="s">
        <v>36</v>
      </c>
      <c r="C1716" s="71">
        <v>2026</v>
      </c>
      <c r="D1716" s="71">
        <v>10</v>
      </c>
      <c r="E1716" s="71" t="s">
        <v>44</v>
      </c>
      <c r="F1716" s="71" t="s">
        <v>38</v>
      </c>
      <c r="G1716" s="72">
        <v>312</v>
      </c>
      <c r="H1716" s="73">
        <v>4412</v>
      </c>
      <c r="I1716" s="73">
        <v>-715</v>
      </c>
      <c r="J1716" s="73">
        <v>-53</v>
      </c>
      <c r="K1716" s="73">
        <v>-967</v>
      </c>
      <c r="L1716" s="73">
        <v>-238</v>
      </c>
      <c r="M1716" s="73">
        <v>-148</v>
      </c>
      <c r="N1716" s="73">
        <v>-226</v>
      </c>
      <c r="O1716" s="73">
        <v>-133</v>
      </c>
      <c r="P1716" s="73">
        <v>-182</v>
      </c>
      <c r="Q1716" s="73">
        <v>-132</v>
      </c>
      <c r="R1716" s="73">
        <v>0</v>
      </c>
      <c r="S1716" s="73">
        <v>0</v>
      </c>
      <c r="T1716" s="73">
        <v>0</v>
      </c>
      <c r="U1716" s="73">
        <v>0</v>
      </c>
      <c r="V1716" s="73">
        <v>0</v>
      </c>
      <c r="W1716" s="73">
        <v>0</v>
      </c>
      <c r="X1716" s="73">
        <v>0</v>
      </c>
      <c r="Y1716" s="73">
        <v>0</v>
      </c>
      <c r="Z1716" s="73">
        <v>5759</v>
      </c>
      <c r="AA1716" s="73">
        <v>4077</v>
      </c>
      <c r="AB1716" s="73">
        <v>0</v>
      </c>
      <c r="AC1716" s="73">
        <v>0</v>
      </c>
      <c r="AD1716" s="73">
        <v>0</v>
      </c>
      <c r="AE1716" s="73">
        <v>0</v>
      </c>
      <c r="AF1716" s="74">
        <f>tblData[[#This Row],[Gross Sales]]+tblData[[#This Row],[Trade Discounts]]+tblData[[#This Row],[Returns]]</f>
        <v>3644</v>
      </c>
      <c r="AG1716" s="74">
        <f>tblData[[#This Row],[Material Cost]]+tblData[[#This Row],[Conversion Cost]]+tblData[[#This Row],[Inbound Freight]]</f>
        <v>-1353</v>
      </c>
      <c r="AH1716" s="74">
        <f>tblData[[#This Row],[Net Revenue]]+tblData[[#This Row],[COGS]]</f>
        <v>2291</v>
      </c>
      <c r="AI1716" s="74">
        <f>tblData[[#This Row],[Advertising]]+tblData[[#This Row],[Promotions]]</f>
        <v>-359</v>
      </c>
      <c r="AJ1716" s="74">
        <f>tblData[[#This Row],[Outbound Logistics]]+tblData[[#This Row],[Direct Selling]]</f>
        <v>-314</v>
      </c>
      <c r="AK1716" s="74">
        <f>tblData[[#This Row],[Gross Profit]]+tblData[[#This Row],[AP Spend]]+tblData[[#This Row],[Cost to Serve]]</f>
        <v>1618</v>
      </c>
    </row>
    <row r="1717" spans="2:37" x14ac:dyDescent="0.25">
      <c r="B1717" s="71" t="s">
        <v>36</v>
      </c>
      <c r="C1717" s="71">
        <v>2026</v>
      </c>
      <c r="D1717" s="71">
        <v>10</v>
      </c>
      <c r="E1717" s="71" t="s">
        <v>44</v>
      </c>
      <c r="F1717" s="71" t="s">
        <v>39</v>
      </c>
      <c r="G1717" s="72">
        <v>389.7</v>
      </c>
      <c r="H1717" s="73">
        <v>3529</v>
      </c>
      <c r="I1717" s="73">
        <v>-572</v>
      </c>
      <c r="J1717" s="73">
        <v>-42</v>
      </c>
      <c r="K1717" s="73">
        <v>-928</v>
      </c>
      <c r="L1717" s="73">
        <v>-229</v>
      </c>
      <c r="M1717" s="73">
        <v>-142</v>
      </c>
      <c r="N1717" s="73">
        <v>-129</v>
      </c>
      <c r="O1717" s="73">
        <v>-76</v>
      </c>
      <c r="P1717" s="73">
        <v>-145</v>
      </c>
      <c r="Q1717" s="73">
        <v>-106</v>
      </c>
      <c r="R1717" s="73">
        <v>0</v>
      </c>
      <c r="S1717" s="73">
        <v>0</v>
      </c>
      <c r="T1717" s="73">
        <v>0</v>
      </c>
      <c r="U1717" s="73">
        <v>0</v>
      </c>
      <c r="V1717" s="73">
        <v>0</v>
      </c>
      <c r="W1717" s="73">
        <v>0</v>
      </c>
      <c r="X1717" s="73">
        <v>0</v>
      </c>
      <c r="Y1717" s="73">
        <v>0</v>
      </c>
      <c r="Z1717" s="73">
        <v>4712</v>
      </c>
      <c r="AA1717" s="73">
        <v>3408</v>
      </c>
      <c r="AB1717" s="73">
        <v>0</v>
      </c>
      <c r="AC1717" s="73">
        <v>0</v>
      </c>
      <c r="AD1717" s="73">
        <v>0</v>
      </c>
      <c r="AE1717" s="73">
        <v>0</v>
      </c>
      <c r="AF1717" s="74">
        <f>tblData[[#This Row],[Gross Sales]]+tblData[[#This Row],[Trade Discounts]]+tblData[[#This Row],[Returns]]</f>
        <v>2915</v>
      </c>
      <c r="AG1717" s="74">
        <f>tblData[[#This Row],[Material Cost]]+tblData[[#This Row],[Conversion Cost]]+tblData[[#This Row],[Inbound Freight]]</f>
        <v>-1299</v>
      </c>
      <c r="AH1717" s="74">
        <f>tblData[[#This Row],[Net Revenue]]+tblData[[#This Row],[COGS]]</f>
        <v>1616</v>
      </c>
      <c r="AI1717" s="74">
        <f>tblData[[#This Row],[Advertising]]+tblData[[#This Row],[Promotions]]</f>
        <v>-205</v>
      </c>
      <c r="AJ1717" s="74">
        <f>tblData[[#This Row],[Outbound Logistics]]+tblData[[#This Row],[Direct Selling]]</f>
        <v>-251</v>
      </c>
      <c r="AK1717" s="74">
        <f>tblData[[#This Row],[Gross Profit]]+tblData[[#This Row],[AP Spend]]+tblData[[#This Row],[Cost to Serve]]</f>
        <v>1160</v>
      </c>
    </row>
    <row r="1718" spans="2:37" x14ac:dyDescent="0.25">
      <c r="B1718" s="71" t="s">
        <v>36</v>
      </c>
      <c r="C1718" s="71">
        <v>2026</v>
      </c>
      <c r="D1718" s="71">
        <v>10</v>
      </c>
      <c r="E1718" s="71" t="s">
        <v>44</v>
      </c>
      <c r="F1718" s="71" t="s">
        <v>40</v>
      </c>
      <c r="G1718" s="72">
        <v>367.8</v>
      </c>
      <c r="H1718" s="73">
        <v>2585</v>
      </c>
      <c r="I1718" s="73">
        <v>-419</v>
      </c>
      <c r="J1718" s="73">
        <v>-31</v>
      </c>
      <c r="K1718" s="73">
        <v>-756</v>
      </c>
      <c r="L1718" s="73">
        <v>-186</v>
      </c>
      <c r="M1718" s="73">
        <v>-116</v>
      </c>
      <c r="N1718" s="73">
        <v>-64</v>
      </c>
      <c r="O1718" s="73">
        <v>-38</v>
      </c>
      <c r="P1718" s="73">
        <v>-107</v>
      </c>
      <c r="Q1718" s="73">
        <v>-78</v>
      </c>
      <c r="R1718" s="73">
        <v>0</v>
      </c>
      <c r="S1718" s="73">
        <v>0</v>
      </c>
      <c r="T1718" s="73">
        <v>0</v>
      </c>
      <c r="U1718" s="73">
        <v>0</v>
      </c>
      <c r="V1718" s="73">
        <v>0</v>
      </c>
      <c r="W1718" s="73">
        <v>0</v>
      </c>
      <c r="X1718" s="73">
        <v>0</v>
      </c>
      <c r="Y1718" s="73">
        <v>0</v>
      </c>
      <c r="Z1718" s="73">
        <v>3429</v>
      </c>
      <c r="AA1718" s="73">
        <v>2596</v>
      </c>
      <c r="AB1718" s="73">
        <v>0</v>
      </c>
      <c r="AC1718" s="73">
        <v>0</v>
      </c>
      <c r="AD1718" s="73">
        <v>0</v>
      </c>
      <c r="AE1718" s="73">
        <v>0</v>
      </c>
      <c r="AF1718" s="74">
        <f>tblData[[#This Row],[Gross Sales]]+tblData[[#This Row],[Trade Discounts]]+tblData[[#This Row],[Returns]]</f>
        <v>2135</v>
      </c>
      <c r="AG1718" s="74">
        <f>tblData[[#This Row],[Material Cost]]+tblData[[#This Row],[Conversion Cost]]+tblData[[#This Row],[Inbound Freight]]</f>
        <v>-1058</v>
      </c>
      <c r="AH1718" s="74">
        <f>tblData[[#This Row],[Net Revenue]]+tblData[[#This Row],[COGS]]</f>
        <v>1077</v>
      </c>
      <c r="AI1718" s="74">
        <f>tblData[[#This Row],[Advertising]]+tblData[[#This Row],[Promotions]]</f>
        <v>-102</v>
      </c>
      <c r="AJ1718" s="74">
        <f>tblData[[#This Row],[Outbound Logistics]]+tblData[[#This Row],[Direct Selling]]</f>
        <v>-185</v>
      </c>
      <c r="AK1718" s="74">
        <f>tblData[[#This Row],[Gross Profit]]+tblData[[#This Row],[AP Spend]]+tblData[[#This Row],[Cost to Serve]]</f>
        <v>790</v>
      </c>
    </row>
    <row r="1719" spans="2:37" x14ac:dyDescent="0.25">
      <c r="B1719" s="71" t="s">
        <v>36</v>
      </c>
      <c r="C1719" s="71">
        <v>2026</v>
      </c>
      <c r="D1719" s="71">
        <v>10</v>
      </c>
      <c r="E1719" s="71" t="s">
        <v>44</v>
      </c>
      <c r="F1719" s="71" t="s">
        <v>41</v>
      </c>
      <c r="G1719" s="72">
        <v>193</v>
      </c>
      <c r="H1719" s="73">
        <v>2138</v>
      </c>
      <c r="I1719" s="73">
        <v>-346</v>
      </c>
      <c r="J1719" s="73">
        <v>-26</v>
      </c>
      <c r="K1719" s="73">
        <v>-516</v>
      </c>
      <c r="L1719" s="73">
        <v>-127</v>
      </c>
      <c r="M1719" s="73">
        <v>-79</v>
      </c>
      <c r="N1719" s="73">
        <v>-138</v>
      </c>
      <c r="O1719" s="73">
        <v>-81</v>
      </c>
      <c r="P1719" s="73">
        <v>-88</v>
      </c>
      <c r="Q1719" s="73">
        <v>-64</v>
      </c>
      <c r="R1719" s="73">
        <v>0</v>
      </c>
      <c r="S1719" s="73">
        <v>0</v>
      </c>
      <c r="T1719" s="73">
        <v>0</v>
      </c>
      <c r="U1719" s="73">
        <v>0</v>
      </c>
      <c r="V1719" s="73">
        <v>0</v>
      </c>
      <c r="W1719" s="73">
        <v>0</v>
      </c>
      <c r="X1719" s="73">
        <v>0</v>
      </c>
      <c r="Y1719" s="73">
        <v>0</v>
      </c>
      <c r="Z1719" s="73">
        <v>2840</v>
      </c>
      <c r="AA1719" s="73">
        <v>2102</v>
      </c>
      <c r="AB1719" s="73">
        <v>0</v>
      </c>
      <c r="AC1719" s="73">
        <v>0</v>
      </c>
      <c r="AD1719" s="73">
        <v>0</v>
      </c>
      <c r="AE1719" s="73">
        <v>0</v>
      </c>
      <c r="AF1719" s="74">
        <f>tblData[[#This Row],[Gross Sales]]+tblData[[#This Row],[Trade Discounts]]+tblData[[#This Row],[Returns]]</f>
        <v>1766</v>
      </c>
      <c r="AG1719" s="74">
        <f>tblData[[#This Row],[Material Cost]]+tblData[[#This Row],[Conversion Cost]]+tblData[[#This Row],[Inbound Freight]]</f>
        <v>-722</v>
      </c>
      <c r="AH1719" s="74">
        <f>tblData[[#This Row],[Net Revenue]]+tblData[[#This Row],[COGS]]</f>
        <v>1044</v>
      </c>
      <c r="AI1719" s="74">
        <f>tblData[[#This Row],[Advertising]]+tblData[[#This Row],[Promotions]]</f>
        <v>-219</v>
      </c>
      <c r="AJ1719" s="74">
        <f>tblData[[#This Row],[Outbound Logistics]]+tblData[[#This Row],[Direct Selling]]</f>
        <v>-152</v>
      </c>
      <c r="AK1719" s="74">
        <f>tblData[[#This Row],[Gross Profit]]+tblData[[#This Row],[AP Spend]]+tblData[[#This Row],[Cost to Serve]]</f>
        <v>673</v>
      </c>
    </row>
    <row r="1720" spans="2:37" x14ac:dyDescent="0.25">
      <c r="B1720" s="71" t="s">
        <v>36</v>
      </c>
      <c r="C1720" s="71">
        <v>2026</v>
      </c>
      <c r="D1720" s="71">
        <v>10</v>
      </c>
      <c r="E1720" s="71" t="s">
        <v>44</v>
      </c>
      <c r="F1720" s="71" t="s">
        <v>42</v>
      </c>
      <c r="G1720" s="72">
        <v>229.4</v>
      </c>
      <c r="H1720" s="73">
        <v>1377</v>
      </c>
      <c r="I1720" s="73">
        <v>-223</v>
      </c>
      <c r="J1720" s="73">
        <v>-17</v>
      </c>
      <c r="K1720" s="73">
        <v>-443</v>
      </c>
      <c r="L1720" s="73">
        <v>-109</v>
      </c>
      <c r="M1720" s="73">
        <v>-68</v>
      </c>
      <c r="N1720" s="73">
        <v>-27</v>
      </c>
      <c r="O1720" s="73">
        <v>-16</v>
      </c>
      <c r="P1720" s="73">
        <v>-57</v>
      </c>
      <c r="Q1720" s="73">
        <v>-41</v>
      </c>
      <c r="R1720" s="73">
        <v>0</v>
      </c>
      <c r="S1720" s="73">
        <v>0</v>
      </c>
      <c r="T1720" s="73">
        <v>0</v>
      </c>
      <c r="U1720" s="73">
        <v>0</v>
      </c>
      <c r="V1720" s="73">
        <v>0</v>
      </c>
      <c r="W1720" s="73">
        <v>0</v>
      </c>
      <c r="X1720" s="73">
        <v>0</v>
      </c>
      <c r="Y1720" s="73">
        <v>0</v>
      </c>
      <c r="Z1720" s="73">
        <v>1828</v>
      </c>
      <c r="AA1720" s="73">
        <v>2349</v>
      </c>
      <c r="AB1720" s="73">
        <v>0</v>
      </c>
      <c r="AC1720" s="73">
        <v>0</v>
      </c>
      <c r="AD1720" s="73">
        <v>0</v>
      </c>
      <c r="AE1720" s="73">
        <v>0</v>
      </c>
      <c r="AF1720" s="74">
        <f>tblData[[#This Row],[Gross Sales]]+tblData[[#This Row],[Trade Discounts]]+tblData[[#This Row],[Returns]]</f>
        <v>1137</v>
      </c>
      <c r="AG1720" s="74">
        <f>tblData[[#This Row],[Material Cost]]+tblData[[#This Row],[Conversion Cost]]+tblData[[#This Row],[Inbound Freight]]</f>
        <v>-620</v>
      </c>
      <c r="AH1720" s="74">
        <f>tblData[[#This Row],[Net Revenue]]+tblData[[#This Row],[COGS]]</f>
        <v>517</v>
      </c>
      <c r="AI1720" s="74">
        <f>tblData[[#This Row],[Advertising]]+tblData[[#This Row],[Promotions]]</f>
        <v>-43</v>
      </c>
      <c r="AJ1720" s="74">
        <f>tblData[[#This Row],[Outbound Logistics]]+tblData[[#This Row],[Direct Selling]]</f>
        <v>-98</v>
      </c>
      <c r="AK1720" s="74">
        <f>tblData[[#This Row],[Gross Profit]]+tblData[[#This Row],[AP Spend]]+tblData[[#This Row],[Cost to Serve]]</f>
        <v>376</v>
      </c>
    </row>
    <row r="1721" spans="2:37" x14ac:dyDescent="0.25">
      <c r="B1721" s="71" t="s">
        <v>36</v>
      </c>
      <c r="C1721" s="71">
        <v>2026</v>
      </c>
      <c r="D1721" s="71">
        <v>10</v>
      </c>
      <c r="E1721" s="71" t="s">
        <v>44</v>
      </c>
      <c r="F1721" s="71" t="s">
        <v>43</v>
      </c>
      <c r="G1721" s="72">
        <v>43.8</v>
      </c>
      <c r="H1721" s="73">
        <v>791</v>
      </c>
      <c r="I1721" s="73">
        <v>-128</v>
      </c>
      <c r="J1721" s="73">
        <v>-9</v>
      </c>
      <c r="K1721" s="73">
        <v>-220</v>
      </c>
      <c r="L1721" s="73">
        <v>-54</v>
      </c>
      <c r="M1721" s="73">
        <v>-34</v>
      </c>
      <c r="N1721" s="73">
        <v>-75</v>
      </c>
      <c r="O1721" s="73">
        <v>-44</v>
      </c>
      <c r="P1721" s="73">
        <v>-33</v>
      </c>
      <c r="Q1721" s="73">
        <v>-24</v>
      </c>
      <c r="R1721" s="73">
        <v>0</v>
      </c>
      <c r="S1721" s="73">
        <v>0</v>
      </c>
      <c r="T1721" s="73">
        <v>0</v>
      </c>
      <c r="U1721" s="73">
        <v>0</v>
      </c>
      <c r="V1721" s="73">
        <v>0</v>
      </c>
      <c r="W1721" s="73">
        <v>0</v>
      </c>
      <c r="X1721" s="73">
        <v>0</v>
      </c>
      <c r="Y1721" s="73">
        <v>0</v>
      </c>
      <c r="Z1721" s="73">
        <v>1045</v>
      </c>
      <c r="AA1721" s="73">
        <v>1169</v>
      </c>
      <c r="AB1721" s="73">
        <v>0</v>
      </c>
      <c r="AC1721" s="73">
        <v>0</v>
      </c>
      <c r="AD1721" s="73">
        <v>0</v>
      </c>
      <c r="AE1721" s="73">
        <v>0</v>
      </c>
      <c r="AF1721" s="74">
        <f>tblData[[#This Row],[Gross Sales]]+tblData[[#This Row],[Trade Discounts]]+tblData[[#This Row],[Returns]]</f>
        <v>654</v>
      </c>
      <c r="AG1721" s="74">
        <f>tblData[[#This Row],[Material Cost]]+tblData[[#This Row],[Conversion Cost]]+tblData[[#This Row],[Inbound Freight]]</f>
        <v>-308</v>
      </c>
      <c r="AH1721" s="74">
        <f>tblData[[#This Row],[Net Revenue]]+tblData[[#This Row],[COGS]]</f>
        <v>346</v>
      </c>
      <c r="AI1721" s="74">
        <f>tblData[[#This Row],[Advertising]]+tblData[[#This Row],[Promotions]]</f>
        <v>-119</v>
      </c>
      <c r="AJ1721" s="74">
        <f>tblData[[#This Row],[Outbound Logistics]]+tblData[[#This Row],[Direct Selling]]</f>
        <v>-57</v>
      </c>
      <c r="AK1721" s="74">
        <f>tblData[[#This Row],[Gross Profit]]+tblData[[#This Row],[AP Spend]]+tblData[[#This Row],[Cost to Serve]]</f>
        <v>170</v>
      </c>
    </row>
    <row r="1722" spans="2:37" x14ac:dyDescent="0.25">
      <c r="B1722" s="71" t="s">
        <v>36</v>
      </c>
      <c r="C1722" s="71">
        <v>2026</v>
      </c>
      <c r="D1722" s="71">
        <v>10</v>
      </c>
      <c r="E1722" s="71" t="s">
        <v>45</v>
      </c>
      <c r="F1722" s="71" t="s">
        <v>38</v>
      </c>
      <c r="G1722" s="72">
        <v>171.5</v>
      </c>
      <c r="H1722" s="73">
        <v>2396</v>
      </c>
      <c r="I1722" s="73">
        <v>-556</v>
      </c>
      <c r="J1722" s="73">
        <v>-24</v>
      </c>
      <c r="K1722" s="73">
        <v>-525</v>
      </c>
      <c r="L1722" s="73">
        <v>-129</v>
      </c>
      <c r="M1722" s="73">
        <v>-81</v>
      </c>
      <c r="N1722" s="73">
        <v>-132</v>
      </c>
      <c r="O1722" s="73">
        <v>-78</v>
      </c>
      <c r="P1722" s="73">
        <v>-86</v>
      </c>
      <c r="Q1722" s="73">
        <v>-48</v>
      </c>
      <c r="R1722" s="73">
        <v>0</v>
      </c>
      <c r="S1722" s="73">
        <v>0</v>
      </c>
      <c r="T1722" s="73">
        <v>0</v>
      </c>
      <c r="U1722" s="73">
        <v>0</v>
      </c>
      <c r="V1722" s="73">
        <v>0</v>
      </c>
      <c r="W1722" s="73">
        <v>0</v>
      </c>
      <c r="X1722" s="73">
        <v>0</v>
      </c>
      <c r="Y1722" s="73">
        <v>0</v>
      </c>
      <c r="Z1722" s="73">
        <v>2614</v>
      </c>
      <c r="AA1722" s="73">
        <v>2227</v>
      </c>
      <c r="AB1722" s="73">
        <v>0</v>
      </c>
      <c r="AC1722" s="73">
        <v>0</v>
      </c>
      <c r="AD1722" s="73">
        <v>0</v>
      </c>
      <c r="AE1722" s="73">
        <v>0</v>
      </c>
      <c r="AF1722" s="74">
        <f>tblData[[#This Row],[Gross Sales]]+tblData[[#This Row],[Trade Discounts]]+tblData[[#This Row],[Returns]]</f>
        <v>1816</v>
      </c>
      <c r="AG1722" s="74">
        <f>tblData[[#This Row],[Material Cost]]+tblData[[#This Row],[Conversion Cost]]+tblData[[#This Row],[Inbound Freight]]</f>
        <v>-735</v>
      </c>
      <c r="AH1722" s="74">
        <f>tblData[[#This Row],[Net Revenue]]+tblData[[#This Row],[COGS]]</f>
        <v>1081</v>
      </c>
      <c r="AI1722" s="74">
        <f>tblData[[#This Row],[Advertising]]+tblData[[#This Row],[Promotions]]</f>
        <v>-210</v>
      </c>
      <c r="AJ1722" s="74">
        <f>tblData[[#This Row],[Outbound Logistics]]+tblData[[#This Row],[Direct Selling]]</f>
        <v>-134</v>
      </c>
      <c r="AK1722" s="74">
        <f>tblData[[#This Row],[Gross Profit]]+tblData[[#This Row],[AP Spend]]+tblData[[#This Row],[Cost to Serve]]</f>
        <v>737</v>
      </c>
    </row>
    <row r="1723" spans="2:37" x14ac:dyDescent="0.25">
      <c r="B1723" s="71" t="s">
        <v>36</v>
      </c>
      <c r="C1723" s="71">
        <v>2026</v>
      </c>
      <c r="D1723" s="71">
        <v>10</v>
      </c>
      <c r="E1723" s="71" t="s">
        <v>45</v>
      </c>
      <c r="F1723" s="71" t="s">
        <v>39</v>
      </c>
      <c r="G1723" s="72">
        <v>220.9</v>
      </c>
      <c r="H1723" s="73">
        <v>1976</v>
      </c>
      <c r="I1723" s="73">
        <v>-458</v>
      </c>
      <c r="J1723" s="73">
        <v>-20</v>
      </c>
      <c r="K1723" s="73">
        <v>-520</v>
      </c>
      <c r="L1723" s="73">
        <v>-128</v>
      </c>
      <c r="M1723" s="73">
        <v>-80</v>
      </c>
      <c r="N1723" s="73">
        <v>-75</v>
      </c>
      <c r="O1723" s="73">
        <v>-44</v>
      </c>
      <c r="P1723" s="73">
        <v>-71</v>
      </c>
      <c r="Q1723" s="73">
        <v>-40</v>
      </c>
      <c r="R1723" s="73">
        <v>0</v>
      </c>
      <c r="S1723" s="73">
        <v>0</v>
      </c>
      <c r="T1723" s="73">
        <v>0</v>
      </c>
      <c r="U1723" s="73">
        <v>0</v>
      </c>
      <c r="V1723" s="73">
        <v>0</v>
      </c>
      <c r="W1723" s="73">
        <v>0</v>
      </c>
      <c r="X1723" s="73">
        <v>0</v>
      </c>
      <c r="Y1723" s="73">
        <v>0</v>
      </c>
      <c r="Z1723" s="73">
        <v>2175</v>
      </c>
      <c r="AA1723" s="73">
        <v>1893</v>
      </c>
      <c r="AB1723" s="73">
        <v>0</v>
      </c>
      <c r="AC1723" s="73">
        <v>0</v>
      </c>
      <c r="AD1723" s="73">
        <v>0</v>
      </c>
      <c r="AE1723" s="73">
        <v>0</v>
      </c>
      <c r="AF1723" s="74">
        <f>tblData[[#This Row],[Gross Sales]]+tblData[[#This Row],[Trade Discounts]]+tblData[[#This Row],[Returns]]</f>
        <v>1498</v>
      </c>
      <c r="AG1723" s="74">
        <f>tblData[[#This Row],[Material Cost]]+tblData[[#This Row],[Conversion Cost]]+tblData[[#This Row],[Inbound Freight]]</f>
        <v>-728</v>
      </c>
      <c r="AH1723" s="74">
        <f>tblData[[#This Row],[Net Revenue]]+tblData[[#This Row],[COGS]]</f>
        <v>770</v>
      </c>
      <c r="AI1723" s="74">
        <f>tblData[[#This Row],[Advertising]]+tblData[[#This Row],[Promotions]]</f>
        <v>-119</v>
      </c>
      <c r="AJ1723" s="74">
        <f>tblData[[#This Row],[Outbound Logistics]]+tblData[[#This Row],[Direct Selling]]</f>
        <v>-111</v>
      </c>
      <c r="AK1723" s="74">
        <f>tblData[[#This Row],[Gross Profit]]+tblData[[#This Row],[AP Spend]]+tblData[[#This Row],[Cost to Serve]]</f>
        <v>540</v>
      </c>
    </row>
    <row r="1724" spans="2:37" x14ac:dyDescent="0.25">
      <c r="B1724" s="71" t="s">
        <v>36</v>
      </c>
      <c r="C1724" s="71">
        <v>2026</v>
      </c>
      <c r="D1724" s="71">
        <v>10</v>
      </c>
      <c r="E1724" s="71" t="s">
        <v>45</v>
      </c>
      <c r="F1724" s="71" t="s">
        <v>40</v>
      </c>
      <c r="G1724" s="72">
        <v>211.4</v>
      </c>
      <c r="H1724" s="73">
        <v>1468</v>
      </c>
      <c r="I1724" s="73">
        <v>-341</v>
      </c>
      <c r="J1724" s="73">
        <v>-15</v>
      </c>
      <c r="K1724" s="73">
        <v>-429</v>
      </c>
      <c r="L1724" s="73">
        <v>-106</v>
      </c>
      <c r="M1724" s="73">
        <v>-66</v>
      </c>
      <c r="N1724" s="73">
        <v>-38</v>
      </c>
      <c r="O1724" s="73">
        <v>-22</v>
      </c>
      <c r="P1724" s="73">
        <v>-53</v>
      </c>
      <c r="Q1724" s="73">
        <v>-29</v>
      </c>
      <c r="R1724" s="73">
        <v>0</v>
      </c>
      <c r="S1724" s="73">
        <v>0</v>
      </c>
      <c r="T1724" s="73">
        <v>0</v>
      </c>
      <c r="U1724" s="73">
        <v>0</v>
      </c>
      <c r="V1724" s="73">
        <v>0</v>
      </c>
      <c r="W1724" s="73">
        <v>0</v>
      </c>
      <c r="X1724" s="73">
        <v>0</v>
      </c>
      <c r="Y1724" s="73">
        <v>0</v>
      </c>
      <c r="Z1724" s="73">
        <v>1604</v>
      </c>
      <c r="AA1724" s="73">
        <v>1461</v>
      </c>
      <c r="AB1724" s="73">
        <v>0</v>
      </c>
      <c r="AC1724" s="73">
        <v>0</v>
      </c>
      <c r="AD1724" s="73">
        <v>0</v>
      </c>
      <c r="AE1724" s="73">
        <v>0</v>
      </c>
      <c r="AF1724" s="74">
        <f>tblData[[#This Row],[Gross Sales]]+tblData[[#This Row],[Trade Discounts]]+tblData[[#This Row],[Returns]]</f>
        <v>1112</v>
      </c>
      <c r="AG1724" s="74">
        <f>tblData[[#This Row],[Material Cost]]+tblData[[#This Row],[Conversion Cost]]+tblData[[#This Row],[Inbound Freight]]</f>
        <v>-601</v>
      </c>
      <c r="AH1724" s="74">
        <f>tblData[[#This Row],[Net Revenue]]+tblData[[#This Row],[COGS]]</f>
        <v>511</v>
      </c>
      <c r="AI1724" s="74">
        <f>tblData[[#This Row],[Advertising]]+tblData[[#This Row],[Promotions]]</f>
        <v>-60</v>
      </c>
      <c r="AJ1724" s="74">
        <f>tblData[[#This Row],[Outbound Logistics]]+tblData[[#This Row],[Direct Selling]]</f>
        <v>-82</v>
      </c>
      <c r="AK1724" s="74">
        <f>tblData[[#This Row],[Gross Profit]]+tblData[[#This Row],[AP Spend]]+tblData[[#This Row],[Cost to Serve]]</f>
        <v>369</v>
      </c>
    </row>
    <row r="1725" spans="2:37" x14ac:dyDescent="0.25">
      <c r="B1725" s="71" t="s">
        <v>36</v>
      </c>
      <c r="C1725" s="71">
        <v>2026</v>
      </c>
      <c r="D1725" s="71">
        <v>10</v>
      </c>
      <c r="E1725" s="71" t="s">
        <v>45</v>
      </c>
      <c r="F1725" s="71" t="s">
        <v>41</v>
      </c>
      <c r="G1725" s="72">
        <v>111.1</v>
      </c>
      <c r="H1725" s="73">
        <v>1216</v>
      </c>
      <c r="I1725" s="73">
        <v>-282</v>
      </c>
      <c r="J1725" s="73">
        <v>-12</v>
      </c>
      <c r="K1725" s="73">
        <v>-293</v>
      </c>
      <c r="L1725" s="73">
        <v>-72</v>
      </c>
      <c r="M1725" s="73">
        <v>-45</v>
      </c>
      <c r="N1725" s="73">
        <v>-80</v>
      </c>
      <c r="O1725" s="73">
        <v>-48</v>
      </c>
      <c r="P1725" s="73">
        <v>-44</v>
      </c>
      <c r="Q1725" s="73">
        <v>-24</v>
      </c>
      <c r="R1725" s="73">
        <v>0</v>
      </c>
      <c r="S1725" s="73">
        <v>0</v>
      </c>
      <c r="T1725" s="73">
        <v>0</v>
      </c>
      <c r="U1725" s="73">
        <v>0</v>
      </c>
      <c r="V1725" s="73">
        <v>0</v>
      </c>
      <c r="W1725" s="73">
        <v>0</v>
      </c>
      <c r="X1725" s="73">
        <v>0</v>
      </c>
      <c r="Y1725" s="73">
        <v>0</v>
      </c>
      <c r="Z1725" s="73">
        <v>1298</v>
      </c>
      <c r="AA1725" s="73">
        <v>1156</v>
      </c>
      <c r="AB1725" s="73">
        <v>0</v>
      </c>
      <c r="AC1725" s="73">
        <v>0</v>
      </c>
      <c r="AD1725" s="73">
        <v>0</v>
      </c>
      <c r="AE1725" s="73">
        <v>0</v>
      </c>
      <c r="AF1725" s="74">
        <f>tblData[[#This Row],[Gross Sales]]+tblData[[#This Row],[Trade Discounts]]+tblData[[#This Row],[Returns]]</f>
        <v>922</v>
      </c>
      <c r="AG1725" s="74">
        <f>tblData[[#This Row],[Material Cost]]+tblData[[#This Row],[Conversion Cost]]+tblData[[#This Row],[Inbound Freight]]</f>
        <v>-410</v>
      </c>
      <c r="AH1725" s="74">
        <f>tblData[[#This Row],[Net Revenue]]+tblData[[#This Row],[COGS]]</f>
        <v>512</v>
      </c>
      <c r="AI1725" s="74">
        <f>tblData[[#This Row],[Advertising]]+tblData[[#This Row],[Promotions]]</f>
        <v>-128</v>
      </c>
      <c r="AJ1725" s="74">
        <f>tblData[[#This Row],[Outbound Logistics]]+tblData[[#This Row],[Direct Selling]]</f>
        <v>-68</v>
      </c>
      <c r="AK1725" s="74">
        <f>tblData[[#This Row],[Gross Profit]]+tblData[[#This Row],[AP Spend]]+tblData[[#This Row],[Cost to Serve]]</f>
        <v>316</v>
      </c>
    </row>
    <row r="1726" spans="2:37" x14ac:dyDescent="0.25">
      <c r="B1726" s="71" t="s">
        <v>36</v>
      </c>
      <c r="C1726" s="71">
        <v>2026</v>
      </c>
      <c r="D1726" s="71">
        <v>10</v>
      </c>
      <c r="E1726" s="71" t="s">
        <v>45</v>
      </c>
      <c r="F1726" s="71" t="s">
        <v>42</v>
      </c>
      <c r="G1726" s="72">
        <v>128.80000000000001</v>
      </c>
      <c r="H1726" s="73">
        <v>764</v>
      </c>
      <c r="I1726" s="73">
        <v>-177</v>
      </c>
      <c r="J1726" s="73">
        <v>-8</v>
      </c>
      <c r="K1726" s="73">
        <v>-246</v>
      </c>
      <c r="L1726" s="73">
        <v>-60</v>
      </c>
      <c r="M1726" s="73">
        <v>-38</v>
      </c>
      <c r="N1726" s="73">
        <v>-16</v>
      </c>
      <c r="O1726" s="73">
        <v>-9</v>
      </c>
      <c r="P1726" s="73">
        <v>-28</v>
      </c>
      <c r="Q1726" s="73">
        <v>-15</v>
      </c>
      <c r="R1726" s="73">
        <v>0</v>
      </c>
      <c r="S1726" s="73">
        <v>0</v>
      </c>
      <c r="T1726" s="73">
        <v>0</v>
      </c>
      <c r="U1726" s="73">
        <v>0</v>
      </c>
      <c r="V1726" s="73">
        <v>0</v>
      </c>
      <c r="W1726" s="73">
        <v>0</v>
      </c>
      <c r="X1726" s="73">
        <v>0</v>
      </c>
      <c r="Y1726" s="73">
        <v>0</v>
      </c>
      <c r="Z1726" s="73">
        <v>855</v>
      </c>
      <c r="AA1726" s="73">
        <v>1323</v>
      </c>
      <c r="AB1726" s="73">
        <v>0</v>
      </c>
      <c r="AC1726" s="73">
        <v>0</v>
      </c>
      <c r="AD1726" s="73">
        <v>0</v>
      </c>
      <c r="AE1726" s="73">
        <v>0</v>
      </c>
      <c r="AF1726" s="74">
        <f>tblData[[#This Row],[Gross Sales]]+tblData[[#This Row],[Trade Discounts]]+tblData[[#This Row],[Returns]]</f>
        <v>579</v>
      </c>
      <c r="AG1726" s="74">
        <f>tblData[[#This Row],[Material Cost]]+tblData[[#This Row],[Conversion Cost]]+tblData[[#This Row],[Inbound Freight]]</f>
        <v>-344</v>
      </c>
      <c r="AH1726" s="74">
        <f>tblData[[#This Row],[Net Revenue]]+tblData[[#This Row],[COGS]]</f>
        <v>235</v>
      </c>
      <c r="AI1726" s="74">
        <f>tblData[[#This Row],[Advertising]]+tblData[[#This Row],[Promotions]]</f>
        <v>-25</v>
      </c>
      <c r="AJ1726" s="74">
        <f>tblData[[#This Row],[Outbound Logistics]]+tblData[[#This Row],[Direct Selling]]</f>
        <v>-43</v>
      </c>
      <c r="AK1726" s="74">
        <f>tblData[[#This Row],[Gross Profit]]+tblData[[#This Row],[AP Spend]]+tblData[[#This Row],[Cost to Serve]]</f>
        <v>167</v>
      </c>
    </row>
    <row r="1727" spans="2:37" x14ac:dyDescent="0.25">
      <c r="B1727" s="71" t="s">
        <v>36</v>
      </c>
      <c r="C1727" s="71">
        <v>2026</v>
      </c>
      <c r="D1727" s="71">
        <v>10</v>
      </c>
      <c r="E1727" s="71" t="s">
        <v>45</v>
      </c>
      <c r="F1727" s="71" t="s">
        <v>43</v>
      </c>
      <c r="G1727" s="72">
        <v>25.5</v>
      </c>
      <c r="H1727" s="73">
        <v>455</v>
      </c>
      <c r="I1727" s="73">
        <v>-105</v>
      </c>
      <c r="J1727" s="73">
        <v>-5</v>
      </c>
      <c r="K1727" s="73">
        <v>-126</v>
      </c>
      <c r="L1727" s="73">
        <v>-31</v>
      </c>
      <c r="M1727" s="73">
        <v>-19</v>
      </c>
      <c r="N1727" s="73">
        <v>-44</v>
      </c>
      <c r="O1727" s="73">
        <v>-26</v>
      </c>
      <c r="P1727" s="73">
        <v>-16</v>
      </c>
      <c r="Q1727" s="73">
        <v>-9</v>
      </c>
      <c r="R1727" s="73">
        <v>0</v>
      </c>
      <c r="S1727" s="73">
        <v>0</v>
      </c>
      <c r="T1727" s="73">
        <v>0</v>
      </c>
      <c r="U1727" s="73">
        <v>0</v>
      </c>
      <c r="V1727" s="73">
        <v>0</v>
      </c>
      <c r="W1727" s="73">
        <v>0</v>
      </c>
      <c r="X1727" s="73">
        <v>0</v>
      </c>
      <c r="Y1727" s="73">
        <v>0</v>
      </c>
      <c r="Z1727" s="73">
        <v>486</v>
      </c>
      <c r="AA1727" s="73">
        <v>654</v>
      </c>
      <c r="AB1727" s="73">
        <v>0</v>
      </c>
      <c r="AC1727" s="73">
        <v>0</v>
      </c>
      <c r="AD1727" s="73">
        <v>0</v>
      </c>
      <c r="AE1727" s="73">
        <v>0</v>
      </c>
      <c r="AF1727" s="74">
        <f>tblData[[#This Row],[Gross Sales]]+tblData[[#This Row],[Trade Discounts]]+tblData[[#This Row],[Returns]]</f>
        <v>345</v>
      </c>
      <c r="AG1727" s="74">
        <f>tblData[[#This Row],[Material Cost]]+tblData[[#This Row],[Conversion Cost]]+tblData[[#This Row],[Inbound Freight]]</f>
        <v>-176</v>
      </c>
      <c r="AH1727" s="74">
        <f>tblData[[#This Row],[Net Revenue]]+tblData[[#This Row],[COGS]]</f>
        <v>169</v>
      </c>
      <c r="AI1727" s="74">
        <f>tblData[[#This Row],[Advertising]]+tblData[[#This Row],[Promotions]]</f>
        <v>-70</v>
      </c>
      <c r="AJ1727" s="74">
        <f>tblData[[#This Row],[Outbound Logistics]]+tblData[[#This Row],[Direct Selling]]</f>
        <v>-25</v>
      </c>
      <c r="AK1727" s="74">
        <f>tblData[[#This Row],[Gross Profit]]+tblData[[#This Row],[AP Spend]]+tblData[[#This Row],[Cost to Serve]]</f>
        <v>74</v>
      </c>
    </row>
    <row r="1728" spans="2:37" x14ac:dyDescent="0.25">
      <c r="B1728" s="71" t="s">
        <v>36</v>
      </c>
      <c r="C1728" s="71">
        <v>2026</v>
      </c>
      <c r="D1728" s="71">
        <v>10</v>
      </c>
      <c r="E1728" s="71" t="s">
        <v>46</v>
      </c>
      <c r="F1728" s="71" t="s">
        <v>38</v>
      </c>
      <c r="G1728" s="72">
        <v>220.6</v>
      </c>
      <c r="H1728" s="73">
        <v>3113</v>
      </c>
      <c r="I1728" s="73">
        <v>-336</v>
      </c>
      <c r="J1728" s="73">
        <v>-125</v>
      </c>
      <c r="K1728" s="73">
        <v>-682</v>
      </c>
      <c r="L1728" s="73">
        <v>-168</v>
      </c>
      <c r="M1728" s="73">
        <v>-105</v>
      </c>
      <c r="N1728" s="73">
        <v>-150</v>
      </c>
      <c r="O1728" s="73">
        <v>-89</v>
      </c>
      <c r="P1728" s="73">
        <v>-240</v>
      </c>
      <c r="Q1728" s="73">
        <v>-62</v>
      </c>
      <c r="R1728" s="73">
        <v>0</v>
      </c>
      <c r="S1728" s="73">
        <v>0</v>
      </c>
      <c r="T1728" s="73">
        <v>0</v>
      </c>
      <c r="U1728" s="73">
        <v>0</v>
      </c>
      <c r="V1728" s="73">
        <v>0</v>
      </c>
      <c r="W1728" s="73">
        <v>0</v>
      </c>
      <c r="X1728" s="73">
        <v>0</v>
      </c>
      <c r="Y1728" s="73">
        <v>0</v>
      </c>
      <c r="Z1728" s="73">
        <v>2234</v>
      </c>
      <c r="AA1728" s="73">
        <v>2902</v>
      </c>
      <c r="AB1728" s="73">
        <v>0</v>
      </c>
      <c r="AC1728" s="73">
        <v>0</v>
      </c>
      <c r="AD1728" s="73">
        <v>0</v>
      </c>
      <c r="AE1728" s="73">
        <v>0</v>
      </c>
      <c r="AF1728" s="74">
        <f>tblData[[#This Row],[Gross Sales]]+tblData[[#This Row],[Trade Discounts]]+tblData[[#This Row],[Returns]]</f>
        <v>2652</v>
      </c>
      <c r="AG1728" s="74">
        <f>tblData[[#This Row],[Material Cost]]+tblData[[#This Row],[Conversion Cost]]+tblData[[#This Row],[Inbound Freight]]</f>
        <v>-955</v>
      </c>
      <c r="AH1728" s="74">
        <f>tblData[[#This Row],[Net Revenue]]+tblData[[#This Row],[COGS]]</f>
        <v>1697</v>
      </c>
      <c r="AI1728" s="74">
        <f>tblData[[#This Row],[Advertising]]+tblData[[#This Row],[Promotions]]</f>
        <v>-239</v>
      </c>
      <c r="AJ1728" s="74">
        <f>tblData[[#This Row],[Outbound Logistics]]+tblData[[#This Row],[Direct Selling]]</f>
        <v>-302</v>
      </c>
      <c r="AK1728" s="74">
        <f>tblData[[#This Row],[Gross Profit]]+tblData[[#This Row],[AP Spend]]+tblData[[#This Row],[Cost to Serve]]</f>
        <v>1156</v>
      </c>
    </row>
    <row r="1729" spans="2:37" x14ac:dyDescent="0.25">
      <c r="B1729" s="71" t="s">
        <v>36</v>
      </c>
      <c r="C1729" s="71">
        <v>2026</v>
      </c>
      <c r="D1729" s="71">
        <v>10</v>
      </c>
      <c r="E1729" s="71" t="s">
        <v>46</v>
      </c>
      <c r="F1729" s="71" t="s">
        <v>39</v>
      </c>
      <c r="G1729" s="72">
        <v>282.3</v>
      </c>
      <c r="H1729" s="73">
        <v>2551</v>
      </c>
      <c r="I1729" s="73">
        <v>-276</v>
      </c>
      <c r="J1729" s="73">
        <v>-102</v>
      </c>
      <c r="K1729" s="73">
        <v>-671</v>
      </c>
      <c r="L1729" s="73">
        <v>-165</v>
      </c>
      <c r="M1729" s="73">
        <v>-103</v>
      </c>
      <c r="N1729" s="73">
        <v>-86</v>
      </c>
      <c r="O1729" s="73">
        <v>-51</v>
      </c>
      <c r="P1729" s="73">
        <v>-197</v>
      </c>
      <c r="Q1729" s="73">
        <v>-51</v>
      </c>
      <c r="R1729" s="73">
        <v>0</v>
      </c>
      <c r="S1729" s="73">
        <v>0</v>
      </c>
      <c r="T1729" s="73">
        <v>0</v>
      </c>
      <c r="U1729" s="73">
        <v>0</v>
      </c>
      <c r="V1729" s="73">
        <v>0</v>
      </c>
      <c r="W1729" s="73">
        <v>0</v>
      </c>
      <c r="X1729" s="73">
        <v>0</v>
      </c>
      <c r="Y1729" s="73">
        <v>0</v>
      </c>
      <c r="Z1729" s="73">
        <v>1876</v>
      </c>
      <c r="AA1729" s="73">
        <v>2490</v>
      </c>
      <c r="AB1729" s="73">
        <v>0</v>
      </c>
      <c r="AC1729" s="73">
        <v>0</v>
      </c>
      <c r="AD1729" s="73">
        <v>0</v>
      </c>
      <c r="AE1729" s="73">
        <v>0</v>
      </c>
      <c r="AF1729" s="74">
        <f>tblData[[#This Row],[Gross Sales]]+tblData[[#This Row],[Trade Discounts]]+tblData[[#This Row],[Returns]]</f>
        <v>2173</v>
      </c>
      <c r="AG1729" s="74">
        <f>tblData[[#This Row],[Material Cost]]+tblData[[#This Row],[Conversion Cost]]+tblData[[#This Row],[Inbound Freight]]</f>
        <v>-939</v>
      </c>
      <c r="AH1729" s="74">
        <f>tblData[[#This Row],[Net Revenue]]+tblData[[#This Row],[COGS]]</f>
        <v>1234</v>
      </c>
      <c r="AI1729" s="74">
        <f>tblData[[#This Row],[Advertising]]+tblData[[#This Row],[Promotions]]</f>
        <v>-137</v>
      </c>
      <c r="AJ1729" s="74">
        <f>tblData[[#This Row],[Outbound Logistics]]+tblData[[#This Row],[Direct Selling]]</f>
        <v>-248</v>
      </c>
      <c r="AK1729" s="74">
        <f>tblData[[#This Row],[Gross Profit]]+tblData[[#This Row],[AP Spend]]+tblData[[#This Row],[Cost to Serve]]</f>
        <v>849</v>
      </c>
    </row>
    <row r="1730" spans="2:37" x14ac:dyDescent="0.25">
      <c r="B1730" s="71" t="s">
        <v>36</v>
      </c>
      <c r="C1730" s="71">
        <v>2026</v>
      </c>
      <c r="D1730" s="71">
        <v>10</v>
      </c>
      <c r="E1730" s="71" t="s">
        <v>46</v>
      </c>
      <c r="F1730" s="71" t="s">
        <v>40</v>
      </c>
      <c r="G1730" s="72">
        <v>272.5</v>
      </c>
      <c r="H1730" s="73">
        <v>1911</v>
      </c>
      <c r="I1730" s="73">
        <v>-206</v>
      </c>
      <c r="J1730" s="73">
        <v>-76</v>
      </c>
      <c r="K1730" s="73">
        <v>-559</v>
      </c>
      <c r="L1730" s="73">
        <v>-138</v>
      </c>
      <c r="M1730" s="73">
        <v>-86</v>
      </c>
      <c r="N1730" s="73">
        <v>-43</v>
      </c>
      <c r="O1730" s="73">
        <v>-25</v>
      </c>
      <c r="P1730" s="73">
        <v>-148</v>
      </c>
      <c r="Q1730" s="73">
        <v>-38</v>
      </c>
      <c r="R1730" s="73">
        <v>0</v>
      </c>
      <c r="S1730" s="73">
        <v>0</v>
      </c>
      <c r="T1730" s="73">
        <v>0</v>
      </c>
      <c r="U1730" s="73">
        <v>0</v>
      </c>
      <c r="V1730" s="73">
        <v>0</v>
      </c>
      <c r="W1730" s="73">
        <v>0</v>
      </c>
      <c r="X1730" s="73">
        <v>0</v>
      </c>
      <c r="Y1730" s="73">
        <v>0</v>
      </c>
      <c r="Z1730" s="73">
        <v>1379</v>
      </c>
      <c r="AA1730" s="73">
        <v>1916</v>
      </c>
      <c r="AB1730" s="73">
        <v>0</v>
      </c>
      <c r="AC1730" s="73">
        <v>0</v>
      </c>
      <c r="AD1730" s="73">
        <v>0</v>
      </c>
      <c r="AE1730" s="73">
        <v>0</v>
      </c>
      <c r="AF1730" s="74">
        <f>tblData[[#This Row],[Gross Sales]]+tblData[[#This Row],[Trade Discounts]]+tblData[[#This Row],[Returns]]</f>
        <v>1629</v>
      </c>
      <c r="AG1730" s="74">
        <f>tblData[[#This Row],[Material Cost]]+tblData[[#This Row],[Conversion Cost]]+tblData[[#This Row],[Inbound Freight]]</f>
        <v>-783</v>
      </c>
      <c r="AH1730" s="74">
        <f>tblData[[#This Row],[Net Revenue]]+tblData[[#This Row],[COGS]]</f>
        <v>846</v>
      </c>
      <c r="AI1730" s="74">
        <f>tblData[[#This Row],[Advertising]]+tblData[[#This Row],[Promotions]]</f>
        <v>-68</v>
      </c>
      <c r="AJ1730" s="74">
        <f>tblData[[#This Row],[Outbound Logistics]]+tblData[[#This Row],[Direct Selling]]</f>
        <v>-186</v>
      </c>
      <c r="AK1730" s="74">
        <f>tblData[[#This Row],[Gross Profit]]+tblData[[#This Row],[AP Spend]]+tblData[[#This Row],[Cost to Serve]]</f>
        <v>592</v>
      </c>
    </row>
    <row r="1731" spans="2:37" x14ac:dyDescent="0.25">
      <c r="B1731" s="71" t="s">
        <v>36</v>
      </c>
      <c r="C1731" s="71">
        <v>2026</v>
      </c>
      <c r="D1731" s="71">
        <v>10</v>
      </c>
      <c r="E1731" s="71" t="s">
        <v>46</v>
      </c>
      <c r="F1731" s="71" t="s">
        <v>41</v>
      </c>
      <c r="G1731" s="72">
        <v>135.19999999999999</v>
      </c>
      <c r="H1731" s="73">
        <v>1495</v>
      </c>
      <c r="I1731" s="73">
        <v>-161</v>
      </c>
      <c r="J1731" s="73">
        <v>-60</v>
      </c>
      <c r="K1731" s="73">
        <v>-360</v>
      </c>
      <c r="L1731" s="73">
        <v>-89</v>
      </c>
      <c r="M1731" s="73">
        <v>-55</v>
      </c>
      <c r="N1731" s="73">
        <v>-92</v>
      </c>
      <c r="O1731" s="73">
        <v>-54</v>
      </c>
      <c r="P1731" s="73">
        <v>-115</v>
      </c>
      <c r="Q1731" s="73">
        <v>-30</v>
      </c>
      <c r="R1731" s="73">
        <v>0</v>
      </c>
      <c r="S1731" s="73">
        <v>0</v>
      </c>
      <c r="T1731" s="73">
        <v>0</v>
      </c>
      <c r="U1731" s="73">
        <v>0</v>
      </c>
      <c r="V1731" s="73">
        <v>0</v>
      </c>
      <c r="W1731" s="73">
        <v>0</v>
      </c>
      <c r="X1731" s="73">
        <v>0</v>
      </c>
      <c r="Y1731" s="73">
        <v>0</v>
      </c>
      <c r="Z1731" s="73">
        <v>1096</v>
      </c>
      <c r="AA1731" s="73">
        <v>1488</v>
      </c>
      <c r="AB1731" s="73">
        <v>0</v>
      </c>
      <c r="AC1731" s="73">
        <v>0</v>
      </c>
      <c r="AD1731" s="73">
        <v>0</v>
      </c>
      <c r="AE1731" s="73">
        <v>0</v>
      </c>
      <c r="AF1731" s="74">
        <f>tblData[[#This Row],[Gross Sales]]+tblData[[#This Row],[Trade Discounts]]+tblData[[#This Row],[Returns]]</f>
        <v>1274</v>
      </c>
      <c r="AG1731" s="74">
        <f>tblData[[#This Row],[Material Cost]]+tblData[[#This Row],[Conversion Cost]]+tblData[[#This Row],[Inbound Freight]]</f>
        <v>-504</v>
      </c>
      <c r="AH1731" s="74">
        <f>tblData[[#This Row],[Net Revenue]]+tblData[[#This Row],[COGS]]</f>
        <v>770</v>
      </c>
      <c r="AI1731" s="74">
        <f>tblData[[#This Row],[Advertising]]+tblData[[#This Row],[Promotions]]</f>
        <v>-146</v>
      </c>
      <c r="AJ1731" s="74">
        <f>tblData[[#This Row],[Outbound Logistics]]+tblData[[#This Row],[Direct Selling]]</f>
        <v>-145</v>
      </c>
      <c r="AK1731" s="74">
        <f>tblData[[#This Row],[Gross Profit]]+tblData[[#This Row],[AP Spend]]+tblData[[#This Row],[Cost to Serve]]</f>
        <v>479</v>
      </c>
    </row>
    <row r="1732" spans="2:37" x14ac:dyDescent="0.25">
      <c r="B1732" s="71" t="s">
        <v>36</v>
      </c>
      <c r="C1732" s="71">
        <v>2026</v>
      </c>
      <c r="D1732" s="71">
        <v>10</v>
      </c>
      <c r="E1732" s="71" t="s">
        <v>46</v>
      </c>
      <c r="F1732" s="71" t="s">
        <v>42</v>
      </c>
      <c r="G1732" s="72">
        <v>169.7</v>
      </c>
      <c r="H1732" s="73">
        <v>1016</v>
      </c>
      <c r="I1732" s="73">
        <v>-110</v>
      </c>
      <c r="J1732" s="73">
        <v>-41</v>
      </c>
      <c r="K1732" s="73">
        <v>-327</v>
      </c>
      <c r="L1732" s="73">
        <v>-80</v>
      </c>
      <c r="M1732" s="73">
        <v>-50</v>
      </c>
      <c r="N1732" s="73">
        <v>-18</v>
      </c>
      <c r="O1732" s="73">
        <v>-11</v>
      </c>
      <c r="P1732" s="73">
        <v>-79</v>
      </c>
      <c r="Q1732" s="73">
        <v>-20</v>
      </c>
      <c r="R1732" s="73">
        <v>0</v>
      </c>
      <c r="S1732" s="73">
        <v>0</v>
      </c>
      <c r="T1732" s="73">
        <v>0</v>
      </c>
      <c r="U1732" s="73">
        <v>0</v>
      </c>
      <c r="V1732" s="73">
        <v>0</v>
      </c>
      <c r="W1732" s="73">
        <v>0</v>
      </c>
      <c r="X1732" s="73">
        <v>0</v>
      </c>
      <c r="Y1732" s="73">
        <v>0</v>
      </c>
      <c r="Z1732" s="73">
        <v>717</v>
      </c>
      <c r="AA1732" s="73">
        <v>1691</v>
      </c>
      <c r="AB1732" s="73">
        <v>0</v>
      </c>
      <c r="AC1732" s="73">
        <v>0</v>
      </c>
      <c r="AD1732" s="73">
        <v>0</v>
      </c>
      <c r="AE1732" s="73">
        <v>0</v>
      </c>
      <c r="AF1732" s="74">
        <f>tblData[[#This Row],[Gross Sales]]+tblData[[#This Row],[Trade Discounts]]+tblData[[#This Row],[Returns]]</f>
        <v>865</v>
      </c>
      <c r="AG1732" s="74">
        <f>tblData[[#This Row],[Material Cost]]+tblData[[#This Row],[Conversion Cost]]+tblData[[#This Row],[Inbound Freight]]</f>
        <v>-457</v>
      </c>
      <c r="AH1732" s="74">
        <f>tblData[[#This Row],[Net Revenue]]+tblData[[#This Row],[COGS]]</f>
        <v>408</v>
      </c>
      <c r="AI1732" s="74">
        <f>tblData[[#This Row],[Advertising]]+tblData[[#This Row],[Promotions]]</f>
        <v>-29</v>
      </c>
      <c r="AJ1732" s="74">
        <f>tblData[[#This Row],[Outbound Logistics]]+tblData[[#This Row],[Direct Selling]]</f>
        <v>-99</v>
      </c>
      <c r="AK1732" s="74">
        <f>tblData[[#This Row],[Gross Profit]]+tblData[[#This Row],[AP Spend]]+tblData[[#This Row],[Cost to Serve]]</f>
        <v>280</v>
      </c>
    </row>
    <row r="1733" spans="2:37" x14ac:dyDescent="0.25">
      <c r="B1733" s="71" t="s">
        <v>36</v>
      </c>
      <c r="C1733" s="71">
        <v>2026</v>
      </c>
      <c r="D1733" s="71">
        <v>10</v>
      </c>
      <c r="E1733" s="71" t="s">
        <v>46</v>
      </c>
      <c r="F1733" s="71" t="s">
        <v>43</v>
      </c>
      <c r="G1733" s="72">
        <v>32.1</v>
      </c>
      <c r="H1733" s="73">
        <v>579</v>
      </c>
      <c r="I1733" s="73">
        <v>-63</v>
      </c>
      <c r="J1733" s="73">
        <v>-23</v>
      </c>
      <c r="K1733" s="73">
        <v>-161</v>
      </c>
      <c r="L1733" s="73">
        <v>-40</v>
      </c>
      <c r="M1733" s="73">
        <v>-25</v>
      </c>
      <c r="N1733" s="73">
        <v>-50</v>
      </c>
      <c r="O1733" s="73">
        <v>-30</v>
      </c>
      <c r="P1733" s="73">
        <v>-45</v>
      </c>
      <c r="Q1733" s="73">
        <v>-12</v>
      </c>
      <c r="R1733" s="73">
        <v>0</v>
      </c>
      <c r="S1733" s="73">
        <v>0</v>
      </c>
      <c r="T1733" s="73">
        <v>0</v>
      </c>
      <c r="U1733" s="73">
        <v>0</v>
      </c>
      <c r="V1733" s="73">
        <v>0</v>
      </c>
      <c r="W1733" s="73">
        <v>0</v>
      </c>
      <c r="X1733" s="73">
        <v>0</v>
      </c>
      <c r="Y1733" s="73">
        <v>0</v>
      </c>
      <c r="Z1733" s="73">
        <v>414</v>
      </c>
      <c r="AA1733" s="73">
        <v>849</v>
      </c>
      <c r="AB1733" s="73">
        <v>0</v>
      </c>
      <c r="AC1733" s="73">
        <v>0</v>
      </c>
      <c r="AD1733" s="73">
        <v>0</v>
      </c>
      <c r="AE1733" s="73">
        <v>0</v>
      </c>
      <c r="AF1733" s="74">
        <f>tblData[[#This Row],[Gross Sales]]+tblData[[#This Row],[Trade Discounts]]+tblData[[#This Row],[Returns]]</f>
        <v>493</v>
      </c>
      <c r="AG1733" s="74">
        <f>tblData[[#This Row],[Material Cost]]+tblData[[#This Row],[Conversion Cost]]+tblData[[#This Row],[Inbound Freight]]</f>
        <v>-226</v>
      </c>
      <c r="AH1733" s="74">
        <f>tblData[[#This Row],[Net Revenue]]+tblData[[#This Row],[COGS]]</f>
        <v>267</v>
      </c>
      <c r="AI1733" s="74">
        <f>tblData[[#This Row],[Advertising]]+tblData[[#This Row],[Promotions]]</f>
        <v>-80</v>
      </c>
      <c r="AJ1733" s="74">
        <f>tblData[[#This Row],[Outbound Logistics]]+tblData[[#This Row],[Direct Selling]]</f>
        <v>-57</v>
      </c>
      <c r="AK1733" s="74">
        <f>tblData[[#This Row],[Gross Profit]]+tblData[[#This Row],[AP Spend]]+tblData[[#This Row],[Cost to Serve]]</f>
        <v>130</v>
      </c>
    </row>
    <row r="1734" spans="2:37" x14ac:dyDescent="0.25">
      <c r="B1734" s="71" t="s">
        <v>36</v>
      </c>
      <c r="C1734" s="71">
        <v>2026</v>
      </c>
      <c r="D1734" s="71">
        <v>10</v>
      </c>
      <c r="E1734" s="71" t="s">
        <v>47</v>
      </c>
      <c r="F1734" s="71" t="s">
        <v>38</v>
      </c>
      <c r="G1734" s="72">
        <v>82.4</v>
      </c>
      <c r="H1734" s="73">
        <v>1168</v>
      </c>
      <c r="I1734" s="73">
        <v>-35</v>
      </c>
      <c r="J1734" s="73">
        <v>-58</v>
      </c>
      <c r="K1734" s="73">
        <v>-256</v>
      </c>
      <c r="L1734" s="73">
        <v>-63</v>
      </c>
      <c r="M1734" s="73">
        <v>-39</v>
      </c>
      <c r="N1734" s="73">
        <v>-56</v>
      </c>
      <c r="O1734" s="73">
        <v>-33</v>
      </c>
      <c r="P1734" s="73">
        <v>-144</v>
      </c>
      <c r="Q1734" s="73">
        <v>-47</v>
      </c>
      <c r="R1734" s="73">
        <v>0</v>
      </c>
      <c r="S1734" s="73">
        <v>0</v>
      </c>
      <c r="T1734" s="73">
        <v>0</v>
      </c>
      <c r="U1734" s="73">
        <v>0</v>
      </c>
      <c r="V1734" s="73">
        <v>0</v>
      </c>
      <c r="W1734" s="73">
        <v>0</v>
      </c>
      <c r="X1734" s="73">
        <v>0</v>
      </c>
      <c r="Y1734" s="73">
        <v>0</v>
      </c>
      <c r="Z1734" s="73">
        <v>190</v>
      </c>
      <c r="AA1734" s="73">
        <v>1067</v>
      </c>
      <c r="AB1734" s="73">
        <v>0</v>
      </c>
      <c r="AC1734" s="73">
        <v>0</v>
      </c>
      <c r="AD1734" s="73">
        <v>0</v>
      </c>
      <c r="AE1734" s="73">
        <v>0</v>
      </c>
      <c r="AF1734" s="74">
        <f>tblData[[#This Row],[Gross Sales]]+tblData[[#This Row],[Trade Discounts]]+tblData[[#This Row],[Returns]]</f>
        <v>1075</v>
      </c>
      <c r="AG1734" s="74">
        <f>tblData[[#This Row],[Material Cost]]+tblData[[#This Row],[Conversion Cost]]+tblData[[#This Row],[Inbound Freight]]</f>
        <v>-358</v>
      </c>
      <c r="AH1734" s="74">
        <f>tblData[[#This Row],[Net Revenue]]+tblData[[#This Row],[COGS]]</f>
        <v>717</v>
      </c>
      <c r="AI1734" s="74">
        <f>tblData[[#This Row],[Advertising]]+tblData[[#This Row],[Promotions]]</f>
        <v>-89</v>
      </c>
      <c r="AJ1734" s="74">
        <f>tblData[[#This Row],[Outbound Logistics]]+tblData[[#This Row],[Direct Selling]]</f>
        <v>-191</v>
      </c>
      <c r="AK1734" s="74">
        <f>tblData[[#This Row],[Gross Profit]]+tblData[[#This Row],[AP Spend]]+tblData[[#This Row],[Cost to Serve]]</f>
        <v>437</v>
      </c>
    </row>
    <row r="1735" spans="2:37" x14ac:dyDescent="0.25">
      <c r="B1735" s="71" t="s">
        <v>36</v>
      </c>
      <c r="C1735" s="71">
        <v>2026</v>
      </c>
      <c r="D1735" s="71">
        <v>10</v>
      </c>
      <c r="E1735" s="71" t="s">
        <v>47</v>
      </c>
      <c r="F1735" s="71" t="s">
        <v>39</v>
      </c>
      <c r="G1735" s="72">
        <v>104.4</v>
      </c>
      <c r="H1735" s="73">
        <v>947</v>
      </c>
      <c r="I1735" s="73">
        <v>-28</v>
      </c>
      <c r="J1735" s="73">
        <v>-47</v>
      </c>
      <c r="K1735" s="73">
        <v>-249</v>
      </c>
      <c r="L1735" s="73">
        <v>-61</v>
      </c>
      <c r="M1735" s="73">
        <v>-38</v>
      </c>
      <c r="N1735" s="73">
        <v>-32</v>
      </c>
      <c r="O1735" s="73">
        <v>-19</v>
      </c>
      <c r="P1735" s="73">
        <v>-117</v>
      </c>
      <c r="Q1735" s="73">
        <v>-38</v>
      </c>
      <c r="R1735" s="73">
        <v>0</v>
      </c>
      <c r="S1735" s="73">
        <v>0</v>
      </c>
      <c r="T1735" s="73">
        <v>0</v>
      </c>
      <c r="U1735" s="73">
        <v>0</v>
      </c>
      <c r="V1735" s="73">
        <v>0</v>
      </c>
      <c r="W1735" s="73">
        <v>0</v>
      </c>
      <c r="X1735" s="73">
        <v>0</v>
      </c>
      <c r="Y1735" s="73">
        <v>0</v>
      </c>
      <c r="Z1735" s="73">
        <v>159</v>
      </c>
      <c r="AA1735" s="73">
        <v>915</v>
      </c>
      <c r="AB1735" s="73">
        <v>0</v>
      </c>
      <c r="AC1735" s="73">
        <v>0</v>
      </c>
      <c r="AD1735" s="73">
        <v>0</v>
      </c>
      <c r="AE1735" s="73">
        <v>0</v>
      </c>
      <c r="AF1735" s="74">
        <f>tblData[[#This Row],[Gross Sales]]+tblData[[#This Row],[Trade Discounts]]+tblData[[#This Row],[Returns]]</f>
        <v>872</v>
      </c>
      <c r="AG1735" s="74">
        <f>tblData[[#This Row],[Material Cost]]+tblData[[#This Row],[Conversion Cost]]+tblData[[#This Row],[Inbound Freight]]</f>
        <v>-348</v>
      </c>
      <c r="AH1735" s="74">
        <f>tblData[[#This Row],[Net Revenue]]+tblData[[#This Row],[COGS]]</f>
        <v>524</v>
      </c>
      <c r="AI1735" s="74">
        <f>tblData[[#This Row],[Advertising]]+tblData[[#This Row],[Promotions]]</f>
        <v>-51</v>
      </c>
      <c r="AJ1735" s="74">
        <f>tblData[[#This Row],[Outbound Logistics]]+tblData[[#This Row],[Direct Selling]]</f>
        <v>-155</v>
      </c>
      <c r="AK1735" s="74">
        <f>tblData[[#This Row],[Gross Profit]]+tblData[[#This Row],[AP Spend]]+tblData[[#This Row],[Cost to Serve]]</f>
        <v>318</v>
      </c>
    </row>
    <row r="1736" spans="2:37" x14ac:dyDescent="0.25">
      <c r="B1736" s="71" t="s">
        <v>36</v>
      </c>
      <c r="C1736" s="71">
        <v>2026</v>
      </c>
      <c r="D1736" s="71">
        <v>10</v>
      </c>
      <c r="E1736" s="71" t="s">
        <v>47</v>
      </c>
      <c r="F1736" s="71" t="s">
        <v>40</v>
      </c>
      <c r="G1736" s="72">
        <v>99</v>
      </c>
      <c r="H1736" s="73">
        <v>697</v>
      </c>
      <c r="I1736" s="73">
        <v>-21</v>
      </c>
      <c r="J1736" s="73">
        <v>-35</v>
      </c>
      <c r="K1736" s="73">
        <v>-204</v>
      </c>
      <c r="L1736" s="73">
        <v>-50</v>
      </c>
      <c r="M1736" s="73">
        <v>-31</v>
      </c>
      <c r="N1736" s="73">
        <v>-16</v>
      </c>
      <c r="O1736" s="73">
        <v>-10</v>
      </c>
      <c r="P1736" s="73">
        <v>-86</v>
      </c>
      <c r="Q1736" s="73">
        <v>-28</v>
      </c>
      <c r="R1736" s="73">
        <v>0</v>
      </c>
      <c r="S1736" s="73">
        <v>0</v>
      </c>
      <c r="T1736" s="73">
        <v>0</v>
      </c>
      <c r="U1736" s="73">
        <v>0</v>
      </c>
      <c r="V1736" s="73">
        <v>0</v>
      </c>
      <c r="W1736" s="73">
        <v>0</v>
      </c>
      <c r="X1736" s="73">
        <v>0</v>
      </c>
      <c r="Y1736" s="73">
        <v>0</v>
      </c>
      <c r="Z1736" s="73">
        <v>115</v>
      </c>
      <c r="AA1736" s="73">
        <v>691</v>
      </c>
      <c r="AB1736" s="73">
        <v>0</v>
      </c>
      <c r="AC1736" s="73">
        <v>0</v>
      </c>
      <c r="AD1736" s="73">
        <v>0</v>
      </c>
      <c r="AE1736" s="73">
        <v>0</v>
      </c>
      <c r="AF1736" s="74">
        <f>tblData[[#This Row],[Gross Sales]]+tblData[[#This Row],[Trade Discounts]]+tblData[[#This Row],[Returns]]</f>
        <v>641</v>
      </c>
      <c r="AG1736" s="74">
        <f>tblData[[#This Row],[Material Cost]]+tblData[[#This Row],[Conversion Cost]]+tblData[[#This Row],[Inbound Freight]]</f>
        <v>-285</v>
      </c>
      <c r="AH1736" s="74">
        <f>tblData[[#This Row],[Net Revenue]]+tblData[[#This Row],[COGS]]</f>
        <v>356</v>
      </c>
      <c r="AI1736" s="74">
        <f>tblData[[#This Row],[Advertising]]+tblData[[#This Row],[Promotions]]</f>
        <v>-26</v>
      </c>
      <c r="AJ1736" s="74">
        <f>tblData[[#This Row],[Outbound Logistics]]+tblData[[#This Row],[Direct Selling]]</f>
        <v>-114</v>
      </c>
      <c r="AK1736" s="74">
        <f>tblData[[#This Row],[Gross Profit]]+tblData[[#This Row],[AP Spend]]+tblData[[#This Row],[Cost to Serve]]</f>
        <v>216</v>
      </c>
    </row>
    <row r="1737" spans="2:37" x14ac:dyDescent="0.25">
      <c r="B1737" s="71" t="s">
        <v>36</v>
      </c>
      <c r="C1737" s="71">
        <v>2026</v>
      </c>
      <c r="D1737" s="71">
        <v>10</v>
      </c>
      <c r="E1737" s="71" t="s">
        <v>47</v>
      </c>
      <c r="F1737" s="71" t="s">
        <v>41</v>
      </c>
      <c r="G1737" s="72">
        <v>49.3</v>
      </c>
      <c r="H1737" s="73">
        <v>547</v>
      </c>
      <c r="I1737" s="73">
        <v>-16</v>
      </c>
      <c r="J1737" s="73">
        <v>-27</v>
      </c>
      <c r="K1737" s="73">
        <v>-132</v>
      </c>
      <c r="L1737" s="73">
        <v>-32</v>
      </c>
      <c r="M1737" s="73">
        <v>-20</v>
      </c>
      <c r="N1737" s="73">
        <v>-34</v>
      </c>
      <c r="O1737" s="73">
        <v>-20</v>
      </c>
      <c r="P1737" s="73">
        <v>-68</v>
      </c>
      <c r="Q1737" s="73">
        <v>-22</v>
      </c>
      <c r="R1737" s="73">
        <v>0</v>
      </c>
      <c r="S1737" s="73">
        <v>0</v>
      </c>
      <c r="T1737" s="73">
        <v>0</v>
      </c>
      <c r="U1737" s="73">
        <v>0</v>
      </c>
      <c r="V1737" s="73">
        <v>0</v>
      </c>
      <c r="W1737" s="73">
        <v>0</v>
      </c>
      <c r="X1737" s="73">
        <v>0</v>
      </c>
      <c r="Y1737" s="73">
        <v>0</v>
      </c>
      <c r="Z1737" s="73">
        <v>93</v>
      </c>
      <c r="AA1737" s="73">
        <v>547</v>
      </c>
      <c r="AB1737" s="73">
        <v>0</v>
      </c>
      <c r="AC1737" s="73">
        <v>0</v>
      </c>
      <c r="AD1737" s="73">
        <v>0</v>
      </c>
      <c r="AE1737" s="73">
        <v>0</v>
      </c>
      <c r="AF1737" s="74">
        <f>tblData[[#This Row],[Gross Sales]]+tblData[[#This Row],[Trade Discounts]]+tblData[[#This Row],[Returns]]</f>
        <v>504</v>
      </c>
      <c r="AG1737" s="74">
        <f>tblData[[#This Row],[Material Cost]]+tblData[[#This Row],[Conversion Cost]]+tblData[[#This Row],[Inbound Freight]]</f>
        <v>-184</v>
      </c>
      <c r="AH1737" s="74">
        <f>tblData[[#This Row],[Net Revenue]]+tblData[[#This Row],[COGS]]</f>
        <v>320</v>
      </c>
      <c r="AI1737" s="74">
        <f>tblData[[#This Row],[Advertising]]+tblData[[#This Row],[Promotions]]</f>
        <v>-54</v>
      </c>
      <c r="AJ1737" s="74">
        <f>tblData[[#This Row],[Outbound Logistics]]+tblData[[#This Row],[Direct Selling]]</f>
        <v>-90</v>
      </c>
      <c r="AK1737" s="74">
        <f>tblData[[#This Row],[Gross Profit]]+tblData[[#This Row],[AP Spend]]+tblData[[#This Row],[Cost to Serve]]</f>
        <v>176</v>
      </c>
    </row>
    <row r="1738" spans="2:37" x14ac:dyDescent="0.25">
      <c r="B1738" s="71" t="s">
        <v>36</v>
      </c>
      <c r="C1738" s="71">
        <v>2026</v>
      </c>
      <c r="D1738" s="71">
        <v>10</v>
      </c>
      <c r="E1738" s="71" t="s">
        <v>47</v>
      </c>
      <c r="F1738" s="71" t="s">
        <v>42</v>
      </c>
      <c r="G1738" s="72">
        <v>58.9</v>
      </c>
      <c r="H1738" s="73">
        <v>354</v>
      </c>
      <c r="I1738" s="73">
        <v>-11</v>
      </c>
      <c r="J1738" s="73">
        <v>-18</v>
      </c>
      <c r="K1738" s="73">
        <v>-114</v>
      </c>
      <c r="L1738" s="73">
        <v>-28</v>
      </c>
      <c r="M1738" s="73">
        <v>-17</v>
      </c>
      <c r="N1738" s="73">
        <v>-7</v>
      </c>
      <c r="O1738" s="73">
        <v>-4</v>
      </c>
      <c r="P1738" s="73">
        <v>-44</v>
      </c>
      <c r="Q1738" s="73">
        <v>-14</v>
      </c>
      <c r="R1738" s="73">
        <v>0</v>
      </c>
      <c r="S1738" s="73">
        <v>0</v>
      </c>
      <c r="T1738" s="73">
        <v>0</v>
      </c>
      <c r="U1738" s="73">
        <v>0</v>
      </c>
      <c r="V1738" s="73">
        <v>0</v>
      </c>
      <c r="W1738" s="73">
        <v>0</v>
      </c>
      <c r="X1738" s="73">
        <v>0</v>
      </c>
      <c r="Y1738" s="73">
        <v>0</v>
      </c>
      <c r="Z1738" s="73">
        <v>60</v>
      </c>
      <c r="AA1738" s="73">
        <v>607</v>
      </c>
      <c r="AB1738" s="73">
        <v>0</v>
      </c>
      <c r="AC1738" s="73">
        <v>0</v>
      </c>
      <c r="AD1738" s="73">
        <v>0</v>
      </c>
      <c r="AE1738" s="73">
        <v>0</v>
      </c>
      <c r="AF1738" s="74">
        <f>tblData[[#This Row],[Gross Sales]]+tblData[[#This Row],[Trade Discounts]]+tblData[[#This Row],[Returns]]</f>
        <v>325</v>
      </c>
      <c r="AG1738" s="74">
        <f>tblData[[#This Row],[Material Cost]]+tblData[[#This Row],[Conversion Cost]]+tblData[[#This Row],[Inbound Freight]]</f>
        <v>-159</v>
      </c>
      <c r="AH1738" s="74">
        <f>tblData[[#This Row],[Net Revenue]]+tblData[[#This Row],[COGS]]</f>
        <v>166</v>
      </c>
      <c r="AI1738" s="74">
        <f>tblData[[#This Row],[Advertising]]+tblData[[#This Row],[Promotions]]</f>
        <v>-11</v>
      </c>
      <c r="AJ1738" s="74">
        <f>tblData[[#This Row],[Outbound Logistics]]+tblData[[#This Row],[Direct Selling]]</f>
        <v>-58</v>
      </c>
      <c r="AK1738" s="74">
        <f>tblData[[#This Row],[Gross Profit]]+tblData[[#This Row],[AP Spend]]+tblData[[#This Row],[Cost to Serve]]</f>
        <v>97</v>
      </c>
    </row>
    <row r="1739" spans="2:37" x14ac:dyDescent="0.25">
      <c r="B1739" s="71" t="s">
        <v>36</v>
      </c>
      <c r="C1739" s="71">
        <v>2026</v>
      </c>
      <c r="D1739" s="71">
        <v>10</v>
      </c>
      <c r="E1739" s="71" t="s">
        <v>47</v>
      </c>
      <c r="F1739" s="71" t="s">
        <v>43</v>
      </c>
      <c r="G1739" s="72">
        <v>11.5</v>
      </c>
      <c r="H1739" s="73">
        <v>209</v>
      </c>
      <c r="I1739" s="73">
        <v>-6</v>
      </c>
      <c r="J1739" s="73">
        <v>-10</v>
      </c>
      <c r="K1739" s="73">
        <v>-58</v>
      </c>
      <c r="L1739" s="73">
        <v>-14</v>
      </c>
      <c r="M1739" s="73">
        <v>-9</v>
      </c>
      <c r="N1739" s="73">
        <v>-19</v>
      </c>
      <c r="O1739" s="73">
        <v>-11</v>
      </c>
      <c r="P1739" s="73">
        <v>-26</v>
      </c>
      <c r="Q1739" s="73">
        <v>-8</v>
      </c>
      <c r="R1739" s="73">
        <v>0</v>
      </c>
      <c r="S1739" s="73">
        <v>0</v>
      </c>
      <c r="T1739" s="73">
        <v>0</v>
      </c>
      <c r="U1739" s="73">
        <v>0</v>
      </c>
      <c r="V1739" s="73">
        <v>0</v>
      </c>
      <c r="W1739" s="73">
        <v>0</v>
      </c>
      <c r="X1739" s="73">
        <v>0</v>
      </c>
      <c r="Y1739" s="73">
        <v>0</v>
      </c>
      <c r="Z1739" s="73">
        <v>34</v>
      </c>
      <c r="AA1739" s="73">
        <v>305</v>
      </c>
      <c r="AB1739" s="73">
        <v>0</v>
      </c>
      <c r="AC1739" s="73">
        <v>0</v>
      </c>
      <c r="AD1739" s="73">
        <v>0</v>
      </c>
      <c r="AE1739" s="73">
        <v>0</v>
      </c>
      <c r="AF1739" s="74">
        <f>tblData[[#This Row],[Gross Sales]]+tblData[[#This Row],[Trade Discounts]]+tblData[[#This Row],[Returns]]</f>
        <v>193</v>
      </c>
      <c r="AG1739" s="74">
        <f>tblData[[#This Row],[Material Cost]]+tblData[[#This Row],[Conversion Cost]]+tblData[[#This Row],[Inbound Freight]]</f>
        <v>-81</v>
      </c>
      <c r="AH1739" s="74">
        <f>tblData[[#This Row],[Net Revenue]]+tblData[[#This Row],[COGS]]</f>
        <v>112</v>
      </c>
      <c r="AI1739" s="74">
        <f>tblData[[#This Row],[Advertising]]+tblData[[#This Row],[Promotions]]</f>
        <v>-30</v>
      </c>
      <c r="AJ1739" s="74">
        <f>tblData[[#This Row],[Outbound Logistics]]+tblData[[#This Row],[Direct Selling]]</f>
        <v>-34</v>
      </c>
      <c r="AK1739" s="74">
        <f>tblData[[#This Row],[Gross Profit]]+tblData[[#This Row],[AP Spend]]+tblData[[#This Row],[Cost to Serve]]</f>
        <v>48</v>
      </c>
    </row>
    <row r="1740" spans="2:37" x14ac:dyDescent="0.25">
      <c r="B1740" s="71" t="s">
        <v>36</v>
      </c>
      <c r="C1740" s="71">
        <v>2026</v>
      </c>
      <c r="D1740" s="71">
        <v>10</v>
      </c>
      <c r="E1740" s="71" t="s">
        <v>48</v>
      </c>
      <c r="F1740" s="71" t="s">
        <v>38</v>
      </c>
      <c r="G1740" s="72">
        <v>126.9</v>
      </c>
      <c r="H1740" s="73">
        <v>1787</v>
      </c>
      <c r="I1740" s="73">
        <v>-161</v>
      </c>
      <c r="J1740" s="73">
        <v>-18</v>
      </c>
      <c r="K1740" s="73">
        <v>-392</v>
      </c>
      <c r="L1740" s="73">
        <v>-96</v>
      </c>
      <c r="M1740" s="73">
        <v>-60</v>
      </c>
      <c r="N1740" s="73">
        <v>-94</v>
      </c>
      <c r="O1740" s="73">
        <v>-56</v>
      </c>
      <c r="P1740" s="73">
        <v>-55</v>
      </c>
      <c r="Q1740" s="73">
        <v>-27</v>
      </c>
      <c r="R1740" s="73">
        <v>0</v>
      </c>
      <c r="S1740" s="73">
        <v>0</v>
      </c>
      <c r="T1740" s="73">
        <v>0</v>
      </c>
      <c r="U1740" s="73">
        <v>0</v>
      </c>
      <c r="V1740" s="73">
        <v>0</v>
      </c>
      <c r="W1740" s="73">
        <v>0</v>
      </c>
      <c r="X1740" s="73">
        <v>0</v>
      </c>
      <c r="Y1740" s="73">
        <v>0</v>
      </c>
      <c r="Z1740" s="73">
        <v>3533</v>
      </c>
      <c r="AA1740" s="73">
        <v>1667</v>
      </c>
      <c r="AB1740" s="73">
        <v>0</v>
      </c>
      <c r="AC1740" s="73">
        <v>0</v>
      </c>
      <c r="AD1740" s="73">
        <v>0</v>
      </c>
      <c r="AE1740" s="73">
        <v>0</v>
      </c>
      <c r="AF1740" s="74">
        <f>tblData[[#This Row],[Gross Sales]]+tblData[[#This Row],[Trade Discounts]]+tblData[[#This Row],[Returns]]</f>
        <v>1608</v>
      </c>
      <c r="AG1740" s="74">
        <f>tblData[[#This Row],[Material Cost]]+tblData[[#This Row],[Conversion Cost]]+tblData[[#This Row],[Inbound Freight]]</f>
        <v>-548</v>
      </c>
      <c r="AH1740" s="74">
        <f>tblData[[#This Row],[Net Revenue]]+tblData[[#This Row],[COGS]]</f>
        <v>1060</v>
      </c>
      <c r="AI1740" s="74">
        <f>tblData[[#This Row],[Advertising]]+tblData[[#This Row],[Promotions]]</f>
        <v>-150</v>
      </c>
      <c r="AJ1740" s="74">
        <f>tblData[[#This Row],[Outbound Logistics]]+tblData[[#This Row],[Direct Selling]]</f>
        <v>-82</v>
      </c>
      <c r="AK1740" s="74">
        <f>tblData[[#This Row],[Gross Profit]]+tblData[[#This Row],[AP Spend]]+tblData[[#This Row],[Cost to Serve]]</f>
        <v>828</v>
      </c>
    </row>
    <row r="1741" spans="2:37" x14ac:dyDescent="0.25">
      <c r="B1741" s="71" t="s">
        <v>36</v>
      </c>
      <c r="C1741" s="71">
        <v>2026</v>
      </c>
      <c r="D1741" s="71">
        <v>10</v>
      </c>
      <c r="E1741" s="71" t="s">
        <v>48</v>
      </c>
      <c r="F1741" s="71" t="s">
        <v>39</v>
      </c>
      <c r="G1741" s="72">
        <v>168.5</v>
      </c>
      <c r="H1741" s="73">
        <v>1520</v>
      </c>
      <c r="I1741" s="73">
        <v>-137</v>
      </c>
      <c r="J1741" s="73">
        <v>-15</v>
      </c>
      <c r="K1741" s="73">
        <v>-400</v>
      </c>
      <c r="L1741" s="73">
        <v>-98</v>
      </c>
      <c r="M1741" s="73">
        <v>-61</v>
      </c>
      <c r="N1741" s="73">
        <v>-54</v>
      </c>
      <c r="O1741" s="73">
        <v>-32</v>
      </c>
      <c r="P1741" s="73">
        <v>-47</v>
      </c>
      <c r="Q1741" s="73">
        <v>-23</v>
      </c>
      <c r="R1741" s="73">
        <v>0</v>
      </c>
      <c r="S1741" s="73">
        <v>0</v>
      </c>
      <c r="T1741" s="73">
        <v>0</v>
      </c>
      <c r="U1741" s="73">
        <v>0</v>
      </c>
      <c r="V1741" s="73">
        <v>0</v>
      </c>
      <c r="W1741" s="73">
        <v>0</v>
      </c>
      <c r="X1741" s="73">
        <v>0</v>
      </c>
      <c r="Y1741" s="73">
        <v>0</v>
      </c>
      <c r="Z1741" s="73">
        <v>3028</v>
      </c>
      <c r="AA1741" s="73">
        <v>1459</v>
      </c>
      <c r="AB1741" s="73">
        <v>0</v>
      </c>
      <c r="AC1741" s="73">
        <v>0</v>
      </c>
      <c r="AD1741" s="73">
        <v>0</v>
      </c>
      <c r="AE1741" s="73">
        <v>0</v>
      </c>
      <c r="AF1741" s="74">
        <f>tblData[[#This Row],[Gross Sales]]+tblData[[#This Row],[Trade Discounts]]+tblData[[#This Row],[Returns]]</f>
        <v>1368</v>
      </c>
      <c r="AG1741" s="74">
        <f>tblData[[#This Row],[Material Cost]]+tblData[[#This Row],[Conversion Cost]]+tblData[[#This Row],[Inbound Freight]]</f>
        <v>-559</v>
      </c>
      <c r="AH1741" s="74">
        <f>tblData[[#This Row],[Net Revenue]]+tblData[[#This Row],[COGS]]</f>
        <v>809</v>
      </c>
      <c r="AI1741" s="74">
        <f>tblData[[#This Row],[Advertising]]+tblData[[#This Row],[Promotions]]</f>
        <v>-86</v>
      </c>
      <c r="AJ1741" s="74">
        <f>tblData[[#This Row],[Outbound Logistics]]+tblData[[#This Row],[Direct Selling]]</f>
        <v>-70</v>
      </c>
      <c r="AK1741" s="74">
        <f>tblData[[#This Row],[Gross Profit]]+tblData[[#This Row],[AP Spend]]+tblData[[#This Row],[Cost to Serve]]</f>
        <v>653</v>
      </c>
    </row>
    <row r="1742" spans="2:37" x14ac:dyDescent="0.25">
      <c r="B1742" s="71" t="s">
        <v>36</v>
      </c>
      <c r="C1742" s="71">
        <v>2026</v>
      </c>
      <c r="D1742" s="71">
        <v>10</v>
      </c>
      <c r="E1742" s="71" t="s">
        <v>48</v>
      </c>
      <c r="F1742" s="71" t="s">
        <v>40</v>
      </c>
      <c r="G1742" s="72">
        <v>158.19999999999999</v>
      </c>
      <c r="H1742" s="73">
        <v>1107</v>
      </c>
      <c r="I1742" s="73">
        <v>-100</v>
      </c>
      <c r="J1742" s="73">
        <v>-11</v>
      </c>
      <c r="K1742" s="73">
        <v>-324</v>
      </c>
      <c r="L1742" s="73">
        <v>-80</v>
      </c>
      <c r="M1742" s="73">
        <v>-50</v>
      </c>
      <c r="N1742" s="73">
        <v>-27</v>
      </c>
      <c r="O1742" s="73">
        <v>-16</v>
      </c>
      <c r="P1742" s="73">
        <v>-34</v>
      </c>
      <c r="Q1742" s="73">
        <v>-17</v>
      </c>
      <c r="R1742" s="73">
        <v>0</v>
      </c>
      <c r="S1742" s="73">
        <v>0</v>
      </c>
      <c r="T1742" s="73">
        <v>0</v>
      </c>
      <c r="U1742" s="73">
        <v>0</v>
      </c>
      <c r="V1742" s="73">
        <v>0</v>
      </c>
      <c r="W1742" s="73">
        <v>0</v>
      </c>
      <c r="X1742" s="73">
        <v>0</v>
      </c>
      <c r="Y1742" s="73">
        <v>0</v>
      </c>
      <c r="Z1742" s="73">
        <v>2198</v>
      </c>
      <c r="AA1742" s="73">
        <v>1109</v>
      </c>
      <c r="AB1742" s="73">
        <v>0</v>
      </c>
      <c r="AC1742" s="73">
        <v>0</v>
      </c>
      <c r="AD1742" s="73">
        <v>0</v>
      </c>
      <c r="AE1742" s="73">
        <v>0</v>
      </c>
      <c r="AF1742" s="74">
        <f>tblData[[#This Row],[Gross Sales]]+tblData[[#This Row],[Trade Discounts]]+tblData[[#This Row],[Returns]]</f>
        <v>996</v>
      </c>
      <c r="AG1742" s="74">
        <f>tblData[[#This Row],[Material Cost]]+tblData[[#This Row],[Conversion Cost]]+tblData[[#This Row],[Inbound Freight]]</f>
        <v>-454</v>
      </c>
      <c r="AH1742" s="74">
        <f>tblData[[#This Row],[Net Revenue]]+tblData[[#This Row],[COGS]]</f>
        <v>542</v>
      </c>
      <c r="AI1742" s="74">
        <f>tblData[[#This Row],[Advertising]]+tblData[[#This Row],[Promotions]]</f>
        <v>-43</v>
      </c>
      <c r="AJ1742" s="74">
        <f>tblData[[#This Row],[Outbound Logistics]]+tblData[[#This Row],[Direct Selling]]</f>
        <v>-51</v>
      </c>
      <c r="AK1742" s="74">
        <f>tblData[[#This Row],[Gross Profit]]+tblData[[#This Row],[AP Spend]]+tblData[[#This Row],[Cost to Serve]]</f>
        <v>448</v>
      </c>
    </row>
    <row r="1743" spans="2:37" x14ac:dyDescent="0.25">
      <c r="B1743" s="71" t="s">
        <v>36</v>
      </c>
      <c r="C1743" s="71">
        <v>2026</v>
      </c>
      <c r="D1743" s="71">
        <v>10</v>
      </c>
      <c r="E1743" s="71" t="s">
        <v>48</v>
      </c>
      <c r="F1743" s="71" t="s">
        <v>41</v>
      </c>
      <c r="G1743" s="72">
        <v>81</v>
      </c>
      <c r="H1743" s="73">
        <v>894</v>
      </c>
      <c r="I1743" s="73">
        <v>-80</v>
      </c>
      <c r="J1743" s="73">
        <v>-9</v>
      </c>
      <c r="K1743" s="73">
        <v>-216</v>
      </c>
      <c r="L1743" s="73">
        <v>-53</v>
      </c>
      <c r="M1743" s="73">
        <v>-33</v>
      </c>
      <c r="N1743" s="73">
        <v>-57</v>
      </c>
      <c r="O1743" s="73">
        <v>-34</v>
      </c>
      <c r="P1743" s="73">
        <v>-28</v>
      </c>
      <c r="Q1743" s="73">
        <v>-13</v>
      </c>
      <c r="R1743" s="73">
        <v>0</v>
      </c>
      <c r="S1743" s="73">
        <v>0</v>
      </c>
      <c r="T1743" s="73">
        <v>0</v>
      </c>
      <c r="U1743" s="73">
        <v>0</v>
      </c>
      <c r="V1743" s="73">
        <v>0</v>
      </c>
      <c r="W1743" s="73">
        <v>0</v>
      </c>
      <c r="X1743" s="73">
        <v>0</v>
      </c>
      <c r="Y1743" s="73">
        <v>0</v>
      </c>
      <c r="Z1743" s="73">
        <v>1768</v>
      </c>
      <c r="AA1743" s="73">
        <v>872</v>
      </c>
      <c r="AB1743" s="73">
        <v>0</v>
      </c>
      <c r="AC1743" s="73">
        <v>0</v>
      </c>
      <c r="AD1743" s="73">
        <v>0</v>
      </c>
      <c r="AE1743" s="73">
        <v>0</v>
      </c>
      <c r="AF1743" s="74">
        <f>tblData[[#This Row],[Gross Sales]]+tblData[[#This Row],[Trade Discounts]]+tblData[[#This Row],[Returns]]</f>
        <v>805</v>
      </c>
      <c r="AG1743" s="74">
        <f>tblData[[#This Row],[Material Cost]]+tblData[[#This Row],[Conversion Cost]]+tblData[[#This Row],[Inbound Freight]]</f>
        <v>-302</v>
      </c>
      <c r="AH1743" s="74">
        <f>tblData[[#This Row],[Net Revenue]]+tblData[[#This Row],[COGS]]</f>
        <v>503</v>
      </c>
      <c r="AI1743" s="74">
        <f>tblData[[#This Row],[Advertising]]+tblData[[#This Row],[Promotions]]</f>
        <v>-91</v>
      </c>
      <c r="AJ1743" s="74">
        <f>tblData[[#This Row],[Outbound Logistics]]+tblData[[#This Row],[Direct Selling]]</f>
        <v>-41</v>
      </c>
      <c r="AK1743" s="74">
        <f>tblData[[#This Row],[Gross Profit]]+tblData[[#This Row],[AP Spend]]+tblData[[#This Row],[Cost to Serve]]</f>
        <v>371</v>
      </c>
    </row>
    <row r="1744" spans="2:37" x14ac:dyDescent="0.25">
      <c r="B1744" s="71" t="s">
        <v>36</v>
      </c>
      <c r="C1744" s="71">
        <v>2026</v>
      </c>
      <c r="D1744" s="71">
        <v>10</v>
      </c>
      <c r="E1744" s="71" t="s">
        <v>48</v>
      </c>
      <c r="F1744" s="71" t="s">
        <v>42</v>
      </c>
      <c r="G1744" s="72">
        <v>92.8</v>
      </c>
      <c r="H1744" s="73">
        <v>555</v>
      </c>
      <c r="I1744" s="73">
        <v>-50</v>
      </c>
      <c r="J1744" s="73">
        <v>-6</v>
      </c>
      <c r="K1744" s="73">
        <v>-178</v>
      </c>
      <c r="L1744" s="73">
        <v>-44</v>
      </c>
      <c r="M1744" s="73">
        <v>-27</v>
      </c>
      <c r="N1744" s="73">
        <v>-11</v>
      </c>
      <c r="O1744" s="73">
        <v>-7</v>
      </c>
      <c r="P1744" s="73">
        <v>-17</v>
      </c>
      <c r="Q1744" s="73">
        <v>-8</v>
      </c>
      <c r="R1744" s="73">
        <v>0</v>
      </c>
      <c r="S1744" s="73">
        <v>0</v>
      </c>
      <c r="T1744" s="73">
        <v>0</v>
      </c>
      <c r="U1744" s="73">
        <v>0</v>
      </c>
      <c r="V1744" s="73">
        <v>0</v>
      </c>
      <c r="W1744" s="73">
        <v>0</v>
      </c>
      <c r="X1744" s="73">
        <v>0</v>
      </c>
      <c r="Y1744" s="73">
        <v>0</v>
      </c>
      <c r="Z1744" s="73">
        <v>1145</v>
      </c>
      <c r="AA1744" s="73">
        <v>980</v>
      </c>
      <c r="AB1744" s="73">
        <v>0</v>
      </c>
      <c r="AC1744" s="73">
        <v>0</v>
      </c>
      <c r="AD1744" s="73">
        <v>0</v>
      </c>
      <c r="AE1744" s="73">
        <v>0</v>
      </c>
      <c r="AF1744" s="74">
        <f>tblData[[#This Row],[Gross Sales]]+tblData[[#This Row],[Trade Discounts]]+tblData[[#This Row],[Returns]]</f>
        <v>499</v>
      </c>
      <c r="AG1744" s="74">
        <f>tblData[[#This Row],[Material Cost]]+tblData[[#This Row],[Conversion Cost]]+tblData[[#This Row],[Inbound Freight]]</f>
        <v>-249</v>
      </c>
      <c r="AH1744" s="74">
        <f>tblData[[#This Row],[Net Revenue]]+tblData[[#This Row],[COGS]]</f>
        <v>250</v>
      </c>
      <c r="AI1744" s="74">
        <f>tblData[[#This Row],[Advertising]]+tblData[[#This Row],[Promotions]]</f>
        <v>-18</v>
      </c>
      <c r="AJ1744" s="74">
        <f>tblData[[#This Row],[Outbound Logistics]]+tblData[[#This Row],[Direct Selling]]</f>
        <v>-25</v>
      </c>
      <c r="AK1744" s="74">
        <f>tblData[[#This Row],[Gross Profit]]+tblData[[#This Row],[AP Spend]]+tblData[[#This Row],[Cost to Serve]]</f>
        <v>207</v>
      </c>
    </row>
    <row r="1745" spans="2:37" x14ac:dyDescent="0.25">
      <c r="B1745" s="71" t="s">
        <v>36</v>
      </c>
      <c r="C1745" s="71">
        <v>2026</v>
      </c>
      <c r="D1745" s="71">
        <v>10</v>
      </c>
      <c r="E1745" s="71" t="s">
        <v>48</v>
      </c>
      <c r="F1745" s="71" t="s">
        <v>43</v>
      </c>
      <c r="G1745" s="72">
        <v>18.5</v>
      </c>
      <c r="H1745" s="73">
        <v>332</v>
      </c>
      <c r="I1745" s="73">
        <v>-30</v>
      </c>
      <c r="J1745" s="73">
        <v>-3</v>
      </c>
      <c r="K1745" s="73">
        <v>-92</v>
      </c>
      <c r="L1745" s="73">
        <v>-23</v>
      </c>
      <c r="M1745" s="73">
        <v>-14</v>
      </c>
      <c r="N1745" s="73">
        <v>-31</v>
      </c>
      <c r="O1745" s="73">
        <v>-19</v>
      </c>
      <c r="P1745" s="73">
        <v>-10</v>
      </c>
      <c r="Q1745" s="73">
        <v>-5</v>
      </c>
      <c r="R1745" s="73">
        <v>0</v>
      </c>
      <c r="S1745" s="73">
        <v>0</v>
      </c>
      <c r="T1745" s="73">
        <v>0</v>
      </c>
      <c r="U1745" s="73">
        <v>0</v>
      </c>
      <c r="V1745" s="73">
        <v>0</v>
      </c>
      <c r="W1745" s="73">
        <v>0</v>
      </c>
      <c r="X1745" s="73">
        <v>0</v>
      </c>
      <c r="Y1745" s="73">
        <v>0</v>
      </c>
      <c r="Z1745" s="73">
        <v>658</v>
      </c>
      <c r="AA1745" s="73">
        <v>490</v>
      </c>
      <c r="AB1745" s="73">
        <v>0</v>
      </c>
      <c r="AC1745" s="73">
        <v>0</v>
      </c>
      <c r="AD1745" s="73">
        <v>0</v>
      </c>
      <c r="AE1745" s="73">
        <v>0</v>
      </c>
      <c r="AF1745" s="74">
        <f>tblData[[#This Row],[Gross Sales]]+tblData[[#This Row],[Trade Discounts]]+tblData[[#This Row],[Returns]]</f>
        <v>299</v>
      </c>
      <c r="AG1745" s="74">
        <f>tblData[[#This Row],[Material Cost]]+tblData[[#This Row],[Conversion Cost]]+tblData[[#This Row],[Inbound Freight]]</f>
        <v>-129</v>
      </c>
      <c r="AH1745" s="74">
        <f>tblData[[#This Row],[Net Revenue]]+tblData[[#This Row],[COGS]]</f>
        <v>170</v>
      </c>
      <c r="AI1745" s="74">
        <f>tblData[[#This Row],[Advertising]]+tblData[[#This Row],[Promotions]]</f>
        <v>-50</v>
      </c>
      <c r="AJ1745" s="74">
        <f>tblData[[#This Row],[Outbound Logistics]]+tblData[[#This Row],[Direct Selling]]</f>
        <v>-15</v>
      </c>
      <c r="AK1745" s="74">
        <f>tblData[[#This Row],[Gross Profit]]+tblData[[#This Row],[AP Spend]]+tblData[[#This Row],[Cost to Serve]]</f>
        <v>105</v>
      </c>
    </row>
    <row r="1746" spans="2:37" x14ac:dyDescent="0.25">
      <c r="B1746" s="71" t="s">
        <v>36</v>
      </c>
      <c r="C1746" s="71">
        <v>2026</v>
      </c>
      <c r="D1746" s="71">
        <v>10</v>
      </c>
      <c r="E1746" s="71" t="s">
        <v>49</v>
      </c>
      <c r="F1746" s="71" t="s">
        <v>49</v>
      </c>
      <c r="G1746" s="72">
        <v>0</v>
      </c>
      <c r="H1746" s="73">
        <v>0</v>
      </c>
      <c r="I1746" s="73">
        <v>0</v>
      </c>
      <c r="J1746" s="73">
        <v>0</v>
      </c>
      <c r="K1746" s="73">
        <v>0</v>
      </c>
      <c r="L1746" s="73">
        <v>0</v>
      </c>
      <c r="M1746" s="73">
        <v>0</v>
      </c>
      <c r="N1746" s="73">
        <v>0</v>
      </c>
      <c r="O1746" s="73">
        <v>0</v>
      </c>
      <c r="P1746" s="73">
        <v>0</v>
      </c>
      <c r="Q1746" s="73">
        <v>0</v>
      </c>
      <c r="R1746" s="73">
        <v>-4390</v>
      </c>
      <c r="S1746" s="73">
        <v>-1000</v>
      </c>
      <c r="T1746" s="73">
        <v>-1280</v>
      </c>
      <c r="U1746" s="73">
        <v>-1085</v>
      </c>
      <c r="V1746" s="73">
        <v>-1480</v>
      </c>
      <c r="W1746" s="73">
        <v>-684</v>
      </c>
      <c r="X1746" s="73">
        <v>-2359</v>
      </c>
      <c r="Y1746" s="73">
        <v>-1573</v>
      </c>
      <c r="Z1746" s="73">
        <v>0</v>
      </c>
      <c r="AA1746" s="73">
        <v>0</v>
      </c>
      <c r="AB1746" s="73">
        <v>41042</v>
      </c>
      <c r="AC1746" s="73">
        <v>56825</v>
      </c>
      <c r="AD1746" s="73">
        <v>182500</v>
      </c>
      <c r="AE1746" s="73">
        <v>1197</v>
      </c>
      <c r="AF1746" s="74">
        <f>tblData[[#This Row],[Gross Sales]]+tblData[[#This Row],[Trade Discounts]]+tblData[[#This Row],[Returns]]</f>
        <v>0</v>
      </c>
      <c r="AG1746" s="74">
        <f>tblData[[#This Row],[Material Cost]]+tblData[[#This Row],[Conversion Cost]]+tblData[[#This Row],[Inbound Freight]]</f>
        <v>0</v>
      </c>
      <c r="AH1746" s="74">
        <f>tblData[[#This Row],[Net Revenue]]+tblData[[#This Row],[COGS]]</f>
        <v>0</v>
      </c>
      <c r="AI1746" s="74">
        <f>tblData[[#This Row],[Advertising]]+tblData[[#This Row],[Promotions]]</f>
        <v>0</v>
      </c>
      <c r="AJ1746" s="74">
        <f>tblData[[#This Row],[Outbound Logistics]]+tblData[[#This Row],[Direct Selling]]</f>
        <v>0</v>
      </c>
      <c r="AK1746" s="74">
        <f>tblData[[#This Row],[Gross Profit]]+tblData[[#This Row],[AP Spend]]+tblData[[#This Row],[Cost to Serve]]</f>
        <v>0</v>
      </c>
    </row>
  </sheetData>
  <hyperlinks>
    <hyperlink ref="G2" location="Summary!A1" display="Back to Summary" xr:uid="{00000000-0004-0000-0400-000000000000}"/>
  </hyperlinks>
  <pageMargins left="0.7" right="0.7" top="0.75" bottom="0.75" header="0.3" footer="0.3"/>
  <pageSetup paperSize="9" fitToHeight="0" orientation="landscape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AEB6C1"/>
    <pageSetUpPr fitToPage="1"/>
  </sheetPr>
  <dimension ref="A1:P645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W357" sqref="W357"/>
    </sheetView>
  </sheetViews>
  <sheetFormatPr defaultRowHeight="15" x14ac:dyDescent="0.25"/>
  <cols>
    <col min="1" max="1" width="21.42578125" customWidth="1"/>
    <col min="2" max="2" width="28.5703125" customWidth="1"/>
    <col min="3" max="41" width="10.5703125" customWidth="1"/>
  </cols>
  <sheetData>
    <row r="1" spans="1:15" x14ac:dyDescent="0.25">
      <c r="A1" s="75" t="s">
        <v>52</v>
      </c>
    </row>
    <row r="3" spans="1:15" x14ac:dyDescent="0.25">
      <c r="A3" s="76" t="s">
        <v>53</v>
      </c>
    </row>
    <row r="4" spans="1:15" x14ac:dyDescent="0.25">
      <c r="B4" s="77" t="s">
        <v>66</v>
      </c>
      <c r="D4" s="78" t="s">
        <v>54</v>
      </c>
      <c r="E4" s="78" t="s">
        <v>55</v>
      </c>
      <c r="F4" s="78" t="s">
        <v>56</v>
      </c>
      <c r="G4" s="78" t="s">
        <v>57</v>
      </c>
      <c r="H4" s="78" t="s">
        <v>58</v>
      </c>
      <c r="I4" s="78" t="s">
        <v>59</v>
      </c>
      <c r="J4" s="78" t="s">
        <v>60</v>
      </c>
      <c r="K4" s="78" t="s">
        <v>61</v>
      </c>
      <c r="L4" s="78" t="s">
        <v>62</v>
      </c>
      <c r="M4" s="78" t="s">
        <v>63</v>
      </c>
      <c r="N4" s="78" t="s">
        <v>64</v>
      </c>
      <c r="O4" s="78" t="s">
        <v>65</v>
      </c>
    </row>
    <row r="5" spans="1:15" x14ac:dyDescent="0.25">
      <c r="B5" s="77" t="s">
        <v>67</v>
      </c>
      <c r="D5" s="78">
        <v>1</v>
      </c>
      <c r="E5" s="78">
        <v>2</v>
      </c>
      <c r="F5" s="78">
        <v>3</v>
      </c>
      <c r="G5" s="78">
        <v>4</v>
      </c>
      <c r="H5" s="78">
        <v>5</v>
      </c>
      <c r="I5" s="78">
        <v>6</v>
      </c>
      <c r="J5" s="78">
        <v>7</v>
      </c>
      <c r="K5" s="78">
        <v>8</v>
      </c>
      <c r="L5" s="78">
        <v>9</v>
      </c>
      <c r="M5" s="78">
        <v>10</v>
      </c>
      <c r="N5" s="78">
        <v>11</v>
      </c>
      <c r="O5" s="78">
        <v>12</v>
      </c>
    </row>
    <row r="6" spans="1:15" x14ac:dyDescent="0.25">
      <c r="A6" s="77" t="s">
        <v>68</v>
      </c>
      <c r="B6" s="77" t="s">
        <v>69</v>
      </c>
      <c r="C6" s="77">
        <f>MATCH(selMonth,Calc!$D$4:$O$4,0)</f>
        <v>10</v>
      </c>
    </row>
    <row r="7" spans="1:15" x14ac:dyDescent="0.25">
      <c r="A7" s="77" t="s">
        <v>70</v>
      </c>
      <c r="B7" s="77" t="s">
        <v>71</v>
      </c>
      <c r="C7" s="77">
        <f>IF(selView="Month",mSel,1)</f>
        <v>1</v>
      </c>
    </row>
    <row r="8" spans="1:15" x14ac:dyDescent="0.25">
      <c r="A8" s="77" t="s">
        <v>72</v>
      </c>
      <c r="B8" s="77" t="s">
        <v>73</v>
      </c>
      <c r="C8" s="77">
        <f>IF(selView="Full Year",12,mSel)</f>
        <v>10</v>
      </c>
    </row>
    <row r="9" spans="1:15" x14ac:dyDescent="0.25">
      <c r="A9" s="77" t="s">
        <v>74</v>
      </c>
      <c r="B9" s="77" t="s">
        <v>75</v>
      </c>
      <c r="C9" s="77">
        <f>IF(ScaleLbl="m",1000,1)</f>
        <v>1000</v>
      </c>
    </row>
    <row r="10" spans="1:15" x14ac:dyDescent="0.25">
      <c r="A10" s="77" t="s">
        <v>76</v>
      </c>
      <c r="B10" s="77" t="s">
        <v>77</v>
      </c>
      <c r="C10" s="77" t="str">
        <f>Cur&amp;ScaleLbl</f>
        <v>$m</v>
      </c>
    </row>
    <row r="11" spans="1:15" x14ac:dyDescent="0.25">
      <c r="A11" s="77" t="s">
        <v>78</v>
      </c>
      <c r="B11" s="77" t="s">
        <v>79</v>
      </c>
      <c r="C11" s="77" t="str">
        <f>IF(selView="Full Year","Latest Est.","Actual")</f>
        <v>Actual</v>
      </c>
    </row>
    <row r="12" spans="1:15" x14ac:dyDescent="0.25">
      <c r="A12" s="77" t="s">
        <v>80</v>
      </c>
      <c r="B12" s="77" t="s">
        <v>81</v>
      </c>
      <c r="C12" s="77" t="str">
        <f>IF(selView="Month",selMonth&amp;" "&amp;selFY,IF(selView="YTD","YTD "&amp;selMonth&amp;" "&amp;selFY,"FY "&amp;selFY&amp;" outlook (actual to "&amp;selMonth&amp;" + forecast)"))</f>
        <v>YTD Oct 2026</v>
      </c>
    </row>
    <row r="13" spans="1:15" x14ac:dyDescent="0.25">
      <c r="A13" s="77" t="s">
        <v>82</v>
      </c>
      <c r="B13" s="77" t="s">
        <v>83</v>
      </c>
      <c r="C13" s="77">
        <f>SUMPRODUCT(MAX((tblData[Scenario]="Actual")*(tblData[Year]=selFY)*tblData[Month]))</f>
        <v>10</v>
      </c>
    </row>
    <row r="14" spans="1:15" x14ac:dyDescent="0.25">
      <c r="A14" s="77" t="s">
        <v>84</v>
      </c>
      <c r="B14" s="77" t="s">
        <v>85</v>
      </c>
      <c r="C14" s="77">
        <f>MIN(3,mTo)</f>
        <v>3</v>
      </c>
    </row>
    <row r="16" spans="1:15" x14ac:dyDescent="0.25">
      <c r="A16" s="76" t="s">
        <v>86</v>
      </c>
    </row>
    <row r="17" spans="1:16" x14ac:dyDescent="0.25">
      <c r="A17" s="78" t="s">
        <v>0</v>
      </c>
      <c r="B17" s="78" t="s">
        <v>87</v>
      </c>
      <c r="C17" s="78" t="s">
        <v>88</v>
      </c>
      <c r="D17" s="78" t="s">
        <v>54</v>
      </c>
      <c r="E17" s="78" t="s">
        <v>55</v>
      </c>
      <c r="F17" s="78" t="s">
        <v>56</v>
      </c>
      <c r="G17" s="78" t="s">
        <v>57</v>
      </c>
      <c r="H17" s="78" t="s">
        <v>58</v>
      </c>
      <c r="I17" s="78" t="s">
        <v>59</v>
      </c>
      <c r="J17" s="78" t="s">
        <v>60</v>
      </c>
      <c r="K17" s="78" t="s">
        <v>61</v>
      </c>
      <c r="L17" s="78" t="s">
        <v>62</v>
      </c>
      <c r="M17" s="78" t="s">
        <v>63</v>
      </c>
      <c r="N17" s="78" t="s">
        <v>64</v>
      </c>
      <c r="O17" s="78" t="s">
        <v>65</v>
      </c>
      <c r="P17" s="78" t="s">
        <v>89</v>
      </c>
    </row>
    <row r="18" spans="1:16" x14ac:dyDescent="0.25">
      <c r="A18" s="77" t="s">
        <v>90</v>
      </c>
      <c r="B18" s="77" t="s">
        <v>5</v>
      </c>
      <c r="D18" s="79">
        <f>SUMIFS(tblData[Units],tblData[Scenario],"Actual",tblData[Year],selFY,tblData[Month],D$5)</f>
        <v>4344.3</v>
      </c>
      <c r="E18" s="79">
        <f>SUMIFS(tblData[Units],tblData[Scenario],"Actual",tblData[Year],selFY,tblData[Month],E$5)</f>
        <v>4483.8</v>
      </c>
      <c r="F18" s="79">
        <f>SUMIFS(tblData[Units],tblData[Scenario],"Actual",tblData[Year],selFY,tblData[Month],F$5)</f>
        <v>4998.9999999999991</v>
      </c>
      <c r="G18" s="79">
        <f>SUMIFS(tblData[Units],tblData[Scenario],"Actual",tblData[Year],selFY,tblData[Month],G$5)</f>
        <v>5148.7</v>
      </c>
      <c r="H18" s="79">
        <f>SUMIFS(tblData[Units],tblData[Scenario],"Actual",tblData[Year],selFY,tblData[Month],H$5)</f>
        <v>5266.0999999999985</v>
      </c>
      <c r="I18" s="79">
        <f>SUMIFS(tblData[Units],tblData[Scenario],"Actual",tblData[Year],selFY,tblData[Month],I$5)</f>
        <v>5394.6</v>
      </c>
      <c r="J18" s="79">
        <f>SUMIFS(tblData[Units],tblData[Scenario],"Actual",tblData[Year],selFY,tblData[Month],J$5)</f>
        <v>5258.8000000000011</v>
      </c>
      <c r="K18" s="79">
        <f>SUMIFS(tblData[Units],tblData[Scenario],"Actual",tblData[Year],selFY,tblData[Month],K$5)</f>
        <v>5379.2999999999975</v>
      </c>
      <c r="L18" s="79">
        <f>SUMIFS(tblData[Units],tblData[Scenario],"Actual",tblData[Year],selFY,tblData[Month],L$5)</f>
        <v>5910.3999999999987</v>
      </c>
      <c r="M18" s="79">
        <f>SUMIFS(tblData[Units],tblData[Scenario],"Actual",tblData[Year],selFY,tblData[Month],M$5)</f>
        <v>6419.5999999999995</v>
      </c>
      <c r="N18" s="79">
        <f>SUMIFS(tblData[Units],tblData[Scenario],"Actual",tblData[Year],selFY,tblData[Month],N$5)</f>
        <v>0</v>
      </c>
      <c r="O18" s="79">
        <f>SUMIFS(tblData[Units],tblData[Scenario],"Actual",tblData[Year],selFY,tblData[Month],O$5)</f>
        <v>0</v>
      </c>
      <c r="P18" s="79">
        <f t="shared" ref="P18:P36" si="0">SUM(D18:O18)</f>
        <v>52604.6</v>
      </c>
    </row>
    <row r="19" spans="1:16" x14ac:dyDescent="0.25">
      <c r="A19" s="77" t="s">
        <v>90</v>
      </c>
      <c r="B19" s="77" t="s">
        <v>6</v>
      </c>
      <c r="D19" s="79">
        <f>SUMIFS(tblData[Gross Sales],tblData[Scenario],"Actual",tblData[Year],selFY,tblData[Month],D$5)/Unit</f>
        <v>41.67</v>
      </c>
      <c r="E19" s="79">
        <f>SUMIFS(tblData[Gross Sales],tblData[Scenario],"Actual",tblData[Year],selFY,tblData[Month],E$5)/Unit</f>
        <v>42.95</v>
      </c>
      <c r="F19" s="79">
        <f>SUMIFS(tblData[Gross Sales],tblData[Scenario],"Actual",tblData[Year],selFY,tblData[Month],F$5)/Unit</f>
        <v>47.965000000000003</v>
      </c>
      <c r="G19" s="79">
        <f>SUMIFS(tblData[Gross Sales],tblData[Scenario],"Actual",tblData[Year],selFY,tblData[Month],G$5)/Unit</f>
        <v>49.261000000000003</v>
      </c>
      <c r="H19" s="79">
        <f>SUMIFS(tblData[Gross Sales],tblData[Scenario],"Actual",tblData[Year],selFY,tblData[Month],H$5)/Unit</f>
        <v>50.493000000000002</v>
      </c>
      <c r="I19" s="79">
        <f>SUMIFS(tblData[Gross Sales],tblData[Scenario],"Actual",tblData[Year],selFY,tblData[Month],I$5)/Unit</f>
        <v>51.69</v>
      </c>
      <c r="J19" s="79">
        <f>SUMIFS(tblData[Gross Sales],tblData[Scenario],"Actual",tblData[Year],selFY,tblData[Month],J$5)/Unit</f>
        <v>50.414000000000001</v>
      </c>
      <c r="K19" s="79">
        <f>SUMIFS(tblData[Gross Sales],tblData[Scenario],"Actual",tblData[Year],selFY,tblData[Month],K$5)/Unit</f>
        <v>51.588999999999999</v>
      </c>
      <c r="L19" s="79">
        <f>SUMIFS(tblData[Gross Sales],tblData[Scenario],"Actual",tblData[Year],selFY,tblData[Month],L$5)/Unit</f>
        <v>56.606000000000002</v>
      </c>
      <c r="M19" s="79">
        <f>SUMIFS(tblData[Gross Sales],tblData[Scenario],"Actual",tblData[Year],selFY,tblData[Month],M$5)/Unit</f>
        <v>61.573</v>
      </c>
      <c r="N19" s="79">
        <f>SUMIFS(tblData[Gross Sales],tblData[Scenario],"Actual",tblData[Year],selFY,tblData[Month],N$5)/Unit</f>
        <v>0</v>
      </c>
      <c r="O19" s="79">
        <f>SUMIFS(tblData[Gross Sales],tblData[Scenario],"Actual",tblData[Year],selFY,tblData[Month],O$5)/Unit</f>
        <v>0</v>
      </c>
      <c r="P19" s="79">
        <f t="shared" si="0"/>
        <v>504.21099999999996</v>
      </c>
    </row>
    <row r="20" spans="1:16" x14ac:dyDescent="0.25">
      <c r="A20" s="77" t="s">
        <v>90</v>
      </c>
      <c r="B20" s="77" t="s">
        <v>7</v>
      </c>
      <c r="D20" s="79">
        <f>SUMIFS(tblData[Trade Discounts],tblData[Scenario],"Actual",tblData[Year],selFY,tblData[Month],D$5)/Unit</f>
        <v>-6.5010000000000003</v>
      </c>
      <c r="E20" s="79">
        <f>SUMIFS(tblData[Trade Discounts],tblData[Scenario],"Actual",tblData[Year],selFY,tblData[Month],E$5)/Unit</f>
        <v>-6.718</v>
      </c>
      <c r="F20" s="79">
        <f>SUMIFS(tblData[Trade Discounts],tblData[Scenario],"Actual",tblData[Year],selFY,tblData[Month],F$5)/Unit</f>
        <v>-7.49</v>
      </c>
      <c r="G20" s="79">
        <f>SUMIFS(tblData[Trade Discounts],tblData[Scenario],"Actual",tblData[Year],selFY,tblData[Month],G$5)/Unit</f>
        <v>-7.6920000000000002</v>
      </c>
      <c r="H20" s="79">
        <f>SUMIFS(tblData[Trade Discounts],tblData[Scenario],"Actual",tblData[Year],selFY,tblData[Month],H$5)/Unit</f>
        <v>-7.8819999999999997</v>
      </c>
      <c r="I20" s="79">
        <f>SUMIFS(tblData[Trade Discounts],tblData[Scenario],"Actual",tblData[Year],selFY,tblData[Month],I$5)/Unit</f>
        <v>-8.0749999999999993</v>
      </c>
      <c r="J20" s="79">
        <f>SUMIFS(tblData[Trade Discounts],tblData[Scenario],"Actual",tblData[Year],selFY,tblData[Month],J$5)/Unit</f>
        <v>-7.8680000000000003</v>
      </c>
      <c r="K20" s="79">
        <f>SUMIFS(tblData[Trade Discounts],tblData[Scenario],"Actual",tblData[Year],selFY,tblData[Month],K$5)/Unit</f>
        <v>-8.0570000000000004</v>
      </c>
      <c r="L20" s="79">
        <f>SUMIFS(tblData[Trade Discounts],tblData[Scenario],"Actual",tblData[Year],selFY,tblData[Month],L$5)/Unit</f>
        <v>-8.827</v>
      </c>
      <c r="M20" s="79">
        <f>SUMIFS(tblData[Trade Discounts],tblData[Scenario],"Actual",tblData[Year],selFY,tblData[Month],M$5)/Unit</f>
        <v>-9.6159999999999997</v>
      </c>
      <c r="N20" s="79">
        <f>SUMIFS(tblData[Trade Discounts],tblData[Scenario],"Actual",tblData[Year],selFY,tblData[Month],N$5)/Unit</f>
        <v>0</v>
      </c>
      <c r="O20" s="79">
        <f>SUMIFS(tblData[Trade Discounts],tblData[Scenario],"Actual",tblData[Year],selFY,tblData[Month],O$5)/Unit</f>
        <v>0</v>
      </c>
      <c r="P20" s="79">
        <f t="shared" si="0"/>
        <v>-78.726000000000013</v>
      </c>
    </row>
    <row r="21" spans="1:16" x14ac:dyDescent="0.25">
      <c r="A21" s="77" t="s">
        <v>90</v>
      </c>
      <c r="B21" s="77" t="s">
        <v>8</v>
      </c>
      <c r="D21" s="79">
        <f>SUMIFS(tblData[Returns],tblData[Scenario],"Actual",tblData[Year],selFY,tblData[Month],D$5)/Unit</f>
        <v>-0.82099999999999995</v>
      </c>
      <c r="E21" s="79">
        <f>SUMIFS(tblData[Returns],tblData[Scenario],"Actual",tblData[Year],selFY,tblData[Month],E$5)/Unit</f>
        <v>-0.84099999999999997</v>
      </c>
      <c r="F21" s="79">
        <f>SUMIFS(tblData[Returns],tblData[Scenario],"Actual",tblData[Year],selFY,tblData[Month],F$5)/Unit</f>
        <v>-0.94299999999999995</v>
      </c>
      <c r="G21" s="79">
        <f>SUMIFS(tblData[Returns],tblData[Scenario],"Actual",tblData[Year],selFY,tblData[Month],G$5)/Unit</f>
        <v>-0.96899999999999997</v>
      </c>
      <c r="H21" s="79">
        <f>SUMIFS(tblData[Returns],tblData[Scenario],"Actual",tblData[Year],selFY,tblData[Month],H$5)/Unit</f>
        <v>-0.99399999999999999</v>
      </c>
      <c r="I21" s="79">
        <f>SUMIFS(tblData[Returns],tblData[Scenario],"Actual",tblData[Year],selFY,tblData[Month],I$5)/Unit</f>
        <v>-1.0129999999999999</v>
      </c>
      <c r="J21" s="79">
        <f>SUMIFS(tblData[Returns],tblData[Scenario],"Actual",tblData[Year],selFY,tblData[Month],J$5)/Unit</f>
        <v>-0.99099999999999999</v>
      </c>
      <c r="K21" s="79">
        <f>SUMIFS(tblData[Returns],tblData[Scenario],"Actual",tblData[Year],selFY,tblData[Month],K$5)/Unit</f>
        <v>-1.0169999999999999</v>
      </c>
      <c r="L21" s="79">
        <f>SUMIFS(tblData[Returns],tblData[Scenario],"Actual",tblData[Year],selFY,tblData[Month],L$5)/Unit</f>
        <v>-1.1140000000000001</v>
      </c>
      <c r="M21" s="79">
        <f>SUMIFS(tblData[Returns],tblData[Scenario],"Actual",tblData[Year],selFY,tblData[Month],M$5)/Unit</f>
        <v>-1.212</v>
      </c>
      <c r="N21" s="79">
        <f>SUMIFS(tblData[Returns],tblData[Scenario],"Actual",tblData[Year],selFY,tblData[Month],N$5)/Unit</f>
        <v>0</v>
      </c>
      <c r="O21" s="79">
        <f>SUMIFS(tblData[Returns],tblData[Scenario],"Actual",tblData[Year],selFY,tblData[Month],O$5)/Unit</f>
        <v>0</v>
      </c>
      <c r="P21" s="79">
        <f t="shared" si="0"/>
        <v>-9.9149999999999991</v>
      </c>
    </row>
    <row r="22" spans="1:16" x14ac:dyDescent="0.25">
      <c r="A22" s="77" t="s">
        <v>90</v>
      </c>
      <c r="B22" s="77" t="s">
        <v>9</v>
      </c>
      <c r="D22" s="79">
        <f>SUMIFS(tblData[Material Cost],tblData[Scenario],"Actual",tblData[Year],selFY,tblData[Month],D$5)/Unit</f>
        <v>-10.778</v>
      </c>
      <c r="E22" s="79">
        <f>SUMIFS(tblData[Material Cost],tblData[Scenario],"Actual",tblData[Year],selFY,tblData[Month],E$5)/Unit</f>
        <v>-11.105</v>
      </c>
      <c r="F22" s="79">
        <f>SUMIFS(tblData[Material Cost],tblData[Scenario],"Actual",tblData[Year],selFY,tblData[Month],F$5)/Unit</f>
        <v>-12.397</v>
      </c>
      <c r="G22" s="79">
        <f>SUMIFS(tblData[Material Cost],tblData[Scenario],"Actual",tblData[Year],selFY,tblData[Month],G$5)/Unit</f>
        <v>-12.75</v>
      </c>
      <c r="H22" s="79">
        <f>SUMIFS(tblData[Material Cost],tblData[Scenario],"Actual",tblData[Year],selFY,tblData[Month],H$5)/Unit</f>
        <v>-13.055</v>
      </c>
      <c r="I22" s="79">
        <f>SUMIFS(tblData[Material Cost],tblData[Scenario],"Actual",tblData[Year],selFY,tblData[Month],I$5)/Unit</f>
        <v>-13.368</v>
      </c>
      <c r="J22" s="79">
        <f>SUMIFS(tblData[Material Cost],tblData[Scenario],"Actual",tblData[Year],selFY,tblData[Month],J$5)/Unit</f>
        <v>-13.032999999999999</v>
      </c>
      <c r="K22" s="79">
        <f>SUMIFS(tblData[Material Cost],tblData[Scenario],"Actual",tblData[Year],selFY,tblData[Month],K$5)/Unit</f>
        <v>-13.337999999999999</v>
      </c>
      <c r="L22" s="79">
        <f>SUMIFS(tblData[Material Cost],tblData[Scenario],"Actual",tblData[Year],selFY,tblData[Month],L$5)/Unit</f>
        <v>-14.644</v>
      </c>
      <c r="M22" s="79">
        <f>SUMIFS(tblData[Material Cost],tblData[Scenario],"Actual",tblData[Year],selFY,tblData[Month],M$5)/Unit</f>
        <v>-15.920999999999999</v>
      </c>
      <c r="N22" s="79">
        <f>SUMIFS(tblData[Material Cost],tblData[Scenario],"Actual",tblData[Year],selFY,tblData[Month],N$5)/Unit</f>
        <v>0</v>
      </c>
      <c r="O22" s="79">
        <f>SUMIFS(tblData[Material Cost],tblData[Scenario],"Actual",tblData[Year],selFY,tblData[Month],O$5)/Unit</f>
        <v>0</v>
      </c>
      <c r="P22" s="79">
        <f t="shared" si="0"/>
        <v>-130.38900000000001</v>
      </c>
    </row>
    <row r="23" spans="1:16" x14ac:dyDescent="0.25">
      <c r="A23" s="77" t="s">
        <v>90</v>
      </c>
      <c r="B23" s="77" t="s">
        <v>10</v>
      </c>
      <c r="D23" s="79">
        <f>SUMIFS(tblData[Conversion Cost],tblData[Scenario],"Actual",tblData[Year],selFY,tblData[Month],D$5)/Unit</f>
        <v>-2.653</v>
      </c>
      <c r="E23" s="79">
        <f>SUMIFS(tblData[Conversion Cost],tblData[Scenario],"Actual",tblData[Year],selFY,tblData[Month],E$5)/Unit</f>
        <v>-2.7370000000000001</v>
      </c>
      <c r="F23" s="79">
        <f>SUMIFS(tblData[Conversion Cost],tblData[Scenario],"Actual",tblData[Year],selFY,tblData[Month],F$5)/Unit</f>
        <v>-3.0539999999999998</v>
      </c>
      <c r="G23" s="79">
        <f>SUMIFS(tblData[Conversion Cost],tblData[Scenario],"Actual",tblData[Year],selFY,tblData[Month],G$5)/Unit</f>
        <v>-3.1389999999999998</v>
      </c>
      <c r="H23" s="79">
        <f>SUMIFS(tblData[Conversion Cost],tblData[Scenario],"Actual",tblData[Year],selFY,tblData[Month],H$5)/Unit</f>
        <v>-3.2170000000000001</v>
      </c>
      <c r="I23" s="79">
        <f>SUMIFS(tblData[Conversion Cost],tblData[Scenario],"Actual",tblData[Year],selFY,tblData[Month],I$5)/Unit</f>
        <v>-3.2930000000000001</v>
      </c>
      <c r="J23" s="79">
        <f>SUMIFS(tblData[Conversion Cost],tblData[Scenario],"Actual",tblData[Year],selFY,tblData[Month],J$5)/Unit</f>
        <v>-3.214</v>
      </c>
      <c r="K23" s="79">
        <f>SUMIFS(tblData[Conversion Cost],tblData[Scenario],"Actual",tblData[Year],selFY,tblData[Month],K$5)/Unit</f>
        <v>-3.2869999999999999</v>
      </c>
      <c r="L23" s="79">
        <f>SUMIFS(tblData[Conversion Cost],tblData[Scenario],"Actual",tblData[Year],selFY,tblData[Month],L$5)/Unit</f>
        <v>-3.605</v>
      </c>
      <c r="M23" s="79">
        <f>SUMIFS(tblData[Conversion Cost],tblData[Scenario],"Actual",tblData[Year],selFY,tblData[Month],M$5)/Unit</f>
        <v>-3.919</v>
      </c>
      <c r="N23" s="79">
        <f>SUMIFS(tblData[Conversion Cost],tblData[Scenario],"Actual",tblData[Year],selFY,tblData[Month],N$5)/Unit</f>
        <v>0</v>
      </c>
      <c r="O23" s="79">
        <f>SUMIFS(tblData[Conversion Cost],tblData[Scenario],"Actual",tblData[Year],selFY,tblData[Month],O$5)/Unit</f>
        <v>0</v>
      </c>
      <c r="P23" s="79">
        <f t="shared" si="0"/>
        <v>-32.117999999999995</v>
      </c>
    </row>
    <row r="24" spans="1:16" x14ac:dyDescent="0.25">
      <c r="A24" s="77" t="s">
        <v>90</v>
      </c>
      <c r="B24" s="77" t="s">
        <v>11</v>
      </c>
      <c r="D24" s="79">
        <f>SUMIFS(tblData[Inbound Freight],tblData[Scenario],"Actual",tblData[Year],selFY,tblData[Month],D$5)/Unit</f>
        <v>-1.651</v>
      </c>
      <c r="E24" s="79">
        <f>SUMIFS(tblData[Inbound Freight],tblData[Scenario],"Actual",tblData[Year],selFY,tblData[Month],E$5)/Unit</f>
        <v>-1.7030000000000001</v>
      </c>
      <c r="F24" s="79">
        <f>SUMIFS(tblData[Inbound Freight],tblData[Scenario],"Actual",tblData[Year],selFY,tblData[Month],F$5)/Unit</f>
        <v>-1.9</v>
      </c>
      <c r="G24" s="79">
        <f>SUMIFS(tblData[Inbound Freight],tblData[Scenario],"Actual",tblData[Year],selFY,tblData[Month],G$5)/Unit</f>
        <v>-1.9530000000000001</v>
      </c>
      <c r="H24" s="79">
        <f>SUMIFS(tblData[Inbound Freight],tblData[Scenario],"Actual",tblData[Year],selFY,tblData[Month],H$5)/Unit</f>
        <v>-2.0019999999999998</v>
      </c>
      <c r="I24" s="79">
        <f>SUMIFS(tblData[Inbound Freight],tblData[Scenario],"Actual",tblData[Year],selFY,tblData[Month],I$5)/Unit</f>
        <v>-2.0499999999999998</v>
      </c>
      <c r="J24" s="79">
        <f>SUMIFS(tblData[Inbound Freight],tblData[Scenario],"Actual",tblData[Year],selFY,tblData[Month],J$5)/Unit</f>
        <v>-1.998</v>
      </c>
      <c r="K24" s="79">
        <f>SUMIFS(tblData[Inbound Freight],tblData[Scenario],"Actual",tblData[Year],selFY,tblData[Month],K$5)/Unit</f>
        <v>-2.0430000000000001</v>
      </c>
      <c r="L24" s="79">
        <f>SUMIFS(tblData[Inbound Freight],tblData[Scenario],"Actual",tblData[Year],selFY,tblData[Month],L$5)/Unit</f>
        <v>-2.2469999999999999</v>
      </c>
      <c r="M24" s="79">
        <f>SUMIFS(tblData[Inbound Freight],tblData[Scenario],"Actual",tblData[Year],selFY,tblData[Month],M$5)/Unit</f>
        <v>-2.44</v>
      </c>
      <c r="N24" s="79">
        <f>SUMIFS(tblData[Inbound Freight],tblData[Scenario],"Actual",tblData[Year],selFY,tblData[Month],N$5)/Unit</f>
        <v>0</v>
      </c>
      <c r="O24" s="79">
        <f>SUMIFS(tblData[Inbound Freight],tblData[Scenario],"Actual",tblData[Year],selFY,tblData[Month],O$5)/Unit</f>
        <v>0</v>
      </c>
      <c r="P24" s="79">
        <f t="shared" si="0"/>
        <v>-19.987000000000002</v>
      </c>
    </row>
    <row r="25" spans="1:16" x14ac:dyDescent="0.25">
      <c r="A25" s="77" t="s">
        <v>90</v>
      </c>
      <c r="B25" s="77" t="s">
        <v>12</v>
      </c>
      <c r="D25" s="79">
        <f>SUMIFS(tblData[Advertising],tblData[Scenario],"Actual",tblData[Year],selFY,tblData[Month],D$5)/Unit</f>
        <v>-1.8520000000000001</v>
      </c>
      <c r="E25" s="79">
        <f>SUMIFS(tblData[Advertising],tblData[Scenario],"Actual",tblData[Year],selFY,tblData[Month],E$5)/Unit</f>
        <v>-1.9059999999999999</v>
      </c>
      <c r="F25" s="79">
        <f>SUMIFS(tblData[Advertising],tblData[Scenario],"Actual",tblData[Year],selFY,tblData[Month],F$5)/Unit</f>
        <v>-2.1320000000000001</v>
      </c>
      <c r="G25" s="79">
        <f>SUMIFS(tblData[Advertising],tblData[Scenario],"Actual",tblData[Year],selFY,tblData[Month],G$5)/Unit</f>
        <v>-2.1859999999999999</v>
      </c>
      <c r="H25" s="79">
        <f>SUMIFS(tblData[Advertising],tblData[Scenario],"Actual",tblData[Year],selFY,tblData[Month],H$5)/Unit</f>
        <v>-2.242</v>
      </c>
      <c r="I25" s="79">
        <f>SUMIFS(tblData[Advertising],tblData[Scenario],"Actual",tblData[Year],selFY,tblData[Month],I$5)/Unit</f>
        <v>-2.2959999999999998</v>
      </c>
      <c r="J25" s="79">
        <f>SUMIFS(tblData[Advertising],tblData[Scenario],"Actual",tblData[Year],selFY,tblData[Month],J$5)/Unit</f>
        <v>-2.242</v>
      </c>
      <c r="K25" s="79">
        <f>SUMIFS(tblData[Advertising],tblData[Scenario],"Actual",tblData[Year],selFY,tblData[Month],K$5)/Unit</f>
        <v>-2.2959999999999998</v>
      </c>
      <c r="L25" s="79">
        <f>SUMIFS(tblData[Advertising],tblData[Scenario],"Actual",tblData[Year],selFY,tblData[Month],L$5)/Unit</f>
        <v>-2.52</v>
      </c>
      <c r="M25" s="79">
        <f>SUMIFS(tblData[Advertising],tblData[Scenario],"Actual",tblData[Year],selFY,tblData[Month],M$5)/Unit</f>
        <v>-2.7450000000000001</v>
      </c>
      <c r="N25" s="79">
        <f>SUMIFS(tblData[Advertising],tblData[Scenario],"Actual",tblData[Year],selFY,tblData[Month],N$5)/Unit</f>
        <v>0</v>
      </c>
      <c r="O25" s="79">
        <f>SUMIFS(tblData[Advertising],tblData[Scenario],"Actual",tblData[Year],selFY,tblData[Month],O$5)/Unit</f>
        <v>0</v>
      </c>
      <c r="P25" s="79">
        <f t="shared" si="0"/>
        <v>-22.417000000000002</v>
      </c>
    </row>
    <row r="26" spans="1:16" x14ac:dyDescent="0.25">
      <c r="A26" s="77" t="s">
        <v>90</v>
      </c>
      <c r="B26" s="77" t="s">
        <v>13</v>
      </c>
      <c r="D26" s="79">
        <f>SUMIFS(tblData[Promotions],tblData[Scenario],"Actual",tblData[Year],selFY,tblData[Month],D$5)/Unit</f>
        <v>-1.0900000000000001</v>
      </c>
      <c r="E26" s="79">
        <f>SUMIFS(tblData[Promotions],tblData[Scenario],"Actual",tblData[Year],selFY,tblData[Month],E$5)/Unit</f>
        <v>-1.129</v>
      </c>
      <c r="F26" s="79">
        <f>SUMIFS(tblData[Promotions],tblData[Scenario],"Actual",tblData[Year],selFY,tblData[Month],F$5)/Unit</f>
        <v>-1.2549999999999999</v>
      </c>
      <c r="G26" s="79">
        <f>SUMIFS(tblData[Promotions],tblData[Scenario],"Actual",tblData[Year],selFY,tblData[Month],G$5)/Unit</f>
        <v>-1.292</v>
      </c>
      <c r="H26" s="79">
        <f>SUMIFS(tblData[Promotions],tblData[Scenario],"Actual",tblData[Year],selFY,tblData[Month],H$5)/Unit</f>
        <v>-1.3240000000000001</v>
      </c>
      <c r="I26" s="79">
        <f>SUMIFS(tblData[Promotions],tblData[Scenario],"Actual",tblData[Year],selFY,tblData[Month],I$5)/Unit</f>
        <v>-1.3560000000000001</v>
      </c>
      <c r="J26" s="79">
        <f>SUMIFS(tblData[Promotions],tblData[Scenario],"Actual",tblData[Year],selFY,tblData[Month],J$5)/Unit</f>
        <v>-1.3240000000000001</v>
      </c>
      <c r="K26" s="79">
        <f>SUMIFS(tblData[Promotions],tblData[Scenario],"Actual",tblData[Year],selFY,tblData[Month],K$5)/Unit</f>
        <v>-1.3560000000000001</v>
      </c>
      <c r="L26" s="79">
        <f>SUMIFS(tblData[Promotions],tblData[Scenario],"Actual",tblData[Year],selFY,tblData[Month],L$5)/Unit</f>
        <v>-1.492</v>
      </c>
      <c r="M26" s="79">
        <f>SUMIFS(tblData[Promotions],tblData[Scenario],"Actual",tblData[Year],selFY,tblData[Month],M$5)/Unit</f>
        <v>-1.6240000000000001</v>
      </c>
      <c r="N26" s="79">
        <f>SUMIFS(tblData[Promotions],tblData[Scenario],"Actual",tblData[Year],selFY,tblData[Month],N$5)/Unit</f>
        <v>0</v>
      </c>
      <c r="O26" s="79">
        <f>SUMIFS(tblData[Promotions],tblData[Scenario],"Actual",tblData[Year],selFY,tblData[Month],O$5)/Unit</f>
        <v>0</v>
      </c>
      <c r="P26" s="79">
        <f t="shared" si="0"/>
        <v>-13.241999999999999</v>
      </c>
    </row>
    <row r="27" spans="1:16" x14ac:dyDescent="0.25">
      <c r="A27" s="77" t="s">
        <v>90</v>
      </c>
      <c r="B27" s="77" t="s">
        <v>14</v>
      </c>
      <c r="D27" s="79">
        <f>SUMIFS(tblData[Outbound Logistics],tblData[Scenario],"Actual",tblData[Year],selFY,tblData[Month],D$5)/Unit</f>
        <v>-2.1259999999999999</v>
      </c>
      <c r="E27" s="79">
        <f>SUMIFS(tblData[Outbound Logistics],tblData[Scenario],"Actual",tblData[Year],selFY,tblData[Month],E$5)/Unit</f>
        <v>-2.1859999999999999</v>
      </c>
      <c r="F27" s="79">
        <f>SUMIFS(tblData[Outbound Logistics],tblData[Scenario],"Actual",tblData[Year],selFY,tblData[Month],F$5)/Unit</f>
        <v>-2.4420000000000002</v>
      </c>
      <c r="G27" s="79">
        <f>SUMIFS(tblData[Outbound Logistics],tblData[Scenario],"Actual",tblData[Year],selFY,tblData[Month],G$5)/Unit</f>
        <v>-2.5110000000000001</v>
      </c>
      <c r="H27" s="79">
        <f>SUMIFS(tblData[Outbound Logistics],tblData[Scenario],"Actual",tblData[Year],selFY,tblData[Month],H$5)/Unit</f>
        <v>-2.5750000000000002</v>
      </c>
      <c r="I27" s="79">
        <f>SUMIFS(tblData[Outbound Logistics],tblData[Scenario],"Actual",tblData[Year],selFY,tblData[Month],I$5)/Unit</f>
        <v>-2.629</v>
      </c>
      <c r="J27" s="79">
        <f>SUMIFS(tblData[Outbound Logistics],tblData[Scenario],"Actual",tblData[Year],selFY,tblData[Month],J$5)/Unit</f>
        <v>-2.5670000000000002</v>
      </c>
      <c r="K27" s="79">
        <f>SUMIFS(tblData[Outbound Logistics],tblData[Scenario],"Actual",tblData[Year],selFY,tblData[Month],K$5)/Unit</f>
        <v>-2.6339999999999999</v>
      </c>
      <c r="L27" s="79">
        <f>SUMIFS(tblData[Outbound Logistics],tblData[Scenario],"Actual",tblData[Year],selFY,tblData[Month],L$5)/Unit</f>
        <v>-2.8839999999999999</v>
      </c>
      <c r="M27" s="79">
        <f>SUMIFS(tblData[Outbound Logistics],tblData[Scenario],"Actual",tblData[Year],selFY,tblData[Month],M$5)/Unit</f>
        <v>-3.1389999999999998</v>
      </c>
      <c r="N27" s="79">
        <f>SUMIFS(tblData[Outbound Logistics],tblData[Scenario],"Actual",tblData[Year],selFY,tblData[Month],N$5)/Unit</f>
        <v>0</v>
      </c>
      <c r="O27" s="79">
        <f>SUMIFS(tblData[Outbound Logistics],tblData[Scenario],"Actual",tblData[Year],selFY,tblData[Month],O$5)/Unit</f>
        <v>0</v>
      </c>
      <c r="P27" s="79">
        <f t="shared" si="0"/>
        <v>-25.693000000000001</v>
      </c>
    </row>
    <row r="28" spans="1:16" x14ac:dyDescent="0.25">
      <c r="A28" s="77" t="s">
        <v>90</v>
      </c>
      <c r="B28" s="77" t="s">
        <v>15</v>
      </c>
      <c r="D28" s="79">
        <f>SUMIFS(tblData[Direct Selling],tblData[Scenario],"Actual",tblData[Year],selFY,tblData[Month],D$5)/Unit</f>
        <v>-1.0840000000000001</v>
      </c>
      <c r="E28" s="79">
        <f>SUMIFS(tblData[Direct Selling],tblData[Scenario],"Actual",tblData[Year],selFY,tblData[Month],E$5)/Unit</f>
        <v>-1.1180000000000001</v>
      </c>
      <c r="F28" s="79">
        <f>SUMIFS(tblData[Direct Selling],tblData[Scenario],"Actual",tblData[Year],selFY,tblData[Month],F$5)/Unit</f>
        <v>-1.246</v>
      </c>
      <c r="G28" s="79">
        <f>SUMIFS(tblData[Direct Selling],tblData[Scenario],"Actual",tblData[Year],selFY,tblData[Month],G$5)/Unit</f>
        <v>-1.286</v>
      </c>
      <c r="H28" s="79">
        <f>SUMIFS(tblData[Direct Selling],tblData[Scenario],"Actual",tblData[Year],selFY,tblData[Month],H$5)/Unit</f>
        <v>-1.3120000000000001</v>
      </c>
      <c r="I28" s="79">
        <f>SUMIFS(tblData[Direct Selling],tblData[Scenario],"Actual",tblData[Year],selFY,tblData[Month],I$5)/Unit</f>
        <v>-1.3460000000000001</v>
      </c>
      <c r="J28" s="79">
        <f>SUMIFS(tblData[Direct Selling],tblData[Scenario],"Actual",tblData[Year],selFY,tblData[Month],J$5)/Unit</f>
        <v>-1.3140000000000001</v>
      </c>
      <c r="K28" s="79">
        <f>SUMIFS(tblData[Direct Selling],tblData[Scenario],"Actual",tblData[Year],selFY,tblData[Month],K$5)/Unit</f>
        <v>-1.345</v>
      </c>
      <c r="L28" s="79">
        <f>SUMIFS(tblData[Direct Selling],tblData[Scenario],"Actual",tblData[Year],selFY,tblData[Month],L$5)/Unit</f>
        <v>-1.4750000000000001</v>
      </c>
      <c r="M28" s="79">
        <f>SUMIFS(tblData[Direct Selling],tblData[Scenario],"Actual",tblData[Year],selFY,tblData[Month],M$5)/Unit</f>
        <v>-1.603</v>
      </c>
      <c r="N28" s="79">
        <f>SUMIFS(tblData[Direct Selling],tblData[Scenario],"Actual",tblData[Year],selFY,tblData[Month],N$5)/Unit</f>
        <v>0</v>
      </c>
      <c r="O28" s="79">
        <f>SUMIFS(tblData[Direct Selling],tblData[Scenario],"Actual",tblData[Year],selFY,tblData[Month],O$5)/Unit</f>
        <v>0</v>
      </c>
      <c r="P28" s="79">
        <f t="shared" si="0"/>
        <v>-13.129</v>
      </c>
    </row>
    <row r="29" spans="1:16" x14ac:dyDescent="0.25">
      <c r="A29" s="77" t="s">
        <v>90</v>
      </c>
      <c r="B29" s="77" t="s">
        <v>16</v>
      </c>
      <c r="D29" s="79">
        <f>SUMIFS(tblData[Personnel],tblData[Scenario],"Actual",tblData[Year],selFY,tblData[Month],D$5)/Unit</f>
        <v>-4.2370000000000001</v>
      </c>
      <c r="E29" s="79">
        <f>SUMIFS(tblData[Personnel],tblData[Scenario],"Actual",tblData[Year],selFY,tblData[Month],E$5)/Unit</f>
        <v>-4.2539999999999996</v>
      </c>
      <c r="F29" s="79">
        <f>SUMIFS(tblData[Personnel],tblData[Scenario],"Actual",tblData[Year],selFY,tblData[Month],F$5)/Unit</f>
        <v>-4.2709999999999999</v>
      </c>
      <c r="G29" s="79">
        <f>SUMIFS(tblData[Personnel],tblData[Scenario],"Actual",tblData[Year],selFY,tblData[Month],G$5)/Unit</f>
        <v>-4.2880000000000003</v>
      </c>
      <c r="H29" s="79">
        <f>SUMIFS(tblData[Personnel],tblData[Scenario],"Actual",tblData[Year],selFY,tblData[Month],H$5)/Unit</f>
        <v>-4.3049999999999997</v>
      </c>
      <c r="I29" s="79">
        <f>SUMIFS(tblData[Personnel],tblData[Scenario],"Actual",tblData[Year],selFY,tblData[Month],I$5)/Unit</f>
        <v>-4.3220000000000001</v>
      </c>
      <c r="J29" s="79">
        <f>SUMIFS(tblData[Personnel],tblData[Scenario],"Actual",tblData[Year],selFY,tblData[Month],J$5)/Unit</f>
        <v>-4.3390000000000004</v>
      </c>
      <c r="K29" s="79">
        <f>SUMIFS(tblData[Personnel],tblData[Scenario],"Actual",tblData[Year],selFY,tblData[Month],K$5)/Unit</f>
        <v>-4.3559999999999999</v>
      </c>
      <c r="L29" s="79">
        <f>SUMIFS(tblData[Personnel],tblData[Scenario],"Actual",tblData[Year],selFY,tblData[Month],L$5)/Unit</f>
        <v>-4.3730000000000002</v>
      </c>
      <c r="M29" s="79">
        <f>SUMIFS(tblData[Personnel],tblData[Scenario],"Actual",tblData[Year],selFY,tblData[Month],M$5)/Unit</f>
        <v>-4.3899999999999997</v>
      </c>
      <c r="N29" s="79">
        <f>SUMIFS(tblData[Personnel],tblData[Scenario],"Actual",tblData[Year],selFY,tblData[Month],N$5)/Unit</f>
        <v>0</v>
      </c>
      <c r="O29" s="79">
        <f>SUMIFS(tblData[Personnel],tblData[Scenario],"Actual",tblData[Year],selFY,tblData[Month],O$5)/Unit</f>
        <v>0</v>
      </c>
      <c r="P29" s="79">
        <f t="shared" si="0"/>
        <v>-43.134999999999998</v>
      </c>
    </row>
    <row r="30" spans="1:16" x14ac:dyDescent="0.25">
      <c r="A30" s="77" t="s">
        <v>90</v>
      </c>
      <c r="B30" s="77" t="s">
        <v>17</v>
      </c>
      <c r="D30" s="79">
        <f>SUMIFS(tblData[Research and Development],tblData[Scenario],"Actual",tblData[Year],selFY,tblData[Month],D$5)/Unit</f>
        <v>-1</v>
      </c>
      <c r="E30" s="79">
        <f>SUMIFS(tblData[Research and Development],tblData[Scenario],"Actual",tblData[Year],selFY,tblData[Month],E$5)/Unit</f>
        <v>-1</v>
      </c>
      <c r="F30" s="79">
        <f>SUMIFS(tblData[Research and Development],tblData[Scenario],"Actual",tblData[Year],selFY,tblData[Month],F$5)/Unit</f>
        <v>-1</v>
      </c>
      <c r="G30" s="79">
        <f>SUMIFS(tblData[Research and Development],tblData[Scenario],"Actual",tblData[Year],selFY,tblData[Month],G$5)/Unit</f>
        <v>-1</v>
      </c>
      <c r="H30" s="79">
        <f>SUMIFS(tblData[Research and Development],tblData[Scenario],"Actual",tblData[Year],selFY,tblData[Month],H$5)/Unit</f>
        <v>-1</v>
      </c>
      <c r="I30" s="79">
        <f>SUMIFS(tblData[Research and Development],tblData[Scenario],"Actual",tblData[Year],selFY,tblData[Month],I$5)/Unit</f>
        <v>-1</v>
      </c>
      <c r="J30" s="79">
        <f>SUMIFS(tblData[Research and Development],tblData[Scenario],"Actual",tblData[Year],selFY,tblData[Month],J$5)/Unit</f>
        <v>-1</v>
      </c>
      <c r="K30" s="79">
        <f>SUMIFS(tblData[Research and Development],tblData[Scenario],"Actual",tblData[Year],selFY,tblData[Month],K$5)/Unit</f>
        <v>-1</v>
      </c>
      <c r="L30" s="79">
        <f>SUMIFS(tblData[Research and Development],tblData[Scenario],"Actual",tblData[Year],selFY,tblData[Month],L$5)/Unit</f>
        <v>-1</v>
      </c>
      <c r="M30" s="79">
        <f>SUMIFS(tblData[Research and Development],tblData[Scenario],"Actual",tblData[Year],selFY,tblData[Month],M$5)/Unit</f>
        <v>-1</v>
      </c>
      <c r="N30" s="79">
        <f>SUMIFS(tblData[Research and Development],tblData[Scenario],"Actual",tblData[Year],selFY,tblData[Month],N$5)/Unit</f>
        <v>0</v>
      </c>
      <c r="O30" s="79">
        <f>SUMIFS(tblData[Research and Development],tblData[Scenario],"Actual",tblData[Year],selFY,tblData[Month],O$5)/Unit</f>
        <v>0</v>
      </c>
      <c r="P30" s="79">
        <f t="shared" si="0"/>
        <v>-10</v>
      </c>
    </row>
    <row r="31" spans="1:16" x14ac:dyDescent="0.25">
      <c r="A31" s="77" t="s">
        <v>90</v>
      </c>
      <c r="B31" s="77" t="s">
        <v>18</v>
      </c>
      <c r="D31" s="79">
        <f>SUMIFS(tblData[IT and Facilities],tblData[Scenario],"Actual",tblData[Year],selFY,tblData[Month],D$5)/Unit</f>
        <v>-1.28</v>
      </c>
      <c r="E31" s="79">
        <f>SUMIFS(tblData[IT and Facilities],tblData[Scenario],"Actual",tblData[Year],selFY,tblData[Month],E$5)/Unit</f>
        <v>-1.28</v>
      </c>
      <c r="F31" s="79">
        <f>SUMIFS(tblData[IT and Facilities],tblData[Scenario],"Actual",tblData[Year],selFY,tblData[Month],F$5)/Unit</f>
        <v>-1.28</v>
      </c>
      <c r="G31" s="79">
        <f>SUMIFS(tblData[IT and Facilities],tblData[Scenario],"Actual",tblData[Year],selFY,tblData[Month],G$5)/Unit</f>
        <v>-1.28</v>
      </c>
      <c r="H31" s="79">
        <f>SUMIFS(tblData[IT and Facilities],tblData[Scenario],"Actual",tblData[Year],selFY,tblData[Month],H$5)/Unit</f>
        <v>-1.28</v>
      </c>
      <c r="I31" s="79">
        <f>SUMIFS(tblData[IT and Facilities],tblData[Scenario],"Actual",tblData[Year],selFY,tblData[Month],I$5)/Unit</f>
        <v>-1.28</v>
      </c>
      <c r="J31" s="79">
        <f>SUMIFS(tblData[IT and Facilities],tblData[Scenario],"Actual",tblData[Year],selFY,tblData[Month],J$5)/Unit</f>
        <v>-1.28</v>
      </c>
      <c r="K31" s="79">
        <f>SUMIFS(tblData[IT and Facilities],tblData[Scenario],"Actual",tblData[Year],selFY,tblData[Month],K$5)/Unit</f>
        <v>-1.28</v>
      </c>
      <c r="L31" s="79">
        <f>SUMIFS(tblData[IT and Facilities],tblData[Scenario],"Actual",tblData[Year],selFY,tblData[Month],L$5)/Unit</f>
        <v>-1.28</v>
      </c>
      <c r="M31" s="79">
        <f>SUMIFS(tblData[IT and Facilities],tblData[Scenario],"Actual",tblData[Year],selFY,tblData[Month],M$5)/Unit</f>
        <v>-1.28</v>
      </c>
      <c r="N31" s="79">
        <f>SUMIFS(tblData[IT and Facilities],tblData[Scenario],"Actual",tblData[Year],selFY,tblData[Month],N$5)/Unit</f>
        <v>0</v>
      </c>
      <c r="O31" s="79">
        <f>SUMIFS(tblData[IT and Facilities],tblData[Scenario],"Actual",tblData[Year],selFY,tblData[Month],O$5)/Unit</f>
        <v>0</v>
      </c>
      <c r="P31" s="79">
        <f t="shared" si="0"/>
        <v>-12.799999999999999</v>
      </c>
    </row>
    <row r="32" spans="1:16" x14ac:dyDescent="0.25">
      <c r="A32" s="77" t="s">
        <v>90</v>
      </c>
      <c r="B32" s="77" t="s">
        <v>19</v>
      </c>
      <c r="D32" s="79">
        <f>SUMIFS(tblData[Other Admin],tblData[Scenario],"Actual",tblData[Year],selFY,tblData[Month],D$5)/Unit</f>
        <v>-1.085</v>
      </c>
      <c r="E32" s="79">
        <f>SUMIFS(tblData[Other Admin],tblData[Scenario],"Actual",tblData[Year],selFY,tblData[Month],E$5)/Unit</f>
        <v>-1.085</v>
      </c>
      <c r="F32" s="79">
        <f>SUMIFS(tblData[Other Admin],tblData[Scenario],"Actual",tblData[Year],selFY,tblData[Month],F$5)/Unit</f>
        <v>-1.085</v>
      </c>
      <c r="G32" s="79">
        <f>SUMIFS(tblData[Other Admin],tblData[Scenario],"Actual",tblData[Year],selFY,tblData[Month],G$5)/Unit</f>
        <v>-1.085</v>
      </c>
      <c r="H32" s="79">
        <f>SUMIFS(tblData[Other Admin],tblData[Scenario],"Actual",tblData[Year],selFY,tblData[Month],H$5)/Unit</f>
        <v>-1.085</v>
      </c>
      <c r="I32" s="79">
        <f>SUMIFS(tblData[Other Admin],tblData[Scenario],"Actual",tblData[Year],selFY,tblData[Month],I$5)/Unit</f>
        <v>-1.085</v>
      </c>
      <c r="J32" s="79">
        <f>SUMIFS(tblData[Other Admin],tblData[Scenario],"Actual",tblData[Year],selFY,tblData[Month],J$5)/Unit</f>
        <v>-1.085</v>
      </c>
      <c r="K32" s="79">
        <f>SUMIFS(tblData[Other Admin],tblData[Scenario],"Actual",tblData[Year],selFY,tblData[Month],K$5)/Unit</f>
        <v>-1.085</v>
      </c>
      <c r="L32" s="79">
        <f>SUMIFS(tblData[Other Admin],tblData[Scenario],"Actual",tblData[Year],selFY,tblData[Month],L$5)/Unit</f>
        <v>-1.085</v>
      </c>
      <c r="M32" s="79">
        <f>SUMIFS(tblData[Other Admin],tblData[Scenario],"Actual",tblData[Year],selFY,tblData[Month],M$5)/Unit</f>
        <v>-1.085</v>
      </c>
      <c r="N32" s="79">
        <f>SUMIFS(tblData[Other Admin],tblData[Scenario],"Actual",tblData[Year],selFY,tblData[Month],N$5)/Unit</f>
        <v>0</v>
      </c>
      <c r="O32" s="79">
        <f>SUMIFS(tblData[Other Admin],tblData[Scenario],"Actual",tblData[Year],selFY,tblData[Month],O$5)/Unit</f>
        <v>0</v>
      </c>
      <c r="P32" s="79">
        <f t="shared" si="0"/>
        <v>-10.850000000000001</v>
      </c>
    </row>
    <row r="33" spans="1:16" x14ac:dyDescent="0.25">
      <c r="A33" s="77" t="s">
        <v>90</v>
      </c>
      <c r="B33" s="77" t="s">
        <v>20</v>
      </c>
      <c r="D33" s="79">
        <f>SUMIFS(tblData[Depreciation],tblData[Scenario],"Actual",tblData[Year],selFY,tblData[Month],D$5)/Unit</f>
        <v>-1.48</v>
      </c>
      <c r="E33" s="79">
        <f>SUMIFS(tblData[Depreciation],tblData[Scenario],"Actual",tblData[Year],selFY,tblData[Month],E$5)/Unit</f>
        <v>-1.48</v>
      </c>
      <c r="F33" s="79">
        <f>SUMIFS(tblData[Depreciation],tblData[Scenario],"Actual",tblData[Year],selFY,tblData[Month],F$5)/Unit</f>
        <v>-1.48</v>
      </c>
      <c r="G33" s="79">
        <f>SUMIFS(tblData[Depreciation],tblData[Scenario],"Actual",tblData[Year],selFY,tblData[Month],G$5)/Unit</f>
        <v>-1.48</v>
      </c>
      <c r="H33" s="79">
        <f>SUMIFS(tblData[Depreciation],tblData[Scenario],"Actual",tblData[Year],selFY,tblData[Month],H$5)/Unit</f>
        <v>-1.48</v>
      </c>
      <c r="I33" s="79">
        <f>SUMIFS(tblData[Depreciation],tblData[Scenario],"Actual",tblData[Year],selFY,tblData[Month],I$5)/Unit</f>
        <v>-1.48</v>
      </c>
      <c r="J33" s="79">
        <f>SUMIFS(tblData[Depreciation],tblData[Scenario],"Actual",tblData[Year],selFY,tblData[Month],J$5)/Unit</f>
        <v>-1.48</v>
      </c>
      <c r="K33" s="79">
        <f>SUMIFS(tblData[Depreciation],tblData[Scenario],"Actual",tblData[Year],selFY,tblData[Month],K$5)/Unit</f>
        <v>-1.48</v>
      </c>
      <c r="L33" s="79">
        <f>SUMIFS(tblData[Depreciation],tblData[Scenario],"Actual",tblData[Year],selFY,tblData[Month],L$5)/Unit</f>
        <v>-1.48</v>
      </c>
      <c r="M33" s="79">
        <f>SUMIFS(tblData[Depreciation],tblData[Scenario],"Actual",tblData[Year],selFY,tblData[Month],M$5)/Unit</f>
        <v>-1.48</v>
      </c>
      <c r="N33" s="79">
        <f>SUMIFS(tblData[Depreciation],tblData[Scenario],"Actual",tblData[Year],selFY,tblData[Month],N$5)/Unit</f>
        <v>0</v>
      </c>
      <c r="O33" s="79">
        <f>SUMIFS(tblData[Depreciation],tblData[Scenario],"Actual",tblData[Year],selFY,tblData[Month],O$5)/Unit</f>
        <v>0</v>
      </c>
      <c r="P33" s="79">
        <f t="shared" si="0"/>
        <v>-14.800000000000002</v>
      </c>
    </row>
    <row r="34" spans="1:16" x14ac:dyDescent="0.25">
      <c r="A34" s="77" t="s">
        <v>90</v>
      </c>
      <c r="B34" s="77" t="s">
        <v>21</v>
      </c>
      <c r="D34" s="79">
        <f>SUMIFS(tblData[Net Interest],tblData[Scenario],"Actual",tblData[Year],selFY,tblData[Month],D$5)/Unit</f>
        <v>-0.71199999999999997</v>
      </c>
      <c r="E34" s="79">
        <f>SUMIFS(tblData[Net Interest],tblData[Scenario],"Actual",tblData[Year],selFY,tblData[Month],E$5)/Unit</f>
        <v>-0.71199999999999997</v>
      </c>
      <c r="F34" s="79">
        <f>SUMIFS(tblData[Net Interest],tblData[Scenario],"Actual",tblData[Year],selFY,tblData[Month],F$5)/Unit</f>
        <v>-0.71199999999999997</v>
      </c>
      <c r="G34" s="79">
        <f>SUMIFS(tblData[Net Interest],tblData[Scenario],"Actual",tblData[Year],selFY,tblData[Month],G$5)/Unit</f>
        <v>-0.70299999999999996</v>
      </c>
      <c r="H34" s="79">
        <f>SUMIFS(tblData[Net Interest],tblData[Scenario],"Actual",tblData[Year],selFY,tblData[Month],H$5)/Unit</f>
        <v>-0.70299999999999996</v>
      </c>
      <c r="I34" s="79">
        <f>SUMIFS(tblData[Net Interest],tblData[Scenario],"Actual",tblData[Year],selFY,tblData[Month],I$5)/Unit</f>
        <v>-0.70299999999999996</v>
      </c>
      <c r="J34" s="79">
        <f>SUMIFS(tblData[Net Interest],tblData[Scenario],"Actual",tblData[Year],selFY,tblData[Month],J$5)/Unit</f>
        <v>-0.69399999999999995</v>
      </c>
      <c r="K34" s="79">
        <f>SUMIFS(tblData[Net Interest],tblData[Scenario],"Actual",tblData[Year],selFY,tblData[Month],K$5)/Unit</f>
        <v>-0.69399999999999995</v>
      </c>
      <c r="L34" s="79">
        <f>SUMIFS(tblData[Net Interest],tblData[Scenario],"Actual",tblData[Year],selFY,tblData[Month],L$5)/Unit</f>
        <v>-0.69399999999999995</v>
      </c>
      <c r="M34" s="79">
        <f>SUMIFS(tblData[Net Interest],tblData[Scenario],"Actual",tblData[Year],selFY,tblData[Month],M$5)/Unit</f>
        <v>-0.68400000000000005</v>
      </c>
      <c r="N34" s="79">
        <f>SUMIFS(tblData[Net Interest],tblData[Scenario],"Actual",tblData[Year],selFY,tblData[Month],N$5)/Unit</f>
        <v>0</v>
      </c>
      <c r="O34" s="79">
        <f>SUMIFS(tblData[Net Interest],tblData[Scenario],"Actual",tblData[Year],selFY,tblData[Month],O$5)/Unit</f>
        <v>0</v>
      </c>
      <c r="P34" s="79">
        <f t="shared" si="0"/>
        <v>-7.0110000000000001</v>
      </c>
    </row>
    <row r="35" spans="1:16" x14ac:dyDescent="0.25">
      <c r="A35" s="77" t="s">
        <v>90</v>
      </c>
      <c r="B35" s="77" t="s">
        <v>22</v>
      </c>
      <c r="D35" s="79">
        <f>SUMIFS(tblData[Tax],tblData[Scenario],"Actual",tblData[Year],selFY,tblData[Month],D$5)/Unit</f>
        <v>-0.82899999999999996</v>
      </c>
      <c r="E35" s="79">
        <f>SUMIFS(tblData[Tax],tblData[Scenario],"Actual",tblData[Year],selFY,tblData[Month],E$5)/Unit</f>
        <v>-0.92500000000000004</v>
      </c>
      <c r="F35" s="79">
        <f>SUMIFS(tblData[Tax],tblData[Scenario],"Actual",tblData[Year],selFY,tblData[Month],F$5)/Unit</f>
        <v>-1.319</v>
      </c>
      <c r="G35" s="79">
        <f>SUMIFS(tblData[Tax],tblData[Scenario],"Actual",tblData[Year],selFY,tblData[Month],G$5)/Unit</f>
        <v>-1.4139999999999999</v>
      </c>
      <c r="H35" s="79">
        <f>SUMIFS(tblData[Tax],tblData[Scenario],"Actual",tblData[Year],selFY,tblData[Month],H$5)/Unit</f>
        <v>-1.51</v>
      </c>
      <c r="I35" s="79">
        <f>SUMIFS(tblData[Tax],tblData[Scenario],"Actual",tblData[Year],selFY,tblData[Month],I$5)/Unit</f>
        <v>-1.5980000000000001</v>
      </c>
      <c r="J35" s="79">
        <f>SUMIFS(tblData[Tax],tblData[Scenario],"Actual",tblData[Year],selFY,tblData[Month],J$5)/Unit</f>
        <v>-1.498</v>
      </c>
      <c r="K35" s="79">
        <f>SUMIFS(tblData[Tax],tblData[Scenario],"Actual",tblData[Year],selFY,tblData[Month],K$5)/Unit</f>
        <v>-1.58</v>
      </c>
      <c r="L35" s="79">
        <f>SUMIFS(tblData[Tax],tblData[Scenario],"Actual",tblData[Year],selFY,tblData[Month],L$5)/Unit</f>
        <v>-1.972</v>
      </c>
      <c r="M35" s="79">
        <f>SUMIFS(tblData[Tax],tblData[Scenario],"Actual",tblData[Year],selFY,tblData[Month],M$5)/Unit</f>
        <v>-2.359</v>
      </c>
      <c r="N35" s="79">
        <f>SUMIFS(tblData[Tax],tblData[Scenario],"Actual",tblData[Year],selFY,tblData[Month],N$5)/Unit</f>
        <v>0</v>
      </c>
      <c r="O35" s="79">
        <f>SUMIFS(tblData[Tax],tblData[Scenario],"Actual",tblData[Year],selFY,tblData[Month],O$5)/Unit</f>
        <v>0</v>
      </c>
      <c r="P35" s="79">
        <f t="shared" si="0"/>
        <v>-15.004</v>
      </c>
    </row>
    <row r="36" spans="1:16" x14ac:dyDescent="0.25">
      <c r="A36" s="77" t="s">
        <v>90</v>
      </c>
      <c r="B36" s="77" t="s">
        <v>23</v>
      </c>
      <c r="D36" s="79">
        <f>SUMIFS(tblData[Capex],tblData[Scenario],"Actual",tblData[Year],selFY,tblData[Month],D$5)/Unit</f>
        <v>-1.1339999999999999</v>
      </c>
      <c r="E36" s="79">
        <f>SUMIFS(tblData[Capex],tblData[Scenario],"Actual",tblData[Year],selFY,tblData[Month],E$5)/Unit</f>
        <v>-1.1679999999999999</v>
      </c>
      <c r="F36" s="79">
        <f>SUMIFS(tblData[Capex],tblData[Scenario],"Actual",tblData[Year],selFY,tblData[Month],F$5)/Unit</f>
        <v>-1.3049999999999999</v>
      </c>
      <c r="G36" s="79">
        <f>SUMIFS(tblData[Capex],tblData[Scenario],"Actual",tblData[Year],selFY,tblData[Month],G$5)/Unit</f>
        <v>-1.34</v>
      </c>
      <c r="H36" s="79">
        <f>SUMIFS(tblData[Capex],tblData[Scenario],"Actual",tblData[Year],selFY,tblData[Month],H$5)/Unit</f>
        <v>-1.373</v>
      </c>
      <c r="I36" s="79">
        <f>SUMIFS(tblData[Capex],tblData[Scenario],"Actual",tblData[Year],selFY,tblData[Month],I$5)/Unit</f>
        <v>-1.4059999999999999</v>
      </c>
      <c r="J36" s="79">
        <f>SUMIFS(tblData[Capex],tblData[Scenario],"Actual",tblData[Year],selFY,tblData[Month],J$5)/Unit</f>
        <v>-1.288</v>
      </c>
      <c r="K36" s="79">
        <f>SUMIFS(tblData[Capex],tblData[Scenario],"Actual",tblData[Year],selFY,tblData[Month],K$5)/Unit</f>
        <v>-1.3180000000000001</v>
      </c>
      <c r="L36" s="79">
        <f>SUMIFS(tblData[Capex],tblData[Scenario],"Actual",tblData[Year],selFY,tblData[Month],L$5)/Unit</f>
        <v>-1.4470000000000001</v>
      </c>
      <c r="M36" s="79">
        <f>SUMIFS(tblData[Capex],tblData[Scenario],"Actual",tblData[Year],selFY,tblData[Month],M$5)/Unit</f>
        <v>-1.573</v>
      </c>
      <c r="N36" s="79">
        <f>SUMIFS(tblData[Capex],tblData[Scenario],"Actual",tblData[Year],selFY,tblData[Month],N$5)/Unit</f>
        <v>0</v>
      </c>
      <c r="O36" s="79">
        <f>SUMIFS(tblData[Capex],tblData[Scenario],"Actual",tblData[Year],selFY,tblData[Month],O$5)/Unit</f>
        <v>0</v>
      </c>
      <c r="P36" s="79">
        <f t="shared" si="0"/>
        <v>-13.352</v>
      </c>
    </row>
    <row r="37" spans="1:16" x14ac:dyDescent="0.25">
      <c r="A37" s="77" t="s">
        <v>90</v>
      </c>
      <c r="B37" s="77" t="s">
        <v>24</v>
      </c>
      <c r="D37" s="79">
        <f>SUMIFS(tblData[Receivables],tblData[Scenario],"Actual",tblData[Year],selFY,tblData[Month],D$5)/Unit</f>
        <v>54.383000000000003</v>
      </c>
      <c r="E37" s="79">
        <f>SUMIFS(tblData[Receivables],tblData[Scenario],"Actual",tblData[Year],selFY,tblData[Month],E$5)/Unit</f>
        <v>55.207999999999998</v>
      </c>
      <c r="F37" s="79">
        <f>SUMIFS(tblData[Receivables],tblData[Scenario],"Actual",tblData[Year],selFY,tblData[Month],F$5)/Unit</f>
        <v>57.689</v>
      </c>
      <c r="G37" s="79">
        <f>SUMIFS(tblData[Receivables],tblData[Scenario],"Actual",tblData[Year],selFY,tblData[Month],G$5)/Unit</f>
        <v>60.988</v>
      </c>
      <c r="H37" s="79">
        <f>SUMIFS(tblData[Receivables],tblData[Scenario],"Actual",tblData[Year],selFY,tblData[Month],H$5)/Unit</f>
        <v>64.281999999999996</v>
      </c>
      <c r="I37" s="79">
        <f>SUMIFS(tblData[Receivables],tblData[Scenario],"Actual",tblData[Year],selFY,tblData[Month],I$5)/Unit</f>
        <v>65.908000000000001</v>
      </c>
      <c r="J37" s="79">
        <f>SUMIFS(tblData[Receivables],tblData[Scenario],"Actual",tblData[Year],selFY,tblData[Month],J$5)/Unit</f>
        <v>66.44</v>
      </c>
      <c r="K37" s="79">
        <f>SUMIFS(tblData[Receivables],tblData[Scenario],"Actual",tblData[Year],selFY,tblData[Month],K$5)/Unit</f>
        <v>66.903999999999996</v>
      </c>
      <c r="L37" s="79">
        <f>SUMIFS(tblData[Receivables],tblData[Scenario],"Actual",tblData[Year],selFY,tblData[Month],L$5)/Unit</f>
        <v>69.046999999999997</v>
      </c>
      <c r="M37" s="79">
        <f>SUMIFS(tblData[Receivables],tblData[Scenario],"Actual",tblData[Year],selFY,tblData[Month],M$5)/Unit</f>
        <v>73.873000000000005</v>
      </c>
      <c r="N37" s="79">
        <f>SUMIFS(tblData[Receivables],tblData[Scenario],"Actual",tblData[Year],selFY,tblData[Month],N$5)/Unit</f>
        <v>0</v>
      </c>
      <c r="O37" s="79">
        <f>SUMIFS(tblData[Receivables],tblData[Scenario],"Actual",tblData[Year],selFY,tblData[Month],O$5)/Unit</f>
        <v>0</v>
      </c>
    </row>
    <row r="38" spans="1:16" x14ac:dyDescent="0.25">
      <c r="A38" s="77" t="s">
        <v>90</v>
      </c>
      <c r="B38" s="77" t="s">
        <v>25</v>
      </c>
      <c r="D38" s="79">
        <f>SUMIFS(tblData[Inventory],tblData[Scenario],"Actual",tblData[Year],selFY,tblData[Month],D$5)/Unit</f>
        <v>48.093000000000004</v>
      </c>
      <c r="E38" s="79">
        <f>SUMIFS(tblData[Inventory],tblData[Scenario],"Actual",tblData[Year],selFY,tblData[Month],E$5)/Unit</f>
        <v>48.765999999999998</v>
      </c>
      <c r="F38" s="79">
        <f>SUMIFS(tblData[Inventory],tblData[Scenario],"Actual",tblData[Year],selFY,tblData[Month],F$5)/Unit</f>
        <v>50.920999999999999</v>
      </c>
      <c r="G38" s="79">
        <f>SUMIFS(tblData[Inventory],tblData[Scenario],"Actual",tblData[Year],selFY,tblData[Month],G$5)/Unit</f>
        <v>53.808999999999997</v>
      </c>
      <c r="H38" s="79">
        <f>SUMIFS(tblData[Inventory],tblData[Scenario],"Actual",tblData[Year],selFY,tblData[Month],H$5)/Unit</f>
        <v>56.725999999999999</v>
      </c>
      <c r="I38" s="79">
        <f>SUMIFS(tblData[Inventory],tblData[Scenario],"Actual",tblData[Year],selFY,tblData[Month],I$5)/Unit</f>
        <v>58.151000000000003</v>
      </c>
      <c r="J38" s="79">
        <f>SUMIFS(tblData[Inventory],tblData[Scenario],"Actual",tblData[Year],selFY,tblData[Month],J$5)/Unit</f>
        <v>58.591000000000001</v>
      </c>
      <c r="K38" s="79">
        <f>SUMIFS(tblData[Inventory],tblData[Scenario],"Actual",tblData[Year],selFY,tblData[Month],K$5)/Unit</f>
        <v>59.008000000000003</v>
      </c>
      <c r="L38" s="79">
        <f>SUMIFS(tblData[Inventory],tblData[Scenario],"Actual",tblData[Year],selFY,tblData[Month],L$5)/Unit</f>
        <v>60.932000000000002</v>
      </c>
      <c r="M38" s="79">
        <f>SUMIFS(tblData[Inventory],tblData[Scenario],"Actual",tblData[Year],selFY,tblData[Month],M$5)/Unit</f>
        <v>65.239999999999995</v>
      </c>
      <c r="N38" s="79">
        <f>SUMIFS(tblData[Inventory],tblData[Scenario],"Actual",tblData[Year],selFY,tblData[Month],N$5)/Unit</f>
        <v>0</v>
      </c>
      <c r="O38" s="79">
        <f>SUMIFS(tblData[Inventory],tblData[Scenario],"Actual",tblData[Year],selFY,tblData[Month],O$5)/Unit</f>
        <v>0</v>
      </c>
    </row>
    <row r="39" spans="1:16" x14ac:dyDescent="0.25">
      <c r="A39" s="77" t="s">
        <v>90</v>
      </c>
      <c r="B39" s="77" t="s">
        <v>26</v>
      </c>
      <c r="D39" s="79">
        <f>SUMIFS(tblData[Payables],tblData[Scenario],"Actual",tblData[Year],selFY,tblData[Month],D$5)/Unit</f>
        <v>27.783999999999999</v>
      </c>
      <c r="E39" s="79">
        <f>SUMIFS(tblData[Payables],tblData[Scenario],"Actual",tblData[Year],selFY,tblData[Month],E$5)/Unit</f>
        <v>28.63</v>
      </c>
      <c r="F39" s="79">
        <f>SUMIFS(tblData[Payables],tblData[Scenario],"Actual",tblData[Year],selFY,tblData[Month],F$5)/Unit</f>
        <v>31.957000000000001</v>
      </c>
      <c r="G39" s="79">
        <f>SUMIFS(tblData[Payables],tblData[Scenario],"Actual",tblData[Year],selFY,tblData[Month],G$5)/Unit</f>
        <v>32.863</v>
      </c>
      <c r="H39" s="79">
        <f>SUMIFS(tblData[Payables],tblData[Scenario],"Actual",tblData[Year],selFY,tblData[Month],H$5)/Unit</f>
        <v>33.658999999999999</v>
      </c>
      <c r="I39" s="79">
        <f>SUMIFS(tblData[Payables],tblData[Scenario],"Actual",tblData[Year],selFY,tblData[Month],I$5)/Unit</f>
        <v>34.462000000000003</v>
      </c>
      <c r="J39" s="79">
        <f>SUMIFS(tblData[Payables],tblData[Scenario],"Actual",tblData[Year],selFY,tblData[Month],J$5)/Unit</f>
        <v>33.61</v>
      </c>
      <c r="K39" s="79">
        <f>SUMIFS(tblData[Payables],tblData[Scenario],"Actual",tblData[Year],selFY,tblData[Month],K$5)/Unit</f>
        <v>34.39</v>
      </c>
      <c r="L39" s="79">
        <f>SUMIFS(tblData[Payables],tblData[Scenario],"Actual",tblData[Year],selFY,tblData[Month],L$5)/Unit</f>
        <v>37.753</v>
      </c>
      <c r="M39" s="79">
        <f>SUMIFS(tblData[Payables],tblData[Scenario],"Actual",tblData[Year],selFY,tblData[Month],M$5)/Unit</f>
        <v>41.042000000000002</v>
      </c>
      <c r="N39" s="79">
        <f>SUMIFS(tblData[Payables],tblData[Scenario],"Actual",tblData[Year],selFY,tblData[Month],N$5)/Unit</f>
        <v>0</v>
      </c>
      <c r="O39" s="79">
        <f>SUMIFS(tblData[Payables],tblData[Scenario],"Actual",tblData[Year],selFY,tblData[Month],O$5)/Unit</f>
        <v>0</v>
      </c>
    </row>
    <row r="40" spans="1:16" x14ac:dyDescent="0.25">
      <c r="A40" s="77" t="s">
        <v>90</v>
      </c>
      <c r="B40" s="77" t="s">
        <v>27</v>
      </c>
      <c r="D40" s="79">
        <f>SUMIFS(tblData[Cash],tblData[Scenario],"Actual",tblData[Year],selFY,tblData[Month],D$5)/Unit</f>
        <v>62.078000000000003</v>
      </c>
      <c r="E40" s="79">
        <f>SUMIFS(tblData[Cash],tblData[Scenario],"Actual",tblData[Year],selFY,tblData[Month],E$5)/Unit</f>
        <v>64.513000000000005</v>
      </c>
      <c r="F40" s="79">
        <f>SUMIFS(tblData[Cash],tblData[Scenario],"Actual",tblData[Year],selFY,tblData[Month],F$5)/Unit</f>
        <v>64.835999999999999</v>
      </c>
      <c r="G40" s="79">
        <f>SUMIFS(tblData[Cash],tblData[Scenario],"Actual",tblData[Year],selFY,tblData[Month],G$5)/Unit</f>
        <v>63.938000000000002</v>
      </c>
      <c r="H40" s="79">
        <f>SUMIFS(tblData[Cash],tblData[Scenario],"Actual",tblData[Year],selFY,tblData[Month],H$5)/Unit</f>
        <v>45.161999999999999</v>
      </c>
      <c r="I40" s="79">
        <f>SUMIFS(tblData[Cash],tblData[Scenario],"Actual",tblData[Year],selFY,tblData[Month],I$5)/Unit</f>
        <v>45.274999999999999</v>
      </c>
      <c r="J40" s="79">
        <f>SUMIFS(tblData[Cash],tblData[Scenario],"Actual",tblData[Year],selFY,tblData[Month],J$5)/Unit</f>
        <v>48.140999999999998</v>
      </c>
      <c r="K40" s="79">
        <f>SUMIFS(tblData[Cash],tblData[Scenario],"Actual",tblData[Year],selFY,tblData[Month],K$5)/Unit</f>
        <v>52.939</v>
      </c>
      <c r="L40" s="79">
        <f>SUMIFS(tblData[Cash],tblData[Scenario],"Actual",tblData[Year],selFY,tblData[Month],L$5)/Unit</f>
        <v>55.686999999999998</v>
      </c>
      <c r="M40" s="79">
        <f>SUMIFS(tblData[Cash],tblData[Scenario],"Actual",tblData[Year],selFY,tblData[Month],M$5)/Unit</f>
        <v>56.825000000000003</v>
      </c>
      <c r="N40" s="79">
        <f>SUMIFS(tblData[Cash],tblData[Scenario],"Actual",tblData[Year],selFY,tblData[Month],N$5)/Unit</f>
        <v>0</v>
      </c>
      <c r="O40" s="79">
        <f>SUMIFS(tblData[Cash],tblData[Scenario],"Actual",tblData[Year],selFY,tblData[Month],O$5)/Unit</f>
        <v>0</v>
      </c>
    </row>
    <row r="41" spans="1:16" x14ac:dyDescent="0.25">
      <c r="A41" s="77" t="s">
        <v>90</v>
      </c>
      <c r="B41" s="77" t="s">
        <v>28</v>
      </c>
      <c r="D41" s="79">
        <f>SUMIFS(tblData[Gross Debt],tblData[Scenario],"Actual",tblData[Year],selFY,tblData[Month],D$5)/Unit</f>
        <v>190</v>
      </c>
      <c r="E41" s="79">
        <f>SUMIFS(tblData[Gross Debt],tblData[Scenario],"Actual",tblData[Year],selFY,tblData[Month],E$5)/Unit</f>
        <v>190</v>
      </c>
      <c r="F41" s="79">
        <f>SUMIFS(tblData[Gross Debt],tblData[Scenario],"Actual",tblData[Year],selFY,tblData[Month],F$5)/Unit</f>
        <v>187.5</v>
      </c>
      <c r="G41" s="79">
        <f>SUMIFS(tblData[Gross Debt],tblData[Scenario],"Actual",tblData[Year],selFY,tblData[Month],G$5)/Unit</f>
        <v>187.5</v>
      </c>
      <c r="H41" s="79">
        <f>SUMIFS(tblData[Gross Debt],tblData[Scenario],"Actual",tblData[Year],selFY,tblData[Month],H$5)/Unit</f>
        <v>187.5</v>
      </c>
      <c r="I41" s="79">
        <f>SUMIFS(tblData[Gross Debt],tblData[Scenario],"Actual",tblData[Year],selFY,tblData[Month],I$5)/Unit</f>
        <v>185</v>
      </c>
      <c r="J41" s="79">
        <f>SUMIFS(tblData[Gross Debt],tblData[Scenario],"Actual",tblData[Year],selFY,tblData[Month],J$5)/Unit</f>
        <v>185</v>
      </c>
      <c r="K41" s="79">
        <f>SUMIFS(tblData[Gross Debt],tblData[Scenario],"Actual",tblData[Year],selFY,tblData[Month],K$5)/Unit</f>
        <v>185</v>
      </c>
      <c r="L41" s="79">
        <f>SUMIFS(tblData[Gross Debt],tblData[Scenario],"Actual",tblData[Year],selFY,tblData[Month],L$5)/Unit</f>
        <v>182.5</v>
      </c>
      <c r="M41" s="79">
        <f>SUMIFS(tblData[Gross Debt],tblData[Scenario],"Actual",tblData[Year],selFY,tblData[Month],M$5)/Unit</f>
        <v>182.5</v>
      </c>
      <c r="N41" s="79">
        <f>SUMIFS(tblData[Gross Debt],tblData[Scenario],"Actual",tblData[Year],selFY,tblData[Month],N$5)/Unit</f>
        <v>0</v>
      </c>
      <c r="O41" s="79">
        <f>SUMIFS(tblData[Gross Debt],tblData[Scenario],"Actual",tblData[Year],selFY,tblData[Month],O$5)/Unit</f>
        <v>0</v>
      </c>
    </row>
    <row r="42" spans="1:16" x14ac:dyDescent="0.25">
      <c r="A42" s="77" t="s">
        <v>90</v>
      </c>
      <c r="B42" s="77" t="s">
        <v>29</v>
      </c>
      <c r="D42" s="79">
        <f>SUMIFS(tblData[Headcount],tblData[Scenario],"Actual",tblData[Year],selFY,tblData[Month],D$5)</f>
        <v>1173</v>
      </c>
      <c r="E42" s="79">
        <f>SUMIFS(tblData[Headcount],tblData[Scenario],"Actual",tblData[Year],selFY,tblData[Month],E$5)</f>
        <v>1176</v>
      </c>
      <c r="F42" s="79">
        <f>SUMIFS(tblData[Headcount],tblData[Scenario],"Actual",tblData[Year],selFY,tblData[Month],F$5)</f>
        <v>1178</v>
      </c>
      <c r="G42" s="79">
        <f>SUMIFS(tblData[Headcount],tblData[Scenario],"Actual",tblData[Year],selFY,tblData[Month],G$5)</f>
        <v>1181</v>
      </c>
      <c r="H42" s="79">
        <f>SUMIFS(tblData[Headcount],tblData[Scenario],"Actual",tblData[Year],selFY,tblData[Month],H$5)</f>
        <v>1184</v>
      </c>
      <c r="I42" s="79">
        <f>SUMIFS(tblData[Headcount],tblData[Scenario],"Actual",tblData[Year],selFY,tblData[Month],I$5)</f>
        <v>1186</v>
      </c>
      <c r="J42" s="79">
        <f>SUMIFS(tblData[Headcount],tblData[Scenario],"Actual",tblData[Year],selFY,tblData[Month],J$5)</f>
        <v>1189</v>
      </c>
      <c r="K42" s="79">
        <f>SUMIFS(tblData[Headcount],tblData[Scenario],"Actual",tblData[Year],selFY,tblData[Month],K$5)</f>
        <v>1192</v>
      </c>
      <c r="L42" s="79">
        <f>SUMIFS(tblData[Headcount],tblData[Scenario],"Actual",tblData[Year],selFY,tblData[Month],L$5)</f>
        <v>1195</v>
      </c>
      <c r="M42" s="79">
        <f>SUMIFS(tblData[Headcount],tblData[Scenario],"Actual",tblData[Year],selFY,tblData[Month],M$5)</f>
        <v>1197</v>
      </c>
      <c r="N42" s="79">
        <f>SUMIFS(tblData[Headcount],tblData[Scenario],"Actual",tblData[Year],selFY,tblData[Month],N$5)</f>
        <v>0</v>
      </c>
      <c r="O42" s="79">
        <f>SUMIFS(tblData[Headcount],tblData[Scenario],"Actual",tblData[Year],selFY,tblData[Month],O$5)</f>
        <v>0</v>
      </c>
    </row>
    <row r="43" spans="1:16" x14ac:dyDescent="0.25">
      <c r="A43" s="77" t="s">
        <v>91</v>
      </c>
      <c r="B43" s="77" t="s">
        <v>5</v>
      </c>
      <c r="D43" s="79">
        <f>SUMIFS(tblData[Units],tblData[Scenario],"Budget",tblData[Year],selFY,tblData[Month],D$5)</f>
        <v>4370.6999999999989</v>
      </c>
      <c r="E43" s="79">
        <f>SUMIFS(tblData[Units],tblData[Scenario],"Budget",tblData[Year],selFY,tblData[Month],E$5)</f>
        <v>4502.8</v>
      </c>
      <c r="F43" s="79">
        <f>SUMIFS(tblData[Units],tblData[Scenario],"Budget",tblData[Year],selFY,tblData[Month],F$5)</f>
        <v>5032.8000000000011</v>
      </c>
      <c r="G43" s="79">
        <f>SUMIFS(tblData[Units],tblData[Scenario],"Budget",tblData[Year],selFY,tblData[Month],G$5)</f>
        <v>5165</v>
      </c>
      <c r="H43" s="79">
        <f>SUMIFS(tblData[Units],tblData[Scenario],"Budget",tblData[Year],selFY,tblData[Month],H$5)</f>
        <v>5297.3000000000011</v>
      </c>
      <c r="I43" s="79">
        <f>SUMIFS(tblData[Units],tblData[Scenario],"Budget",tblData[Year],selFY,tblData[Month],I$5)</f>
        <v>5429.7000000000007</v>
      </c>
      <c r="J43" s="79">
        <f>SUMIFS(tblData[Units],tblData[Scenario],"Budget",tblData[Year],selFY,tblData[Month],J$5)</f>
        <v>5297.3000000000011</v>
      </c>
      <c r="K43" s="79">
        <f>SUMIFS(tblData[Units],tblData[Scenario],"Budget",tblData[Year],selFY,tblData[Month],K$5)</f>
        <v>5429.7000000000007</v>
      </c>
      <c r="L43" s="79">
        <f>SUMIFS(tblData[Units],tblData[Scenario],"Budget",tblData[Year],selFY,tblData[Month],L$5)</f>
        <v>5959.6999999999989</v>
      </c>
      <c r="M43" s="79">
        <f>SUMIFS(tblData[Units],tblData[Scenario],"Budget",tblData[Year],selFY,tblData[Month],M$5)</f>
        <v>6489.300000000002</v>
      </c>
      <c r="N43" s="79">
        <f>SUMIFS(tblData[Units],tblData[Scenario],"Budget",tblData[Year],selFY,tblData[Month],N$5)</f>
        <v>6886.6</v>
      </c>
      <c r="O43" s="79">
        <f>SUMIFS(tblData[Units],tblData[Scenario],"Budget",tblData[Year],selFY,tblData[Month],O$5)</f>
        <v>6357.0000000000018</v>
      </c>
      <c r="P43" s="79">
        <f t="shared" ref="P43:P61" si="1">SUM(D43:O43)</f>
        <v>66217.900000000009</v>
      </c>
    </row>
    <row r="44" spans="1:16" x14ac:dyDescent="0.25">
      <c r="A44" s="77" t="s">
        <v>91</v>
      </c>
      <c r="B44" s="77" t="s">
        <v>6</v>
      </c>
      <c r="D44" s="79">
        <f>SUMIFS(tblData[Gross Sales],tblData[Scenario],"Budget",tblData[Year],selFY,tblData[Month],D$5)/Unit</f>
        <v>41.578000000000003</v>
      </c>
      <c r="E44" s="79">
        <f>SUMIFS(tblData[Gross Sales],tblData[Scenario],"Budget",tblData[Year],selFY,tblData[Month],E$5)/Unit</f>
        <v>42.84</v>
      </c>
      <c r="F44" s="79">
        <f>SUMIFS(tblData[Gross Sales],tblData[Scenario],"Budget",tblData[Year],selFY,tblData[Month],F$5)/Unit</f>
        <v>47.878999999999998</v>
      </c>
      <c r="G44" s="79">
        <f>SUMIFS(tblData[Gross Sales],tblData[Scenario],"Budget",tblData[Year],selFY,tblData[Month],G$5)/Unit</f>
        <v>49.140999999999998</v>
      </c>
      <c r="H44" s="79">
        <f>SUMIFS(tblData[Gross Sales],tblData[Scenario],"Budget",tblData[Year],selFY,tblData[Month],H$5)/Unit</f>
        <v>50.4</v>
      </c>
      <c r="I44" s="79">
        <f>SUMIFS(tblData[Gross Sales],tblData[Scenario],"Budget",tblData[Year],selFY,tblData[Month],I$5)/Unit</f>
        <v>51.664000000000001</v>
      </c>
      <c r="J44" s="79">
        <f>SUMIFS(tblData[Gross Sales],tblData[Scenario],"Budget",tblData[Year],selFY,tblData[Month],J$5)/Unit</f>
        <v>50.4</v>
      </c>
      <c r="K44" s="79">
        <f>SUMIFS(tblData[Gross Sales],tblData[Scenario],"Budget",tblData[Year],selFY,tblData[Month],K$5)/Unit</f>
        <v>51.664000000000001</v>
      </c>
      <c r="L44" s="79">
        <f>SUMIFS(tblData[Gross Sales],tblData[Scenario],"Budget",tblData[Year],selFY,tblData[Month],L$5)/Unit</f>
        <v>56.698</v>
      </c>
      <c r="M44" s="79">
        <f>SUMIFS(tblData[Gross Sales],tblData[Scenario],"Budget",tblData[Year],selFY,tblData[Month],M$5)/Unit</f>
        <v>61.737000000000002</v>
      </c>
      <c r="N44" s="79">
        <f>SUMIFS(tblData[Gross Sales],tblData[Scenario],"Budget",tblData[Year],selFY,tblData[Month],N$5)/Unit</f>
        <v>65.515000000000001</v>
      </c>
      <c r="O44" s="79">
        <f>SUMIFS(tblData[Gross Sales],tblData[Scenario],"Budget",tblData[Year],selFY,tblData[Month],O$5)/Unit</f>
        <v>60.482999999999997</v>
      </c>
      <c r="P44" s="79">
        <f t="shared" si="1"/>
        <v>629.99899999999991</v>
      </c>
    </row>
    <row r="45" spans="1:16" x14ac:dyDescent="0.25">
      <c r="A45" s="77" t="s">
        <v>91</v>
      </c>
      <c r="B45" s="77" t="s">
        <v>7</v>
      </c>
      <c r="D45" s="79">
        <f>SUMIFS(tblData[Trade Discounts],tblData[Scenario],"Budget",tblData[Year],selFY,tblData[Month],D$5)/Unit</f>
        <v>-6.4269999999999996</v>
      </c>
      <c r="E45" s="79">
        <f>SUMIFS(tblData[Trade Discounts],tblData[Scenario],"Budget",tblData[Year],selFY,tblData[Month],E$5)/Unit</f>
        <v>-6.6280000000000001</v>
      </c>
      <c r="F45" s="79">
        <f>SUMIFS(tblData[Trade Discounts],tblData[Scenario],"Budget",tblData[Year],selFY,tblData[Month],F$5)/Unit</f>
        <v>-7.4009999999999998</v>
      </c>
      <c r="G45" s="79">
        <f>SUMIFS(tblData[Trade Discounts],tblData[Scenario],"Budget",tblData[Year],selFY,tblData[Month],G$5)/Unit</f>
        <v>-7.5960000000000001</v>
      </c>
      <c r="H45" s="79">
        <f>SUMIFS(tblData[Trade Discounts],tblData[Scenario],"Budget",tblData[Year],selFY,tblData[Month],H$5)/Unit</f>
        <v>-7.7889999999999997</v>
      </c>
      <c r="I45" s="79">
        <f>SUMIFS(tblData[Trade Discounts],tblData[Scenario],"Budget",tblData[Year],selFY,tblData[Month],I$5)/Unit</f>
        <v>-7.9859999999999998</v>
      </c>
      <c r="J45" s="79">
        <f>SUMIFS(tblData[Trade Discounts],tblData[Scenario],"Budget",tblData[Year],selFY,tblData[Month],J$5)/Unit</f>
        <v>-7.7889999999999997</v>
      </c>
      <c r="K45" s="79">
        <f>SUMIFS(tblData[Trade Discounts],tblData[Scenario],"Budget",tblData[Year],selFY,tblData[Month],K$5)/Unit</f>
        <v>-7.9859999999999998</v>
      </c>
      <c r="L45" s="79">
        <f>SUMIFS(tblData[Trade Discounts],tblData[Scenario],"Budget",tblData[Year],selFY,tblData[Month],L$5)/Unit</f>
        <v>-8.7669999999999995</v>
      </c>
      <c r="M45" s="79">
        <f>SUMIFS(tblData[Trade Discounts],tblData[Scenario],"Budget",tblData[Year],selFY,tblData[Month],M$5)/Unit</f>
        <v>-9.5449999999999999</v>
      </c>
      <c r="N45" s="79">
        <f>SUMIFS(tblData[Trade Discounts],tblData[Scenario],"Budget",tblData[Year],selFY,tblData[Month],N$5)/Unit</f>
        <v>-10.129</v>
      </c>
      <c r="O45" s="79">
        <f>SUMIFS(tblData[Trade Discounts],tblData[Scenario],"Budget",tblData[Year],selFY,tblData[Month],O$5)/Unit</f>
        <v>-9.3490000000000002</v>
      </c>
      <c r="P45" s="79">
        <f t="shared" si="1"/>
        <v>-97.39200000000001</v>
      </c>
    </row>
    <row r="46" spans="1:16" x14ac:dyDescent="0.25">
      <c r="A46" s="77" t="s">
        <v>91</v>
      </c>
      <c r="B46" s="77" t="s">
        <v>8</v>
      </c>
      <c r="D46" s="79">
        <f>SUMIFS(tblData[Returns],tblData[Scenario],"Budget",tblData[Year],selFY,tblData[Month],D$5)/Unit</f>
        <v>-0.79600000000000004</v>
      </c>
      <c r="E46" s="79">
        <f>SUMIFS(tblData[Returns],tblData[Scenario],"Budget",tblData[Year],selFY,tblData[Month],E$5)/Unit</f>
        <v>-0.82099999999999995</v>
      </c>
      <c r="F46" s="79">
        <f>SUMIFS(tblData[Returns],tblData[Scenario],"Budget",tblData[Year],selFY,tblData[Month],F$5)/Unit</f>
        <v>-0.91900000000000004</v>
      </c>
      <c r="G46" s="79">
        <f>SUMIFS(tblData[Returns],tblData[Scenario],"Budget",tblData[Year],selFY,tblData[Month],G$5)/Unit</f>
        <v>-0.94299999999999995</v>
      </c>
      <c r="H46" s="79">
        <f>SUMIFS(tblData[Returns],tblData[Scenario],"Budget",tblData[Year],selFY,tblData[Month],H$5)/Unit</f>
        <v>-0.96599999999999997</v>
      </c>
      <c r="I46" s="79">
        <f>SUMIFS(tblData[Returns],tblData[Scenario],"Budget",tblData[Year],selFY,tblData[Month],I$5)/Unit</f>
        <v>-0.98899999999999999</v>
      </c>
      <c r="J46" s="79">
        <f>SUMIFS(tblData[Returns],tblData[Scenario],"Budget",tblData[Year],selFY,tblData[Month],J$5)/Unit</f>
        <v>-0.96599999999999997</v>
      </c>
      <c r="K46" s="79">
        <f>SUMIFS(tblData[Returns],tblData[Scenario],"Budget",tblData[Year],selFY,tblData[Month],K$5)/Unit</f>
        <v>-0.98899999999999999</v>
      </c>
      <c r="L46" s="79">
        <f>SUMIFS(tblData[Returns],tblData[Scenario],"Budget",tblData[Year],selFY,tblData[Month],L$5)/Unit</f>
        <v>-1.0880000000000001</v>
      </c>
      <c r="M46" s="79">
        <f>SUMIFS(tblData[Returns],tblData[Scenario],"Budget",tblData[Year],selFY,tblData[Month],M$5)/Unit</f>
        <v>-1.1879999999999999</v>
      </c>
      <c r="N46" s="79">
        <f>SUMIFS(tblData[Returns],tblData[Scenario],"Budget",tblData[Year],selFY,tblData[Month],N$5)/Unit</f>
        <v>-1.258</v>
      </c>
      <c r="O46" s="79">
        <f>SUMIFS(tblData[Returns],tblData[Scenario],"Budget",tblData[Year],selFY,tblData[Month],O$5)/Unit</f>
        <v>-1.1579999999999999</v>
      </c>
      <c r="P46" s="79">
        <f t="shared" si="1"/>
        <v>-12.081000000000001</v>
      </c>
    </row>
    <row r="47" spans="1:16" x14ac:dyDescent="0.25">
      <c r="A47" s="77" t="s">
        <v>91</v>
      </c>
      <c r="B47" s="77" t="s">
        <v>9</v>
      </c>
      <c r="D47" s="79">
        <f>SUMIFS(tblData[Material Cost],tblData[Scenario],"Budget",tblData[Year],selFY,tblData[Month],D$5)/Unit</f>
        <v>-10.64</v>
      </c>
      <c r="E47" s="79">
        <f>SUMIFS(tblData[Material Cost],tblData[Scenario],"Budget",tblData[Year],selFY,tblData[Month],E$5)/Unit</f>
        <v>-10.962</v>
      </c>
      <c r="F47" s="79">
        <f>SUMIFS(tblData[Material Cost],tblData[Scenario],"Budget",tblData[Year],selFY,tblData[Month],F$5)/Unit</f>
        <v>-12.255000000000001</v>
      </c>
      <c r="G47" s="79">
        <f>SUMIFS(tblData[Material Cost],tblData[Scenario],"Budget",tblData[Year],selFY,tblData[Month],G$5)/Unit</f>
        <v>-12.574999999999999</v>
      </c>
      <c r="H47" s="79">
        <f>SUMIFS(tblData[Material Cost],tblData[Scenario],"Budget",tblData[Year],selFY,tblData[Month],H$5)/Unit</f>
        <v>-12.9</v>
      </c>
      <c r="I47" s="79">
        <f>SUMIFS(tblData[Material Cost],tblData[Scenario],"Budget",tblData[Year],selFY,tblData[Month],I$5)/Unit</f>
        <v>-13.218999999999999</v>
      </c>
      <c r="J47" s="79">
        <f>SUMIFS(tblData[Material Cost],tblData[Scenario],"Budget",tblData[Year],selFY,tblData[Month],J$5)/Unit</f>
        <v>-12.9</v>
      </c>
      <c r="K47" s="79">
        <f>SUMIFS(tblData[Material Cost],tblData[Scenario],"Budget",tblData[Year],selFY,tblData[Month],K$5)/Unit</f>
        <v>-13.218999999999999</v>
      </c>
      <c r="L47" s="79">
        <f>SUMIFS(tblData[Material Cost],tblData[Scenario],"Budget",tblData[Year],selFY,tblData[Month],L$5)/Unit</f>
        <v>-14.51</v>
      </c>
      <c r="M47" s="79">
        <f>SUMIFS(tblData[Material Cost],tblData[Scenario],"Budget",tblData[Year],selFY,tblData[Month],M$5)/Unit</f>
        <v>-15.797000000000001</v>
      </c>
      <c r="N47" s="79">
        <f>SUMIFS(tblData[Material Cost],tblData[Scenario],"Budget",tblData[Year],selFY,tblData[Month],N$5)/Unit</f>
        <v>-16.771000000000001</v>
      </c>
      <c r="O47" s="79">
        <f>SUMIFS(tblData[Material Cost],tblData[Scenario],"Budget",tblData[Year],selFY,tblData[Month],O$5)/Unit</f>
        <v>-15.478999999999999</v>
      </c>
      <c r="P47" s="79">
        <f t="shared" si="1"/>
        <v>-161.22699999999998</v>
      </c>
    </row>
    <row r="48" spans="1:16" x14ac:dyDescent="0.25">
      <c r="A48" s="77" t="s">
        <v>91</v>
      </c>
      <c r="B48" s="77" t="s">
        <v>10</v>
      </c>
      <c r="D48" s="79">
        <f>SUMIFS(tblData[Conversion Cost],tblData[Scenario],"Budget",tblData[Year],selFY,tblData[Month],D$5)/Unit</f>
        <v>-2.661</v>
      </c>
      <c r="E48" s="79">
        <f>SUMIFS(tblData[Conversion Cost],tblData[Scenario],"Budget",tblData[Year],selFY,tblData[Month],E$5)/Unit</f>
        <v>-2.7440000000000002</v>
      </c>
      <c r="F48" s="79">
        <f>SUMIFS(tblData[Conversion Cost],tblData[Scenario],"Budget",tblData[Year],selFY,tblData[Month],F$5)/Unit</f>
        <v>-3.0630000000000002</v>
      </c>
      <c r="G48" s="79">
        <f>SUMIFS(tblData[Conversion Cost],tblData[Scenario],"Budget",tblData[Year],selFY,tblData[Month],G$5)/Unit</f>
        <v>-3.141</v>
      </c>
      <c r="H48" s="79">
        <f>SUMIFS(tblData[Conversion Cost],tblData[Scenario],"Budget",tblData[Year],selFY,tblData[Month],H$5)/Unit</f>
        <v>-3.226</v>
      </c>
      <c r="I48" s="79">
        <f>SUMIFS(tblData[Conversion Cost],tblData[Scenario],"Budget",tblData[Year],selFY,tblData[Month],I$5)/Unit</f>
        <v>-3.3050000000000002</v>
      </c>
      <c r="J48" s="79">
        <f>SUMIFS(tblData[Conversion Cost],tblData[Scenario],"Budget",tblData[Year],selFY,tblData[Month],J$5)/Unit</f>
        <v>-3.226</v>
      </c>
      <c r="K48" s="79">
        <f>SUMIFS(tblData[Conversion Cost],tblData[Scenario],"Budget",tblData[Year],selFY,tblData[Month],K$5)/Unit</f>
        <v>-3.3050000000000002</v>
      </c>
      <c r="L48" s="79">
        <f>SUMIFS(tblData[Conversion Cost],tblData[Scenario],"Budget",tblData[Year],selFY,tblData[Month],L$5)/Unit</f>
        <v>-3.6259999999999999</v>
      </c>
      <c r="M48" s="79">
        <f>SUMIFS(tblData[Conversion Cost],tblData[Scenario],"Budget",tblData[Year],selFY,tblData[Month],M$5)/Unit</f>
        <v>-3.9470000000000001</v>
      </c>
      <c r="N48" s="79">
        <f>SUMIFS(tblData[Conversion Cost],tblData[Scenario],"Budget",tblData[Year],selFY,tblData[Month],N$5)/Unit</f>
        <v>-4.1950000000000003</v>
      </c>
      <c r="O48" s="79">
        <f>SUMIFS(tblData[Conversion Cost],tblData[Scenario],"Budget",tblData[Year],selFY,tblData[Month],O$5)/Unit</f>
        <v>-3.867</v>
      </c>
      <c r="P48" s="79">
        <f t="shared" si="1"/>
        <v>-40.305999999999997</v>
      </c>
    </row>
    <row r="49" spans="1:16" x14ac:dyDescent="0.25">
      <c r="A49" s="77" t="s">
        <v>91</v>
      </c>
      <c r="B49" s="77" t="s">
        <v>11</v>
      </c>
      <c r="D49" s="79">
        <f>SUMIFS(tblData[Inbound Freight],tblData[Scenario],"Budget",tblData[Year],selFY,tblData[Month],D$5)/Unit</f>
        <v>-1.4790000000000001</v>
      </c>
      <c r="E49" s="79">
        <f>SUMIFS(tblData[Inbound Freight],tblData[Scenario],"Budget",tblData[Year],selFY,tblData[Month],E$5)/Unit</f>
        <v>-1.524</v>
      </c>
      <c r="F49" s="79">
        <f>SUMIFS(tblData[Inbound Freight],tblData[Scenario],"Budget",tblData[Year],selFY,tblData[Month],F$5)/Unit</f>
        <v>-1.6990000000000001</v>
      </c>
      <c r="G49" s="79">
        <f>SUMIFS(tblData[Inbound Freight],tblData[Scenario],"Budget",tblData[Year],selFY,tblData[Month],G$5)/Unit</f>
        <v>-1.7470000000000001</v>
      </c>
      <c r="H49" s="79">
        <f>SUMIFS(tblData[Inbound Freight],tblData[Scenario],"Budget",tblData[Year],selFY,tblData[Month],H$5)/Unit</f>
        <v>-1.7909999999999999</v>
      </c>
      <c r="I49" s="79">
        <f>SUMIFS(tblData[Inbound Freight],tblData[Scenario],"Budget",tblData[Year],selFY,tblData[Month],I$5)/Unit</f>
        <v>-1.8340000000000001</v>
      </c>
      <c r="J49" s="79">
        <f>SUMIFS(tblData[Inbound Freight],tblData[Scenario],"Budget",tblData[Year],selFY,tblData[Month],J$5)/Unit</f>
        <v>-1.7909999999999999</v>
      </c>
      <c r="K49" s="79">
        <f>SUMIFS(tblData[Inbound Freight],tblData[Scenario],"Budget",tblData[Year],selFY,tblData[Month],K$5)/Unit</f>
        <v>-1.8340000000000001</v>
      </c>
      <c r="L49" s="79">
        <f>SUMIFS(tblData[Inbound Freight],tblData[Scenario],"Budget",tblData[Year],selFY,tblData[Month],L$5)/Unit</f>
        <v>-2.0169999999999999</v>
      </c>
      <c r="M49" s="79">
        <f>SUMIFS(tblData[Inbound Freight],tblData[Scenario],"Budget",tblData[Year],selFY,tblData[Month],M$5)/Unit</f>
        <v>-2.1930000000000001</v>
      </c>
      <c r="N49" s="79">
        <f>SUMIFS(tblData[Inbound Freight],tblData[Scenario],"Budget",tblData[Year],selFY,tblData[Month],N$5)/Unit</f>
        <v>-2.327</v>
      </c>
      <c r="O49" s="79">
        <f>SUMIFS(tblData[Inbound Freight],tblData[Scenario],"Budget",tblData[Year],selFY,tblData[Month],O$5)/Unit</f>
        <v>-2.15</v>
      </c>
      <c r="P49" s="79">
        <f t="shared" si="1"/>
        <v>-22.385999999999996</v>
      </c>
    </row>
    <row r="50" spans="1:16" x14ac:dyDescent="0.25">
      <c r="A50" s="77" t="s">
        <v>91</v>
      </c>
      <c r="B50" s="77" t="s">
        <v>12</v>
      </c>
      <c r="D50" s="79">
        <f>SUMIFS(tblData[Advertising],tblData[Scenario],"Budget",tblData[Year],selFY,tblData[Month],D$5)/Unit</f>
        <v>-1.986</v>
      </c>
      <c r="E50" s="79">
        <f>SUMIFS(tblData[Advertising],tblData[Scenario],"Budget",tblData[Year],selFY,tblData[Month],E$5)/Unit</f>
        <v>-2.0470000000000002</v>
      </c>
      <c r="F50" s="79">
        <f>SUMIFS(tblData[Advertising],tblData[Scenario],"Budget",tblData[Year],selFY,tblData[Month],F$5)/Unit</f>
        <v>-2.29</v>
      </c>
      <c r="G50" s="79">
        <f>SUMIFS(tblData[Advertising],tblData[Scenario],"Budget",tblData[Year],selFY,tblData[Month],G$5)/Unit</f>
        <v>-2.351</v>
      </c>
      <c r="H50" s="79">
        <f>SUMIFS(tblData[Advertising],tblData[Scenario],"Budget",tblData[Year],selFY,tblData[Month],H$5)/Unit</f>
        <v>-2.415</v>
      </c>
      <c r="I50" s="79">
        <f>SUMIFS(tblData[Advertising],tblData[Scenario],"Budget",tblData[Year],selFY,tblData[Month],I$5)/Unit</f>
        <v>-2.4710000000000001</v>
      </c>
      <c r="J50" s="79">
        <f>SUMIFS(tblData[Advertising],tblData[Scenario],"Budget",tblData[Year],selFY,tblData[Month],J$5)/Unit</f>
        <v>-2.415</v>
      </c>
      <c r="K50" s="79">
        <f>SUMIFS(tblData[Advertising],tblData[Scenario],"Budget",tblData[Year],selFY,tblData[Month],K$5)/Unit</f>
        <v>-2.4710000000000001</v>
      </c>
      <c r="L50" s="79">
        <f>SUMIFS(tblData[Advertising],tblData[Scenario],"Budget",tblData[Year],selFY,tblData[Month],L$5)/Unit</f>
        <v>-2.714</v>
      </c>
      <c r="M50" s="79">
        <f>SUMIFS(tblData[Advertising],tblData[Scenario],"Budget",tblData[Year],selFY,tblData[Month],M$5)/Unit</f>
        <v>-2.9529999999999998</v>
      </c>
      <c r="N50" s="79">
        <f>SUMIFS(tblData[Advertising],tblData[Scenario],"Budget",tblData[Year],selFY,tblData[Month],N$5)/Unit</f>
        <v>-3.1339999999999999</v>
      </c>
      <c r="O50" s="79">
        <f>SUMIFS(tblData[Advertising],tblData[Scenario],"Budget",tblData[Year],selFY,tblData[Month],O$5)/Unit</f>
        <v>-2.895</v>
      </c>
      <c r="P50" s="79">
        <f t="shared" si="1"/>
        <v>-30.141999999999996</v>
      </c>
    </row>
    <row r="51" spans="1:16" x14ac:dyDescent="0.25">
      <c r="A51" s="77" t="s">
        <v>91</v>
      </c>
      <c r="B51" s="77" t="s">
        <v>13</v>
      </c>
      <c r="D51" s="79">
        <f>SUMIFS(tblData[Promotions],tblData[Scenario],"Budget",tblData[Year],selFY,tblData[Month],D$5)/Unit</f>
        <v>-1.069</v>
      </c>
      <c r="E51" s="79">
        <f>SUMIFS(tblData[Promotions],tblData[Scenario],"Budget",tblData[Year],selFY,tblData[Month],E$5)/Unit</f>
        <v>-1.103</v>
      </c>
      <c r="F51" s="79">
        <f>SUMIFS(tblData[Promotions],tblData[Scenario],"Budget",tblData[Year],selFY,tblData[Month],F$5)/Unit</f>
        <v>-1.2310000000000001</v>
      </c>
      <c r="G51" s="79">
        <f>SUMIFS(tblData[Promotions],tblData[Scenario],"Budget",tblData[Year],selFY,tblData[Month],G$5)/Unit</f>
        <v>-1.262</v>
      </c>
      <c r="H51" s="79">
        <f>SUMIFS(tblData[Promotions],tblData[Scenario],"Budget",tblData[Year],selFY,tblData[Month],H$5)/Unit</f>
        <v>-1.296</v>
      </c>
      <c r="I51" s="79">
        <f>SUMIFS(tblData[Promotions],tblData[Scenario],"Budget",tblData[Year],selFY,tblData[Month],I$5)/Unit</f>
        <v>-1.331</v>
      </c>
      <c r="J51" s="79">
        <f>SUMIFS(tblData[Promotions],tblData[Scenario],"Budget",tblData[Year],selFY,tblData[Month],J$5)/Unit</f>
        <v>-1.296</v>
      </c>
      <c r="K51" s="79">
        <f>SUMIFS(tblData[Promotions],tblData[Scenario],"Budget",tblData[Year],selFY,tblData[Month],K$5)/Unit</f>
        <v>-1.331</v>
      </c>
      <c r="L51" s="79">
        <f>SUMIFS(tblData[Promotions],tblData[Scenario],"Budget",tblData[Year],selFY,tblData[Month],L$5)/Unit</f>
        <v>-1.4630000000000001</v>
      </c>
      <c r="M51" s="79">
        <f>SUMIFS(tblData[Promotions],tblData[Scenario],"Budget",tblData[Year],selFY,tblData[Month],M$5)/Unit</f>
        <v>-1.59</v>
      </c>
      <c r="N51" s="79">
        <f>SUMIFS(tblData[Promotions],tblData[Scenario],"Budget",tblData[Year],selFY,tblData[Month],N$5)/Unit</f>
        <v>-1.69</v>
      </c>
      <c r="O51" s="79">
        <f>SUMIFS(tblData[Promotions],tblData[Scenario],"Budget",tblData[Year],selFY,tblData[Month],O$5)/Unit</f>
        <v>-1.5569999999999999</v>
      </c>
      <c r="P51" s="79">
        <f t="shared" si="1"/>
        <v>-16.218999999999998</v>
      </c>
    </row>
    <row r="52" spans="1:16" x14ac:dyDescent="0.25">
      <c r="A52" s="77" t="s">
        <v>91</v>
      </c>
      <c r="B52" s="77" t="s">
        <v>14</v>
      </c>
      <c r="D52" s="79">
        <f>SUMIFS(tblData[Outbound Logistics],tblData[Scenario],"Budget",tblData[Year],selFY,tblData[Month],D$5)/Unit</f>
        <v>-2.0270000000000001</v>
      </c>
      <c r="E52" s="79">
        <f>SUMIFS(tblData[Outbound Logistics],tblData[Scenario],"Budget",tblData[Year],selFY,tblData[Month],E$5)/Unit</f>
        <v>-2.0880000000000001</v>
      </c>
      <c r="F52" s="79">
        <f>SUMIFS(tblData[Outbound Logistics],tblData[Scenario],"Budget",tblData[Year],selFY,tblData[Month],F$5)/Unit</f>
        <v>-2.3279999999999998</v>
      </c>
      <c r="G52" s="79">
        <f>SUMIFS(tblData[Outbound Logistics],tblData[Scenario],"Budget",tblData[Year],selFY,tblData[Month],G$5)/Unit</f>
        <v>-2.3929999999999998</v>
      </c>
      <c r="H52" s="79">
        <f>SUMIFS(tblData[Outbound Logistics],tblData[Scenario],"Budget",tblData[Year],selFY,tblData[Month],H$5)/Unit</f>
        <v>-2.4510000000000001</v>
      </c>
      <c r="I52" s="79">
        <f>SUMIFS(tblData[Outbound Logistics],tblData[Scenario],"Budget",tblData[Year],selFY,tblData[Month],I$5)/Unit</f>
        <v>-2.516</v>
      </c>
      <c r="J52" s="79">
        <f>SUMIFS(tblData[Outbound Logistics],tblData[Scenario],"Budget",tblData[Year],selFY,tblData[Month],J$5)/Unit</f>
        <v>-2.4510000000000001</v>
      </c>
      <c r="K52" s="79">
        <f>SUMIFS(tblData[Outbound Logistics],tblData[Scenario],"Budget",tblData[Year],selFY,tblData[Month],K$5)/Unit</f>
        <v>-2.516</v>
      </c>
      <c r="L52" s="79">
        <f>SUMIFS(tblData[Outbound Logistics],tblData[Scenario],"Budget",tblData[Year],selFY,tblData[Month],L$5)/Unit</f>
        <v>-2.7610000000000001</v>
      </c>
      <c r="M52" s="79">
        <f>SUMIFS(tblData[Outbound Logistics],tblData[Scenario],"Budget",tblData[Year],selFY,tblData[Month],M$5)/Unit</f>
        <v>-3.004</v>
      </c>
      <c r="N52" s="79">
        <f>SUMIFS(tblData[Outbound Logistics],tblData[Scenario],"Budget",tblData[Year],selFY,tblData[Month],N$5)/Unit</f>
        <v>-3.1920000000000002</v>
      </c>
      <c r="O52" s="79">
        <f>SUMIFS(tblData[Outbound Logistics],tblData[Scenario],"Budget",tblData[Year],selFY,tblData[Month],O$5)/Unit</f>
        <v>-2.9489999999999998</v>
      </c>
      <c r="P52" s="79">
        <f t="shared" si="1"/>
        <v>-30.675999999999995</v>
      </c>
    </row>
    <row r="53" spans="1:16" x14ac:dyDescent="0.25">
      <c r="A53" s="77" t="s">
        <v>91</v>
      </c>
      <c r="B53" s="77" t="s">
        <v>15</v>
      </c>
      <c r="D53" s="79">
        <f>SUMIFS(tblData[Direct Selling],tblData[Scenario],"Budget",tblData[Year],selFY,tblData[Month],D$5)/Unit</f>
        <v>-1.085</v>
      </c>
      <c r="E53" s="79">
        <f>SUMIFS(tblData[Direct Selling],tblData[Scenario],"Budget",tblData[Year],selFY,tblData[Month],E$5)/Unit</f>
        <v>-1.1200000000000001</v>
      </c>
      <c r="F53" s="79">
        <f>SUMIFS(tblData[Direct Selling],tblData[Scenario],"Budget",tblData[Year],selFY,tblData[Month],F$5)/Unit</f>
        <v>-1.2490000000000001</v>
      </c>
      <c r="G53" s="79">
        <f>SUMIFS(tblData[Direct Selling],tblData[Scenario],"Budget",tblData[Year],selFY,tblData[Month],G$5)/Unit</f>
        <v>-1.2829999999999999</v>
      </c>
      <c r="H53" s="79">
        <f>SUMIFS(tblData[Direct Selling],tblData[Scenario],"Budget",tblData[Year],selFY,tblData[Month],H$5)/Unit</f>
        <v>-1.3180000000000001</v>
      </c>
      <c r="I53" s="79">
        <f>SUMIFS(tblData[Direct Selling],tblData[Scenario],"Budget",tblData[Year],selFY,tblData[Month],I$5)/Unit</f>
        <v>-1.349</v>
      </c>
      <c r="J53" s="79">
        <f>SUMIFS(tblData[Direct Selling],tblData[Scenario],"Budget",tblData[Year],selFY,tblData[Month],J$5)/Unit</f>
        <v>-1.3180000000000001</v>
      </c>
      <c r="K53" s="79">
        <f>SUMIFS(tblData[Direct Selling],tblData[Scenario],"Budget",tblData[Year],selFY,tblData[Month],K$5)/Unit</f>
        <v>-1.349</v>
      </c>
      <c r="L53" s="79">
        <f>SUMIFS(tblData[Direct Selling],tblData[Scenario],"Budget",tblData[Year],selFY,tblData[Month],L$5)/Unit</f>
        <v>-1.4790000000000001</v>
      </c>
      <c r="M53" s="79">
        <f>SUMIFS(tblData[Direct Selling],tblData[Scenario],"Budget",tblData[Year],selFY,tblData[Month],M$5)/Unit</f>
        <v>-1.611</v>
      </c>
      <c r="N53" s="79">
        <f>SUMIFS(tblData[Direct Selling],tblData[Scenario],"Budget",tblData[Year],selFY,tblData[Month],N$5)/Unit</f>
        <v>-1.7110000000000001</v>
      </c>
      <c r="O53" s="79">
        <f>SUMIFS(tblData[Direct Selling],tblData[Scenario],"Budget",tblData[Year],selFY,tblData[Month],O$5)/Unit</f>
        <v>-1.5780000000000001</v>
      </c>
      <c r="P53" s="79">
        <f t="shared" si="1"/>
        <v>-16.450000000000003</v>
      </c>
    </row>
    <row r="54" spans="1:16" x14ac:dyDescent="0.25">
      <c r="A54" s="77" t="s">
        <v>91</v>
      </c>
      <c r="B54" s="77" t="s">
        <v>16</v>
      </c>
      <c r="D54" s="79">
        <f>SUMIFS(tblData[Personnel],tblData[Scenario],"Budget",tblData[Year],selFY,tblData[Month],D$5)/Unit</f>
        <v>-4.1500000000000004</v>
      </c>
      <c r="E54" s="79">
        <f>SUMIFS(tblData[Personnel],tblData[Scenario],"Budget",tblData[Year],selFY,tblData[Month],E$5)/Unit</f>
        <v>-4.1669999999999998</v>
      </c>
      <c r="F54" s="79">
        <f>SUMIFS(tblData[Personnel],tblData[Scenario],"Budget",tblData[Year],selFY,tblData[Month],F$5)/Unit</f>
        <v>-4.1829999999999998</v>
      </c>
      <c r="G54" s="79">
        <f>SUMIFS(tblData[Personnel],tblData[Scenario],"Budget",tblData[Year],selFY,tblData[Month],G$5)/Unit</f>
        <v>-4.2</v>
      </c>
      <c r="H54" s="79">
        <f>SUMIFS(tblData[Personnel],tblData[Scenario],"Budget",tblData[Year],selFY,tblData[Month],H$5)/Unit</f>
        <v>-4.2160000000000002</v>
      </c>
      <c r="I54" s="79">
        <f>SUMIFS(tblData[Personnel],tblData[Scenario],"Budget",tblData[Year],selFY,tblData[Month],I$5)/Unit</f>
        <v>-4.2329999999999997</v>
      </c>
      <c r="J54" s="79">
        <f>SUMIFS(tblData[Personnel],tblData[Scenario],"Budget",tblData[Year],selFY,tblData[Month],J$5)/Unit</f>
        <v>-4.25</v>
      </c>
      <c r="K54" s="79">
        <f>SUMIFS(tblData[Personnel],tblData[Scenario],"Budget",tblData[Year],selFY,tblData[Month],K$5)/Unit</f>
        <v>-4.266</v>
      </c>
      <c r="L54" s="79">
        <f>SUMIFS(tblData[Personnel],tblData[Scenario],"Budget",tblData[Year],selFY,tblData[Month],L$5)/Unit</f>
        <v>-4.2830000000000004</v>
      </c>
      <c r="M54" s="79">
        <f>SUMIFS(tblData[Personnel],tblData[Scenario],"Budget",tblData[Year],selFY,tblData[Month],M$5)/Unit</f>
        <v>-4.2990000000000004</v>
      </c>
      <c r="N54" s="79">
        <f>SUMIFS(tblData[Personnel],tblData[Scenario],"Budget",tblData[Year],selFY,tblData[Month],N$5)/Unit</f>
        <v>-4.3159999999999998</v>
      </c>
      <c r="O54" s="79">
        <f>SUMIFS(tblData[Personnel],tblData[Scenario],"Budget",tblData[Year],selFY,tblData[Month],O$5)/Unit</f>
        <v>-4.3330000000000002</v>
      </c>
      <c r="P54" s="79">
        <f t="shared" si="1"/>
        <v>-50.896000000000001</v>
      </c>
    </row>
    <row r="55" spans="1:16" x14ac:dyDescent="0.25">
      <c r="A55" s="77" t="s">
        <v>91</v>
      </c>
      <c r="B55" s="77" t="s">
        <v>17</v>
      </c>
      <c r="D55" s="79">
        <f>SUMIFS(tblData[Research and Development],tblData[Scenario],"Budget",tblData[Year],selFY,tblData[Month],D$5)/Unit</f>
        <v>-1.02</v>
      </c>
      <c r="E55" s="79">
        <f>SUMIFS(tblData[Research and Development],tblData[Scenario],"Budget",tblData[Year],selFY,tblData[Month],E$5)/Unit</f>
        <v>-1.02</v>
      </c>
      <c r="F55" s="79">
        <f>SUMIFS(tblData[Research and Development],tblData[Scenario],"Budget",tblData[Year],selFY,tblData[Month],F$5)/Unit</f>
        <v>-1.02</v>
      </c>
      <c r="G55" s="79">
        <f>SUMIFS(tblData[Research and Development],tblData[Scenario],"Budget",tblData[Year],selFY,tblData[Month],G$5)/Unit</f>
        <v>-1.02</v>
      </c>
      <c r="H55" s="79">
        <f>SUMIFS(tblData[Research and Development],tblData[Scenario],"Budget",tblData[Year],selFY,tblData[Month],H$5)/Unit</f>
        <v>-1.02</v>
      </c>
      <c r="I55" s="79">
        <f>SUMIFS(tblData[Research and Development],tblData[Scenario],"Budget",tblData[Year],selFY,tblData[Month],I$5)/Unit</f>
        <v>-1.02</v>
      </c>
      <c r="J55" s="79">
        <f>SUMIFS(tblData[Research and Development],tblData[Scenario],"Budget",tblData[Year],selFY,tblData[Month],J$5)/Unit</f>
        <v>-1.02</v>
      </c>
      <c r="K55" s="79">
        <f>SUMIFS(tblData[Research and Development],tblData[Scenario],"Budget",tblData[Year],selFY,tblData[Month],K$5)/Unit</f>
        <v>-1.02</v>
      </c>
      <c r="L55" s="79">
        <f>SUMIFS(tblData[Research and Development],tblData[Scenario],"Budget",tblData[Year],selFY,tblData[Month],L$5)/Unit</f>
        <v>-1.02</v>
      </c>
      <c r="M55" s="79">
        <f>SUMIFS(tblData[Research and Development],tblData[Scenario],"Budget",tblData[Year],selFY,tblData[Month],M$5)/Unit</f>
        <v>-1.02</v>
      </c>
      <c r="N55" s="79">
        <f>SUMIFS(tblData[Research and Development],tblData[Scenario],"Budget",tblData[Year],selFY,tblData[Month],N$5)/Unit</f>
        <v>-1.02</v>
      </c>
      <c r="O55" s="79">
        <f>SUMIFS(tblData[Research and Development],tblData[Scenario],"Budget",tblData[Year],selFY,tblData[Month],O$5)/Unit</f>
        <v>-1.02</v>
      </c>
      <c r="P55" s="79">
        <f t="shared" si="1"/>
        <v>-12.239999999999997</v>
      </c>
    </row>
    <row r="56" spans="1:16" x14ac:dyDescent="0.25">
      <c r="A56" s="77" t="s">
        <v>91</v>
      </c>
      <c r="B56" s="77" t="s">
        <v>18</v>
      </c>
      <c r="D56" s="79">
        <f>SUMIFS(tblData[IT and Facilities],tblData[Scenario],"Budget",tblData[Year],selFY,tblData[Month],D$5)/Unit</f>
        <v>-1.32</v>
      </c>
      <c r="E56" s="79">
        <f>SUMIFS(tblData[IT and Facilities],tblData[Scenario],"Budget",tblData[Year],selFY,tblData[Month],E$5)/Unit</f>
        <v>-1.32</v>
      </c>
      <c r="F56" s="79">
        <f>SUMIFS(tblData[IT and Facilities],tblData[Scenario],"Budget",tblData[Year],selFY,tblData[Month],F$5)/Unit</f>
        <v>-1.32</v>
      </c>
      <c r="G56" s="79">
        <f>SUMIFS(tblData[IT and Facilities],tblData[Scenario],"Budget",tblData[Year],selFY,tblData[Month],G$5)/Unit</f>
        <v>-1.32</v>
      </c>
      <c r="H56" s="79">
        <f>SUMIFS(tblData[IT and Facilities],tblData[Scenario],"Budget",tblData[Year],selFY,tblData[Month],H$5)/Unit</f>
        <v>-1.32</v>
      </c>
      <c r="I56" s="79">
        <f>SUMIFS(tblData[IT and Facilities],tblData[Scenario],"Budget",tblData[Year],selFY,tblData[Month],I$5)/Unit</f>
        <v>-1.32</v>
      </c>
      <c r="J56" s="79">
        <f>SUMIFS(tblData[IT and Facilities],tblData[Scenario],"Budget",tblData[Year],selFY,tblData[Month],J$5)/Unit</f>
        <v>-1.32</v>
      </c>
      <c r="K56" s="79">
        <f>SUMIFS(tblData[IT and Facilities],tblData[Scenario],"Budget",tblData[Year],selFY,tblData[Month],K$5)/Unit</f>
        <v>-1.32</v>
      </c>
      <c r="L56" s="79">
        <f>SUMIFS(tblData[IT and Facilities],tblData[Scenario],"Budget",tblData[Year],selFY,tblData[Month],L$5)/Unit</f>
        <v>-1.32</v>
      </c>
      <c r="M56" s="79">
        <f>SUMIFS(tblData[IT and Facilities],tblData[Scenario],"Budget",tblData[Year],selFY,tblData[Month],M$5)/Unit</f>
        <v>-1.32</v>
      </c>
      <c r="N56" s="79">
        <f>SUMIFS(tblData[IT and Facilities],tblData[Scenario],"Budget",tblData[Year],selFY,tblData[Month],N$5)/Unit</f>
        <v>-1.32</v>
      </c>
      <c r="O56" s="79">
        <f>SUMIFS(tblData[IT and Facilities],tblData[Scenario],"Budget",tblData[Year],selFY,tblData[Month],O$5)/Unit</f>
        <v>-1.32</v>
      </c>
      <c r="P56" s="79">
        <f t="shared" si="1"/>
        <v>-15.840000000000002</v>
      </c>
    </row>
    <row r="57" spans="1:16" x14ac:dyDescent="0.25">
      <c r="A57" s="77" t="s">
        <v>91</v>
      </c>
      <c r="B57" s="77" t="s">
        <v>19</v>
      </c>
      <c r="D57" s="79">
        <f>SUMIFS(tblData[Other Admin],tblData[Scenario],"Budget",tblData[Year],selFY,tblData[Month],D$5)/Unit</f>
        <v>-1.1299999999999999</v>
      </c>
      <c r="E57" s="79">
        <f>SUMIFS(tblData[Other Admin],tblData[Scenario],"Budget",tblData[Year],selFY,tblData[Month],E$5)/Unit</f>
        <v>-1.1299999999999999</v>
      </c>
      <c r="F57" s="79">
        <f>SUMIFS(tblData[Other Admin],tblData[Scenario],"Budget",tblData[Year],selFY,tblData[Month],F$5)/Unit</f>
        <v>-1.1299999999999999</v>
      </c>
      <c r="G57" s="79">
        <f>SUMIFS(tblData[Other Admin],tblData[Scenario],"Budget",tblData[Year],selFY,tblData[Month],G$5)/Unit</f>
        <v>-1.1299999999999999</v>
      </c>
      <c r="H57" s="79">
        <f>SUMIFS(tblData[Other Admin],tblData[Scenario],"Budget",tblData[Year],selFY,tblData[Month],H$5)/Unit</f>
        <v>-1.1299999999999999</v>
      </c>
      <c r="I57" s="79">
        <f>SUMIFS(tblData[Other Admin],tblData[Scenario],"Budget",tblData[Year],selFY,tblData[Month],I$5)/Unit</f>
        <v>-1.1299999999999999</v>
      </c>
      <c r="J57" s="79">
        <f>SUMIFS(tblData[Other Admin],tblData[Scenario],"Budget",tblData[Year],selFY,tblData[Month],J$5)/Unit</f>
        <v>-1.1299999999999999</v>
      </c>
      <c r="K57" s="79">
        <f>SUMIFS(tblData[Other Admin],tblData[Scenario],"Budget",tblData[Year],selFY,tblData[Month],K$5)/Unit</f>
        <v>-1.1299999999999999</v>
      </c>
      <c r="L57" s="79">
        <f>SUMIFS(tblData[Other Admin],tblData[Scenario],"Budget",tblData[Year],selFY,tblData[Month],L$5)/Unit</f>
        <v>-1.1299999999999999</v>
      </c>
      <c r="M57" s="79">
        <f>SUMIFS(tblData[Other Admin],tblData[Scenario],"Budget",tblData[Year],selFY,tblData[Month],M$5)/Unit</f>
        <v>-1.1299999999999999</v>
      </c>
      <c r="N57" s="79">
        <f>SUMIFS(tblData[Other Admin],tblData[Scenario],"Budget",tblData[Year],selFY,tblData[Month],N$5)/Unit</f>
        <v>-1.1299999999999999</v>
      </c>
      <c r="O57" s="79">
        <f>SUMIFS(tblData[Other Admin],tblData[Scenario],"Budget",tblData[Year],selFY,tblData[Month],O$5)/Unit</f>
        <v>-1.1299999999999999</v>
      </c>
      <c r="P57" s="79">
        <f t="shared" si="1"/>
        <v>-13.559999999999995</v>
      </c>
    </row>
    <row r="58" spans="1:16" x14ac:dyDescent="0.25">
      <c r="A58" s="77" t="s">
        <v>91</v>
      </c>
      <c r="B58" s="77" t="s">
        <v>20</v>
      </c>
      <c r="D58" s="79">
        <f>SUMIFS(tblData[Depreciation],tblData[Scenario],"Budget",tblData[Year],selFY,tblData[Month],D$5)/Unit</f>
        <v>-1.48</v>
      </c>
      <c r="E58" s="79">
        <f>SUMIFS(tblData[Depreciation],tblData[Scenario],"Budget",tblData[Year],selFY,tblData[Month],E$5)/Unit</f>
        <v>-1.48</v>
      </c>
      <c r="F58" s="79">
        <f>SUMIFS(tblData[Depreciation],tblData[Scenario],"Budget",tblData[Year],selFY,tblData[Month],F$5)/Unit</f>
        <v>-1.48</v>
      </c>
      <c r="G58" s="79">
        <f>SUMIFS(tblData[Depreciation],tblData[Scenario],"Budget",tblData[Year],selFY,tblData[Month],G$5)/Unit</f>
        <v>-1.48</v>
      </c>
      <c r="H58" s="79">
        <f>SUMIFS(tblData[Depreciation],tblData[Scenario],"Budget",tblData[Year],selFY,tblData[Month],H$5)/Unit</f>
        <v>-1.48</v>
      </c>
      <c r="I58" s="79">
        <f>SUMIFS(tblData[Depreciation],tblData[Scenario],"Budget",tblData[Year],selFY,tblData[Month],I$5)/Unit</f>
        <v>-1.48</v>
      </c>
      <c r="J58" s="79">
        <f>SUMIFS(tblData[Depreciation],tblData[Scenario],"Budget",tblData[Year],selFY,tblData[Month],J$5)/Unit</f>
        <v>-1.48</v>
      </c>
      <c r="K58" s="79">
        <f>SUMIFS(tblData[Depreciation],tblData[Scenario],"Budget",tblData[Year],selFY,tblData[Month],K$5)/Unit</f>
        <v>-1.48</v>
      </c>
      <c r="L58" s="79">
        <f>SUMIFS(tblData[Depreciation],tblData[Scenario],"Budget",tblData[Year],selFY,tblData[Month],L$5)/Unit</f>
        <v>-1.48</v>
      </c>
      <c r="M58" s="79">
        <f>SUMIFS(tblData[Depreciation],tblData[Scenario],"Budget",tblData[Year],selFY,tblData[Month],M$5)/Unit</f>
        <v>-1.48</v>
      </c>
      <c r="N58" s="79">
        <f>SUMIFS(tblData[Depreciation],tblData[Scenario],"Budget",tblData[Year],selFY,tblData[Month],N$5)/Unit</f>
        <v>-1.48</v>
      </c>
      <c r="O58" s="79">
        <f>SUMIFS(tblData[Depreciation],tblData[Scenario],"Budget",tblData[Year],selFY,tblData[Month],O$5)/Unit</f>
        <v>-1.48</v>
      </c>
      <c r="P58" s="79">
        <f t="shared" si="1"/>
        <v>-17.760000000000002</v>
      </c>
    </row>
    <row r="59" spans="1:16" x14ac:dyDescent="0.25">
      <c r="A59" s="77" t="s">
        <v>91</v>
      </c>
      <c r="B59" s="77" t="s">
        <v>21</v>
      </c>
      <c r="D59" s="79">
        <f>SUMIFS(tblData[Net Interest],tblData[Scenario],"Budget",tblData[Year],selFY,tblData[Month],D$5)/Unit</f>
        <v>-0.71199999999999997</v>
      </c>
      <c r="E59" s="79">
        <f>SUMIFS(tblData[Net Interest],tblData[Scenario],"Budget",tblData[Year],selFY,tblData[Month],E$5)/Unit</f>
        <v>-0.71199999999999997</v>
      </c>
      <c r="F59" s="79">
        <f>SUMIFS(tblData[Net Interest],tblData[Scenario],"Budget",tblData[Year],selFY,tblData[Month],F$5)/Unit</f>
        <v>-0.71199999999999997</v>
      </c>
      <c r="G59" s="79">
        <f>SUMIFS(tblData[Net Interest],tblData[Scenario],"Budget",tblData[Year],selFY,tblData[Month],G$5)/Unit</f>
        <v>-0.70299999999999996</v>
      </c>
      <c r="H59" s="79">
        <f>SUMIFS(tblData[Net Interest],tblData[Scenario],"Budget",tblData[Year],selFY,tblData[Month],H$5)/Unit</f>
        <v>-0.70299999999999996</v>
      </c>
      <c r="I59" s="79">
        <f>SUMIFS(tblData[Net Interest],tblData[Scenario],"Budget",tblData[Year],selFY,tblData[Month],I$5)/Unit</f>
        <v>-0.70299999999999996</v>
      </c>
      <c r="J59" s="79">
        <f>SUMIFS(tblData[Net Interest],tblData[Scenario],"Budget",tblData[Year],selFY,tblData[Month],J$5)/Unit</f>
        <v>-0.69399999999999995</v>
      </c>
      <c r="K59" s="79">
        <f>SUMIFS(tblData[Net Interest],tblData[Scenario],"Budget",tblData[Year],selFY,tblData[Month],K$5)/Unit</f>
        <v>-0.69399999999999995</v>
      </c>
      <c r="L59" s="79">
        <f>SUMIFS(tblData[Net Interest],tblData[Scenario],"Budget",tblData[Year],selFY,tblData[Month],L$5)/Unit</f>
        <v>-0.69399999999999995</v>
      </c>
      <c r="M59" s="79">
        <f>SUMIFS(tblData[Net Interest],tblData[Scenario],"Budget",tblData[Year],selFY,tblData[Month],M$5)/Unit</f>
        <v>-0.68400000000000005</v>
      </c>
      <c r="N59" s="79">
        <f>SUMIFS(tblData[Net Interest],tblData[Scenario],"Budget",tblData[Year],selFY,tblData[Month],N$5)/Unit</f>
        <v>-0.68400000000000005</v>
      </c>
      <c r="O59" s="79">
        <f>SUMIFS(tblData[Net Interest],tblData[Scenario],"Budget",tblData[Year],selFY,tblData[Month],O$5)/Unit</f>
        <v>-0.68400000000000005</v>
      </c>
      <c r="P59" s="79">
        <f t="shared" si="1"/>
        <v>-8.3789999999999996</v>
      </c>
    </row>
    <row r="60" spans="1:16" x14ac:dyDescent="0.25">
      <c r="A60" s="77" t="s">
        <v>91</v>
      </c>
      <c r="B60" s="77" t="s">
        <v>22</v>
      </c>
      <c r="D60" s="79">
        <f>SUMIFS(tblData[Tax],tblData[Scenario],"Budget",tblData[Year],selFY,tblData[Month],D$5)/Unit</f>
        <v>-0.89800000000000002</v>
      </c>
      <c r="E60" s="79">
        <f>SUMIFS(tblData[Tax],tblData[Scenario],"Budget",tblData[Year],selFY,tblData[Month],E$5)/Unit</f>
        <v>-0.996</v>
      </c>
      <c r="F60" s="79">
        <f>SUMIFS(tblData[Tax],tblData[Scenario],"Budget",tblData[Year],selFY,tblData[Month],F$5)/Unit</f>
        <v>-1.3979999999999999</v>
      </c>
      <c r="G60" s="79">
        <f>SUMIFS(tblData[Tax],tblData[Scenario],"Budget",tblData[Year],selFY,tblData[Month],G$5)/Unit</f>
        <v>-1.498</v>
      </c>
      <c r="H60" s="79">
        <f>SUMIFS(tblData[Tax],tblData[Scenario],"Budget",tblData[Year],selFY,tblData[Month],H$5)/Unit</f>
        <v>-1.595</v>
      </c>
      <c r="I60" s="79">
        <f>SUMIFS(tblData[Tax],tblData[Scenario],"Budget",tblData[Year],selFY,tblData[Month],I$5)/Unit</f>
        <v>-1.6930000000000001</v>
      </c>
      <c r="J60" s="79">
        <f>SUMIFS(tblData[Tax],tblData[Scenario],"Budget",tblData[Year],selFY,tblData[Month],J$5)/Unit</f>
        <v>-1.589</v>
      </c>
      <c r="K60" s="79">
        <f>SUMIFS(tblData[Tax],tblData[Scenario],"Budget",tblData[Year],selFY,tblData[Month],K$5)/Unit</f>
        <v>-1.6870000000000001</v>
      </c>
      <c r="L60" s="79">
        <f>SUMIFS(tblData[Tax],tblData[Scenario],"Budget",tblData[Year],selFY,tblData[Month],L$5)/Unit</f>
        <v>-2.089</v>
      </c>
      <c r="M60" s="79">
        <f>SUMIFS(tblData[Tax],tblData[Scenario],"Budget",tblData[Year],selFY,tblData[Month],M$5)/Unit</f>
        <v>-2.4929999999999999</v>
      </c>
      <c r="N60" s="79">
        <f>SUMIFS(tblData[Tax],tblData[Scenario],"Budget",tblData[Year],selFY,tblData[Month],N$5)/Unit</f>
        <v>-2.794</v>
      </c>
      <c r="O60" s="79">
        <f>SUMIFS(tblData[Tax],tblData[Scenario],"Budget",tblData[Year],selFY,tblData[Month],O$5)/Unit</f>
        <v>-2.383</v>
      </c>
      <c r="P60" s="79">
        <f t="shared" si="1"/>
        <v>-21.113</v>
      </c>
    </row>
    <row r="61" spans="1:16" x14ac:dyDescent="0.25">
      <c r="A61" s="77" t="s">
        <v>91</v>
      </c>
      <c r="B61" s="77" t="s">
        <v>23</v>
      </c>
      <c r="D61" s="79">
        <f>SUMIFS(tblData[Capex],tblData[Scenario],"Budget",tblData[Year],selFY,tblData[Month],D$5)/Unit</f>
        <v>-1.0649999999999999</v>
      </c>
      <c r="E61" s="79">
        <f>SUMIFS(tblData[Capex],tblData[Scenario],"Budget",tblData[Year],selFY,tblData[Month],E$5)/Unit</f>
        <v>-1.097</v>
      </c>
      <c r="F61" s="79">
        <f>SUMIFS(tblData[Capex],tblData[Scenario],"Budget",tblData[Year],selFY,tblData[Month],F$5)/Unit</f>
        <v>-1.226</v>
      </c>
      <c r="G61" s="79">
        <f>SUMIFS(tblData[Capex],tblData[Scenario],"Budget",tblData[Year],selFY,tblData[Month],G$5)/Unit</f>
        <v>-1.2589999999999999</v>
      </c>
      <c r="H61" s="79">
        <f>SUMIFS(tblData[Capex],tblData[Scenario],"Budget",tblData[Year],selFY,tblData[Month],H$5)/Unit</f>
        <v>-1.2909999999999999</v>
      </c>
      <c r="I61" s="79">
        <f>SUMIFS(tblData[Capex],tblData[Scenario],"Budget",tblData[Year],selFY,tblData[Month],I$5)/Unit</f>
        <v>-1.323</v>
      </c>
      <c r="J61" s="79">
        <f>SUMIFS(tblData[Capex],tblData[Scenario],"Budget",tblData[Year],selFY,tblData[Month],J$5)/Unit</f>
        <v>-1.2909999999999999</v>
      </c>
      <c r="K61" s="79">
        <f>SUMIFS(tblData[Capex],tblData[Scenario],"Budget",tblData[Year],selFY,tblData[Month],K$5)/Unit</f>
        <v>-1.323</v>
      </c>
      <c r="L61" s="79">
        <f>SUMIFS(tblData[Capex],tblData[Scenario],"Budget",tblData[Year],selFY,tblData[Month],L$5)/Unit</f>
        <v>-1.452</v>
      </c>
      <c r="M61" s="79">
        <f>SUMIFS(tblData[Capex],tblData[Scenario],"Budget",tblData[Year],selFY,tblData[Month],M$5)/Unit</f>
        <v>-1.581</v>
      </c>
      <c r="N61" s="79">
        <f>SUMIFS(tblData[Capex],tblData[Scenario],"Budget",tblData[Year],selFY,tblData[Month],N$5)/Unit</f>
        <v>-1.6779999999999999</v>
      </c>
      <c r="O61" s="79">
        <f>SUMIFS(tblData[Capex],tblData[Scenario],"Budget",tblData[Year],selFY,tblData[Month],O$5)/Unit</f>
        <v>-1.5489999999999999</v>
      </c>
      <c r="P61" s="79">
        <f t="shared" si="1"/>
        <v>-16.135000000000002</v>
      </c>
    </row>
    <row r="62" spans="1:16" x14ac:dyDescent="0.25">
      <c r="A62" s="77" t="s">
        <v>91</v>
      </c>
      <c r="B62" s="77" t="s">
        <v>24</v>
      </c>
      <c r="C62" s="79">
        <f>O112</f>
        <v>72.138999999999996</v>
      </c>
      <c r="D62" s="79">
        <f>SUMIFS(tblData[Receivables],tblData[Scenario],"Budget",tblData[Year],selFY,tblData[Month],D$5)/Unit</f>
        <v>51.66</v>
      </c>
      <c r="E62" s="79">
        <f>SUMIFS(tblData[Receivables],tblData[Scenario],"Budget",tblData[Year],selFY,tblData[Month],E$5)/Unit</f>
        <v>52.442999999999998</v>
      </c>
      <c r="F62" s="79">
        <f>SUMIFS(tblData[Receivables],tblData[Scenario],"Budget",tblData[Year],selFY,tblData[Month],F$5)/Unit</f>
        <v>54.79</v>
      </c>
      <c r="G62" s="79">
        <f>SUMIFS(tblData[Receivables],tblData[Scenario],"Budget",tblData[Year],selFY,tblData[Month],G$5)/Unit</f>
        <v>57.921999999999997</v>
      </c>
      <c r="H62" s="79">
        <f>SUMIFS(tblData[Receivables],tblData[Scenario],"Budget",tblData[Year],selFY,tblData[Month],H$5)/Unit</f>
        <v>61.052999999999997</v>
      </c>
      <c r="I62" s="79">
        <f>SUMIFS(tblData[Receivables],tblData[Scenario],"Budget",tblData[Year],selFY,tblData[Month],I$5)/Unit</f>
        <v>62.616999999999997</v>
      </c>
      <c r="J62" s="79">
        <f>SUMIFS(tblData[Receivables],tblData[Scenario],"Budget",tblData[Year],selFY,tblData[Month],J$5)/Unit</f>
        <v>63.142000000000003</v>
      </c>
      <c r="K62" s="79">
        <f>SUMIFS(tblData[Receivables],tblData[Scenario],"Budget",tblData[Year],selFY,tblData[Month],K$5)/Unit</f>
        <v>63.664000000000001</v>
      </c>
      <c r="L62" s="79">
        <f>SUMIFS(tblData[Receivables],tblData[Scenario],"Budget",tblData[Year],selFY,tblData[Month],L$5)/Unit</f>
        <v>65.748000000000005</v>
      </c>
      <c r="M62" s="79">
        <f>SUMIFS(tblData[Receivables],tblData[Scenario],"Budget",tblData[Year],selFY,tblData[Month],M$5)/Unit</f>
        <v>70.445999999999998</v>
      </c>
      <c r="N62" s="79">
        <f>SUMIFS(tblData[Receivables],tblData[Scenario],"Budget",tblData[Year],selFY,tblData[Month],N$5)/Unit</f>
        <v>76.185000000000002</v>
      </c>
      <c r="O62" s="79">
        <f>SUMIFS(tblData[Receivables],tblData[Scenario],"Budget",tblData[Year],selFY,tblData[Month],O$5)/Unit</f>
        <v>77.751999999999995</v>
      </c>
    </row>
    <row r="63" spans="1:16" x14ac:dyDescent="0.25">
      <c r="A63" s="77" t="s">
        <v>91</v>
      </c>
      <c r="B63" s="77" t="s">
        <v>25</v>
      </c>
      <c r="C63" s="79">
        <f>O113</f>
        <v>59.533000000000001</v>
      </c>
      <c r="D63" s="79">
        <f>SUMIFS(tblData[Inventory],tblData[Scenario],"Budget",tblData[Year],selFY,tblData[Month],D$5)/Unit</f>
        <v>43.805</v>
      </c>
      <c r="E63" s="79">
        <f>SUMIFS(tblData[Inventory],tblData[Scenario],"Budget",tblData[Year],selFY,tblData[Month],E$5)/Unit</f>
        <v>44.469000000000001</v>
      </c>
      <c r="F63" s="79">
        <f>SUMIFS(tblData[Inventory],tblData[Scenario],"Budget",tblData[Year],selFY,tblData[Month],F$5)/Unit</f>
        <v>46.459000000000003</v>
      </c>
      <c r="G63" s="79">
        <f>SUMIFS(tblData[Inventory],tblData[Scenario],"Budget",tblData[Year],selFY,tblData[Month],G$5)/Unit</f>
        <v>49.112000000000002</v>
      </c>
      <c r="H63" s="79">
        <f>SUMIFS(tblData[Inventory],tblData[Scenario],"Budget",tblData[Year],selFY,tblData[Month],H$5)/Unit</f>
        <v>51.767000000000003</v>
      </c>
      <c r="I63" s="79">
        <f>SUMIFS(tblData[Inventory],tblData[Scenario],"Budget",tblData[Year],selFY,tblData[Month],I$5)/Unit</f>
        <v>53.094000000000001</v>
      </c>
      <c r="J63" s="79">
        <f>SUMIFS(tblData[Inventory],tblData[Scenario],"Budget",tblData[Year],selFY,tblData[Month],J$5)/Unit</f>
        <v>53.536000000000001</v>
      </c>
      <c r="K63" s="79">
        <f>SUMIFS(tblData[Inventory],tblData[Scenario],"Budget",tblData[Year],selFY,tblData[Month],K$5)/Unit</f>
        <v>53.978999999999999</v>
      </c>
      <c r="L63" s="79">
        <f>SUMIFS(tblData[Inventory],tblData[Scenario],"Budget",tblData[Year],selFY,tblData[Month],L$5)/Unit</f>
        <v>55.750999999999998</v>
      </c>
      <c r="M63" s="79">
        <f>SUMIFS(tblData[Inventory],tblData[Scenario],"Budget",tblData[Year],selFY,tblData[Month],M$5)/Unit</f>
        <v>59.732999999999997</v>
      </c>
      <c r="N63" s="79">
        <f>SUMIFS(tblData[Inventory],tblData[Scenario],"Budget",tblData[Year],selFY,tblData[Month],N$5)/Unit</f>
        <v>64.602999999999994</v>
      </c>
      <c r="O63" s="79">
        <f>SUMIFS(tblData[Inventory],tblData[Scenario],"Budget",tblData[Year],selFY,tblData[Month],O$5)/Unit</f>
        <v>65.930999999999997</v>
      </c>
    </row>
    <row r="64" spans="1:16" x14ac:dyDescent="0.25">
      <c r="A64" s="77" t="s">
        <v>91</v>
      </c>
      <c r="B64" s="77" t="s">
        <v>26</v>
      </c>
      <c r="C64" s="79">
        <f>O114</f>
        <v>36.884</v>
      </c>
      <c r="D64" s="79">
        <f>SUMIFS(tblData[Payables],tblData[Scenario],"Budget",tblData[Year],selFY,tblData[Month],D$5)/Unit</f>
        <v>28.193999999999999</v>
      </c>
      <c r="E64" s="79">
        <f>SUMIFS(tblData[Payables],tblData[Scenario],"Budget",tblData[Year],selFY,tblData[Month],E$5)/Unit</f>
        <v>29.047999999999998</v>
      </c>
      <c r="F64" s="79">
        <f>SUMIFS(tblData[Payables],tblData[Scenario],"Budget",tblData[Year],selFY,tblData[Month],F$5)/Unit</f>
        <v>32.466000000000001</v>
      </c>
      <c r="G64" s="79">
        <f>SUMIFS(tblData[Payables],tblData[Scenario],"Budget",tblData[Year],selFY,tblData[Month],G$5)/Unit</f>
        <v>33.32</v>
      </c>
      <c r="H64" s="79">
        <f>SUMIFS(tblData[Payables],tblData[Scenario],"Budget",tblData[Year],selFY,tblData[Month],H$5)/Unit</f>
        <v>34.174999999999997</v>
      </c>
      <c r="I64" s="79">
        <f>SUMIFS(tblData[Payables],tblData[Scenario],"Budget",tblData[Year],selFY,tblData[Month],I$5)/Unit</f>
        <v>35.029000000000003</v>
      </c>
      <c r="J64" s="79">
        <f>SUMIFS(tblData[Payables],tblData[Scenario],"Budget",tblData[Year],selFY,tblData[Month],J$5)/Unit</f>
        <v>34.174999999999997</v>
      </c>
      <c r="K64" s="79">
        <f>SUMIFS(tblData[Payables],tblData[Scenario],"Budget",tblData[Year],selFY,tblData[Month],K$5)/Unit</f>
        <v>35.029000000000003</v>
      </c>
      <c r="L64" s="79">
        <f>SUMIFS(tblData[Payables],tblData[Scenario],"Budget",tblData[Year],selFY,tblData[Month],L$5)/Unit</f>
        <v>38.445999999999998</v>
      </c>
      <c r="M64" s="79">
        <f>SUMIFS(tblData[Payables],tblData[Scenario],"Budget",tblData[Year],selFY,tblData[Month],M$5)/Unit</f>
        <v>41.863999999999997</v>
      </c>
      <c r="N64" s="79">
        <f>SUMIFS(tblData[Payables],tblData[Scenario],"Budget",tblData[Year],selFY,tblData[Month],N$5)/Unit</f>
        <v>44.427</v>
      </c>
      <c r="O64" s="79">
        <f>SUMIFS(tblData[Payables],tblData[Scenario],"Budget",tblData[Year],selFY,tblData[Month],O$5)/Unit</f>
        <v>41.009</v>
      </c>
    </row>
    <row r="65" spans="1:16" x14ac:dyDescent="0.25">
      <c r="A65" s="77" t="s">
        <v>91</v>
      </c>
      <c r="B65" s="77" t="s">
        <v>27</v>
      </c>
      <c r="D65" s="79">
        <f>SUMIFS(tblData[Cash],tblData[Scenario],"Budget",tblData[Year],selFY,tblData[Month],D$5)/Unit</f>
        <v>69.774000000000001</v>
      </c>
      <c r="E65" s="79">
        <f>SUMIFS(tblData[Cash],tblData[Scenario],"Budget",tblData[Year],selFY,tblData[Month],E$5)/Unit</f>
        <v>72.552000000000007</v>
      </c>
      <c r="F65" s="79">
        <f>SUMIFS(tblData[Cash],tblData[Scenario],"Budget",tblData[Year],selFY,tblData[Month],F$5)/Unit</f>
        <v>73.576999999999998</v>
      </c>
      <c r="G65" s="79">
        <f>SUMIFS(tblData[Cash],tblData[Scenario],"Budget",tblData[Year],selFY,tblData[Month],G$5)/Unit</f>
        <v>73.361000000000004</v>
      </c>
      <c r="H65" s="79">
        <f>SUMIFS(tblData[Cash],tblData[Scenario],"Budget",tblData[Year],selFY,tblData[Month],H$5)/Unit</f>
        <v>55.404000000000003</v>
      </c>
      <c r="I65" s="79">
        <f>SUMIFS(tblData[Cash],tblData[Scenario],"Budget",tblData[Year],selFY,tblData[Month],I$5)/Unit</f>
        <v>56.1</v>
      </c>
      <c r="J65" s="79">
        <f>SUMIFS(tblData[Cash],tblData[Scenario],"Budget",tblData[Year],selFY,tblData[Month],J$5)/Unit</f>
        <v>59.237000000000002</v>
      </c>
      <c r="K65" s="79">
        <f>SUMIFS(tblData[Cash],tblData[Scenario],"Budget",tblData[Year],selFY,tblData[Month],K$5)/Unit</f>
        <v>64.343999999999994</v>
      </c>
      <c r="L65" s="79">
        <f>SUMIFS(tblData[Cash],tblData[Scenario],"Budget",tblData[Year],selFY,tblData[Month],L$5)/Unit</f>
        <v>67.697999999999993</v>
      </c>
      <c r="M65" s="79">
        <f>SUMIFS(tblData[Cash],tblData[Scenario],"Budget",tblData[Year],selFY,tblData[Month],M$5)/Unit</f>
        <v>69.814999999999998</v>
      </c>
      <c r="N65" s="79">
        <f>SUMIFS(tblData[Cash],tblData[Scenario],"Budget",tblData[Year],selFY,tblData[Month],N$5)/Unit</f>
        <v>69.953999999999994</v>
      </c>
      <c r="O65" s="79">
        <f>SUMIFS(tblData[Cash],tblData[Scenario],"Budget",tblData[Year],selFY,tblData[Month],O$5)/Unit</f>
        <v>68.224000000000004</v>
      </c>
    </row>
    <row r="66" spans="1:16" x14ac:dyDescent="0.25">
      <c r="A66" s="77" t="s">
        <v>91</v>
      </c>
      <c r="B66" s="77" t="s">
        <v>28</v>
      </c>
      <c r="D66" s="79">
        <f>SUMIFS(tblData[Gross Debt],tblData[Scenario],"Budget",tblData[Year],selFY,tblData[Month],D$5)/Unit</f>
        <v>190</v>
      </c>
      <c r="E66" s="79">
        <f>SUMIFS(tblData[Gross Debt],tblData[Scenario],"Budget",tblData[Year],selFY,tblData[Month],E$5)/Unit</f>
        <v>190</v>
      </c>
      <c r="F66" s="79">
        <f>SUMIFS(tblData[Gross Debt],tblData[Scenario],"Budget",tblData[Year],selFY,tblData[Month],F$5)/Unit</f>
        <v>187.5</v>
      </c>
      <c r="G66" s="79">
        <f>SUMIFS(tblData[Gross Debt],tblData[Scenario],"Budget",tblData[Year],selFY,tblData[Month],G$5)/Unit</f>
        <v>187.5</v>
      </c>
      <c r="H66" s="79">
        <f>SUMIFS(tblData[Gross Debt],tblData[Scenario],"Budget",tblData[Year],selFY,tblData[Month],H$5)/Unit</f>
        <v>187.5</v>
      </c>
      <c r="I66" s="79">
        <f>SUMIFS(tblData[Gross Debt],tblData[Scenario],"Budget",tblData[Year],selFY,tblData[Month],I$5)/Unit</f>
        <v>185</v>
      </c>
      <c r="J66" s="79">
        <f>SUMIFS(tblData[Gross Debt],tblData[Scenario],"Budget",tblData[Year],selFY,tblData[Month],J$5)/Unit</f>
        <v>185</v>
      </c>
      <c r="K66" s="79">
        <f>SUMIFS(tblData[Gross Debt],tblData[Scenario],"Budget",tblData[Year],selFY,tblData[Month],K$5)/Unit</f>
        <v>185</v>
      </c>
      <c r="L66" s="79">
        <f>SUMIFS(tblData[Gross Debt],tblData[Scenario],"Budget",tblData[Year],selFY,tblData[Month],L$5)/Unit</f>
        <v>182.5</v>
      </c>
      <c r="M66" s="79">
        <f>SUMIFS(tblData[Gross Debt],tblData[Scenario],"Budget",tblData[Year],selFY,tblData[Month],M$5)/Unit</f>
        <v>182.5</v>
      </c>
      <c r="N66" s="79">
        <f>SUMIFS(tblData[Gross Debt],tblData[Scenario],"Budget",tblData[Year],selFY,tblData[Month],N$5)/Unit</f>
        <v>182.5</v>
      </c>
      <c r="O66" s="79">
        <f>SUMIFS(tblData[Gross Debt],tblData[Scenario],"Budget",tblData[Year],selFY,tblData[Month],O$5)/Unit</f>
        <v>180</v>
      </c>
    </row>
    <row r="67" spans="1:16" x14ac:dyDescent="0.25">
      <c r="A67" s="77" t="s">
        <v>91</v>
      </c>
      <c r="B67" s="77" t="s">
        <v>29</v>
      </c>
      <c r="D67" s="79">
        <f>SUMIFS(tblData[Headcount],tblData[Scenario],"Budget",tblData[Year],selFY,tblData[Month],D$5)</f>
        <v>1182</v>
      </c>
      <c r="E67" s="79">
        <f>SUMIFS(tblData[Headcount],tblData[Scenario],"Budget",tblData[Year],selFY,tblData[Month],E$5)</f>
        <v>1184</v>
      </c>
      <c r="F67" s="79">
        <f>SUMIFS(tblData[Headcount],tblData[Scenario],"Budget",tblData[Year],selFY,tblData[Month],F$5)</f>
        <v>1185</v>
      </c>
      <c r="G67" s="79">
        <f>SUMIFS(tblData[Headcount],tblData[Scenario],"Budget",tblData[Year],selFY,tblData[Month],G$5)</f>
        <v>1187</v>
      </c>
      <c r="H67" s="79">
        <f>SUMIFS(tblData[Headcount],tblData[Scenario],"Budget",tblData[Year],selFY,tblData[Month],H$5)</f>
        <v>1188</v>
      </c>
      <c r="I67" s="79">
        <f>SUMIFS(tblData[Headcount],tblData[Scenario],"Budget",tblData[Year],selFY,tblData[Month],I$5)</f>
        <v>1190</v>
      </c>
      <c r="J67" s="79">
        <f>SUMIFS(tblData[Headcount],tblData[Scenario],"Budget",tblData[Year],selFY,tblData[Month],J$5)</f>
        <v>1192</v>
      </c>
      <c r="K67" s="79">
        <f>SUMIFS(tblData[Headcount],tblData[Scenario],"Budget",tblData[Year],selFY,tblData[Month],K$5)</f>
        <v>1193</v>
      </c>
      <c r="L67" s="79">
        <f>SUMIFS(tblData[Headcount],tblData[Scenario],"Budget",tblData[Year],selFY,tblData[Month],L$5)</f>
        <v>1195</v>
      </c>
      <c r="M67" s="79">
        <f>SUMIFS(tblData[Headcount],tblData[Scenario],"Budget",tblData[Year],selFY,tblData[Month],M$5)</f>
        <v>1196</v>
      </c>
      <c r="N67" s="79">
        <f>SUMIFS(tblData[Headcount],tblData[Scenario],"Budget",tblData[Year],selFY,tblData[Month],N$5)</f>
        <v>1198</v>
      </c>
      <c r="O67" s="79">
        <f>SUMIFS(tblData[Headcount],tblData[Scenario],"Budget",tblData[Year],selFY,tblData[Month],O$5)</f>
        <v>1200</v>
      </c>
    </row>
    <row r="68" spans="1:16" x14ac:dyDescent="0.25">
      <c r="A68" s="77" t="s">
        <v>92</v>
      </c>
      <c r="B68" s="77" t="s">
        <v>5</v>
      </c>
      <c r="D68" s="79">
        <f>SUMIFS(tblData[Units],tblData[Scenario],"Forecast",tblData[Year],selFY,tblData[Month],D$5)</f>
        <v>4352.8000000000011</v>
      </c>
      <c r="E68" s="79">
        <f>SUMIFS(tblData[Units],tblData[Scenario],"Forecast",tblData[Year],selFY,tblData[Month],E$5)</f>
        <v>4486.3999999999996</v>
      </c>
      <c r="F68" s="79">
        <f>SUMIFS(tblData[Units],tblData[Scenario],"Forecast",tblData[Year],selFY,tblData[Month],F$5)</f>
        <v>5010.0999999999985</v>
      </c>
      <c r="G68" s="79">
        <f>SUMIFS(tblData[Units],tblData[Scenario],"Forecast",tblData[Year],selFY,tblData[Month],G$5)</f>
        <v>5147.3999999999996</v>
      </c>
      <c r="H68" s="79">
        <f>SUMIFS(tblData[Units],tblData[Scenario],"Forecast",tblData[Year],selFY,tblData[Month],H$5)</f>
        <v>5273.9000000000005</v>
      </c>
      <c r="I68" s="79">
        <f>SUMIFS(tblData[Units],tblData[Scenario],"Forecast",tblData[Year],selFY,tblData[Month],I$5)</f>
        <v>5410.7999999999993</v>
      </c>
      <c r="J68" s="79">
        <f>SUMIFS(tblData[Units],tblData[Scenario],"Forecast",tblData[Year],selFY,tblData[Month],J$5)</f>
        <v>5271.7000000000007</v>
      </c>
      <c r="K68" s="79">
        <f>SUMIFS(tblData[Units],tblData[Scenario],"Forecast",tblData[Year],selFY,tblData[Month],K$5)</f>
        <v>5402.9</v>
      </c>
      <c r="L68" s="79">
        <f>SUMIFS(tblData[Units],tblData[Scenario],"Forecast",tblData[Year],selFY,tblData[Month],L$5)</f>
        <v>5927.0000000000018</v>
      </c>
      <c r="M68" s="79">
        <f>SUMIFS(tblData[Units],tblData[Scenario],"Forecast",tblData[Year],selFY,tblData[Month],M$5)</f>
        <v>6459.2999999999993</v>
      </c>
      <c r="N68" s="79">
        <f>SUMIFS(tblData[Units],tblData[Scenario],"Forecast",tblData[Year],selFY,tblData[Month],N$5)</f>
        <v>6844.699999999998</v>
      </c>
      <c r="O68" s="79">
        <f>SUMIFS(tblData[Units],tblData[Scenario],"Forecast",tblData[Year],selFY,tblData[Month],O$5)</f>
        <v>6316.1</v>
      </c>
      <c r="P68" s="79">
        <f t="shared" ref="P68:P86" si="2">SUM(D68:O68)</f>
        <v>65903.100000000006</v>
      </c>
    </row>
    <row r="69" spans="1:16" x14ac:dyDescent="0.25">
      <c r="A69" s="77" t="s">
        <v>92</v>
      </c>
      <c r="B69" s="77" t="s">
        <v>6</v>
      </c>
      <c r="D69" s="79">
        <f>SUMIFS(tblData[Gross Sales],tblData[Scenario],"Forecast",tblData[Year],selFY,tblData[Month],D$5)/Unit</f>
        <v>41.62</v>
      </c>
      <c r="E69" s="79">
        <f>SUMIFS(tblData[Gross Sales],tblData[Scenario],"Forecast",tblData[Year],selFY,tblData[Month],E$5)/Unit</f>
        <v>42.914999999999999</v>
      </c>
      <c r="F69" s="79">
        <f>SUMIFS(tblData[Gross Sales],tblData[Scenario],"Forecast",tblData[Year],selFY,tblData[Month],F$5)/Unit</f>
        <v>47.915999999999997</v>
      </c>
      <c r="G69" s="79">
        <f>SUMIFS(tblData[Gross Sales],tblData[Scenario],"Forecast",tblData[Year],selFY,tblData[Month],G$5)/Unit</f>
        <v>49.219000000000001</v>
      </c>
      <c r="H69" s="79">
        <f>SUMIFS(tblData[Gross Sales],tblData[Scenario],"Forecast",tblData[Year],selFY,tblData[Month],H$5)/Unit</f>
        <v>50.457000000000001</v>
      </c>
      <c r="I69" s="79">
        <f>SUMIFS(tblData[Gross Sales],tblData[Scenario],"Forecast",tblData[Year],selFY,tblData[Month],I$5)/Unit</f>
        <v>51.738999999999997</v>
      </c>
      <c r="J69" s="79">
        <f>SUMIFS(tblData[Gross Sales],tblData[Scenario],"Forecast",tblData[Year],selFY,tblData[Month],J$5)/Unit</f>
        <v>50.411000000000001</v>
      </c>
      <c r="K69" s="79">
        <f>SUMIFS(tblData[Gross Sales],tblData[Scenario],"Forecast",tblData[Year],selFY,tblData[Month],K$5)/Unit</f>
        <v>51.671999999999997</v>
      </c>
      <c r="L69" s="79">
        <f>SUMIFS(tblData[Gross Sales],tblData[Scenario],"Forecast",tblData[Year],selFY,tblData[Month],L$5)/Unit</f>
        <v>56.69</v>
      </c>
      <c r="M69" s="79">
        <f>SUMIFS(tblData[Gross Sales],tblData[Scenario],"Forecast",tblData[Year],selFY,tblData[Month],M$5)/Unit</f>
        <v>61.77</v>
      </c>
      <c r="N69" s="79">
        <f>SUMIFS(tblData[Gross Sales],tblData[Scenario],"Forecast",tblData[Year],selFY,tblData[Month],N$5)/Unit</f>
        <v>65.596999999999994</v>
      </c>
      <c r="O69" s="79">
        <f>SUMIFS(tblData[Gross Sales],tblData[Scenario],"Forecast",tblData[Year],selFY,tblData[Month],O$5)/Unit</f>
        <v>60.521000000000001</v>
      </c>
      <c r="P69" s="79">
        <f t="shared" si="2"/>
        <v>630.52699999999993</v>
      </c>
    </row>
    <row r="70" spans="1:16" x14ac:dyDescent="0.25">
      <c r="A70" s="77" t="s">
        <v>92</v>
      </c>
      <c r="B70" s="77" t="s">
        <v>7</v>
      </c>
      <c r="D70" s="79">
        <f>SUMIFS(tblData[Trade Discounts],tblData[Scenario],"Forecast",tblData[Year],selFY,tblData[Month],D$5)/Unit</f>
        <v>-6.4809999999999999</v>
      </c>
      <c r="E70" s="79">
        <f>SUMIFS(tblData[Trade Discounts],tblData[Scenario],"Forecast",tblData[Year],selFY,tblData[Month],E$5)/Unit</f>
        <v>-6.6870000000000003</v>
      </c>
      <c r="F70" s="79">
        <f>SUMIFS(tblData[Trade Discounts],tblData[Scenario],"Forecast",tblData[Year],selFY,tblData[Month],F$5)/Unit</f>
        <v>-7.4649999999999999</v>
      </c>
      <c r="G70" s="79">
        <f>SUMIFS(tblData[Trade Discounts],tblData[Scenario],"Forecast",tblData[Year],selFY,tblData[Month],G$5)/Unit</f>
        <v>-7.6619999999999999</v>
      </c>
      <c r="H70" s="79">
        <f>SUMIFS(tblData[Trade Discounts],tblData[Scenario],"Forecast",tblData[Year],selFY,tblData[Month],H$5)/Unit</f>
        <v>-7.8550000000000004</v>
      </c>
      <c r="I70" s="79">
        <f>SUMIFS(tblData[Trade Discounts],tblData[Scenario],"Forecast",tblData[Year],selFY,tblData[Month],I$5)/Unit</f>
        <v>-8.0570000000000004</v>
      </c>
      <c r="J70" s="79">
        <f>SUMIFS(tblData[Trade Discounts],tblData[Scenario],"Forecast",tblData[Year],selFY,tblData[Month],J$5)/Unit</f>
        <v>-7.8479999999999999</v>
      </c>
      <c r="K70" s="79">
        <f>SUMIFS(tblData[Trade Discounts],tblData[Scenario],"Forecast",tblData[Year],selFY,tblData[Month],K$5)/Unit</f>
        <v>-8.0500000000000007</v>
      </c>
      <c r="L70" s="79">
        <f>SUMIFS(tblData[Trade Discounts],tblData[Scenario],"Forecast",tblData[Year],selFY,tblData[Month],L$5)/Unit</f>
        <v>-8.8290000000000006</v>
      </c>
      <c r="M70" s="79">
        <f>SUMIFS(tblData[Trade Discounts],tblData[Scenario],"Forecast",tblData[Year],selFY,tblData[Month],M$5)/Unit</f>
        <v>-9.6189999999999998</v>
      </c>
      <c r="N70" s="79">
        <f>SUMIFS(tblData[Trade Discounts],tblData[Scenario],"Forecast",tblData[Year],selFY,tblData[Month],N$5)/Unit</f>
        <v>-10.234999999999999</v>
      </c>
      <c r="O70" s="79">
        <f>SUMIFS(tblData[Trade Discounts],tblData[Scenario],"Forecast",tblData[Year],selFY,tblData[Month],O$5)/Unit</f>
        <v>-9.4459999999999997</v>
      </c>
      <c r="P70" s="79">
        <f t="shared" si="2"/>
        <v>-98.233999999999995</v>
      </c>
    </row>
    <row r="71" spans="1:16" x14ac:dyDescent="0.25">
      <c r="A71" s="77" t="s">
        <v>92</v>
      </c>
      <c r="B71" s="77" t="s">
        <v>8</v>
      </c>
      <c r="D71" s="79">
        <f>SUMIFS(tblData[Returns],tblData[Scenario],"Forecast",tblData[Year],selFY,tblData[Month],D$5)/Unit</f>
        <v>-0.81100000000000005</v>
      </c>
      <c r="E71" s="79">
        <f>SUMIFS(tblData[Returns],tblData[Scenario],"Forecast",tblData[Year],selFY,tblData[Month],E$5)/Unit</f>
        <v>-0.83599999999999997</v>
      </c>
      <c r="F71" s="79">
        <f>SUMIFS(tblData[Returns],tblData[Scenario],"Forecast",tblData[Year],selFY,tblData[Month],F$5)/Unit</f>
        <v>-0.93799999999999994</v>
      </c>
      <c r="G71" s="79">
        <f>SUMIFS(tblData[Returns],tblData[Scenario],"Forecast",tblData[Year],selFY,tblData[Month],G$5)/Unit</f>
        <v>-0.96199999999999997</v>
      </c>
      <c r="H71" s="79">
        <f>SUMIFS(tblData[Returns],tblData[Scenario],"Forecast",tblData[Year],selFY,tblData[Month],H$5)/Unit</f>
        <v>-0.98599999999999999</v>
      </c>
      <c r="I71" s="79">
        <f>SUMIFS(tblData[Returns],tblData[Scenario],"Forecast",tblData[Year],selFY,tblData[Month],I$5)/Unit</f>
        <v>-1.0069999999999999</v>
      </c>
      <c r="J71" s="79">
        <f>SUMIFS(tblData[Returns],tblData[Scenario],"Forecast",tblData[Year],selFY,tblData[Month],J$5)/Unit</f>
        <v>-0.98499999999999999</v>
      </c>
      <c r="K71" s="79">
        <f>SUMIFS(tblData[Returns],tblData[Scenario],"Forecast",tblData[Year],selFY,tblData[Month],K$5)/Unit</f>
        <v>-1.0089999999999999</v>
      </c>
      <c r="L71" s="79">
        <f>SUMIFS(tblData[Returns],tblData[Scenario],"Forecast",tblData[Year],selFY,tblData[Month],L$5)/Unit</f>
        <v>-1.1060000000000001</v>
      </c>
      <c r="M71" s="79">
        <f>SUMIFS(tblData[Returns],tblData[Scenario],"Forecast",tblData[Year],selFY,tblData[Month],M$5)/Unit</f>
        <v>-1.2090000000000001</v>
      </c>
      <c r="N71" s="79">
        <f>SUMIFS(tblData[Returns],tblData[Scenario],"Forecast",tblData[Year],selFY,tblData[Month],N$5)/Unit</f>
        <v>-1.2869999999999999</v>
      </c>
      <c r="O71" s="79">
        <f>SUMIFS(tblData[Returns],tblData[Scenario],"Forecast",tblData[Year],selFY,tblData[Month],O$5)/Unit</f>
        <v>-1.1890000000000001</v>
      </c>
      <c r="P71" s="79">
        <f t="shared" si="2"/>
        <v>-12.324999999999999</v>
      </c>
    </row>
    <row r="72" spans="1:16" x14ac:dyDescent="0.25">
      <c r="A72" s="77" t="s">
        <v>92</v>
      </c>
      <c r="B72" s="77" t="s">
        <v>9</v>
      </c>
      <c r="D72" s="79">
        <f>SUMIFS(tblData[Material Cost],tblData[Scenario],"Forecast",tblData[Year],selFY,tblData[Month],D$5)/Unit</f>
        <v>-10.737</v>
      </c>
      <c r="E72" s="79">
        <f>SUMIFS(tblData[Material Cost],tblData[Scenario],"Forecast",tblData[Year],selFY,tblData[Month],E$5)/Unit</f>
        <v>-11.065</v>
      </c>
      <c r="F72" s="79">
        <f>SUMIFS(tblData[Material Cost],tblData[Scenario],"Forecast",tblData[Year],selFY,tblData[Month],F$5)/Unit</f>
        <v>-12.352</v>
      </c>
      <c r="G72" s="79">
        <f>SUMIFS(tblData[Material Cost],tblData[Scenario],"Forecast",tblData[Year],selFY,tblData[Month],G$5)/Unit</f>
        <v>-12.695</v>
      </c>
      <c r="H72" s="79">
        <f>SUMIFS(tblData[Material Cost],tblData[Scenario],"Forecast",tblData[Year],selFY,tblData[Month],H$5)/Unit</f>
        <v>-13.01</v>
      </c>
      <c r="I72" s="79">
        <f>SUMIFS(tblData[Material Cost],tblData[Scenario],"Forecast",tblData[Year],selFY,tblData[Month],I$5)/Unit</f>
        <v>-13.343</v>
      </c>
      <c r="J72" s="79">
        <f>SUMIFS(tblData[Material Cost],tblData[Scenario],"Forecast",tblData[Year],selFY,tblData[Month],J$5)/Unit</f>
        <v>-12.997999999999999</v>
      </c>
      <c r="K72" s="79">
        <f>SUMIFS(tblData[Material Cost],tblData[Scenario],"Forecast",tblData[Year],selFY,tblData[Month],K$5)/Unit</f>
        <v>-13.321</v>
      </c>
      <c r="L72" s="79">
        <f>SUMIFS(tblData[Material Cost],tblData[Scenario],"Forecast",tblData[Year],selFY,tblData[Month],L$5)/Unit</f>
        <v>-14.617000000000001</v>
      </c>
      <c r="M72" s="79">
        <f>SUMIFS(tblData[Material Cost],tblData[Scenario],"Forecast",tblData[Year],selFY,tblData[Month],M$5)/Unit</f>
        <v>-15.927</v>
      </c>
      <c r="N72" s="79">
        <f>SUMIFS(tblData[Material Cost],tblData[Scenario],"Forecast",tblData[Year],selFY,tblData[Month],N$5)/Unit</f>
        <v>-16.957999999999998</v>
      </c>
      <c r="O72" s="79">
        <f>SUMIFS(tblData[Material Cost],tblData[Scenario],"Forecast",tblData[Year],selFY,tblData[Month],O$5)/Unit</f>
        <v>-15.644</v>
      </c>
      <c r="P72" s="79">
        <f t="shared" si="2"/>
        <v>-162.667</v>
      </c>
    </row>
    <row r="73" spans="1:16" x14ac:dyDescent="0.25">
      <c r="A73" s="77" t="s">
        <v>92</v>
      </c>
      <c r="B73" s="77" t="s">
        <v>10</v>
      </c>
      <c r="D73" s="79">
        <f>SUMIFS(tblData[Conversion Cost],tblData[Scenario],"Forecast",tblData[Year],selFY,tblData[Month],D$5)/Unit</f>
        <v>-2.6549999999999998</v>
      </c>
      <c r="E73" s="79">
        <f>SUMIFS(tblData[Conversion Cost],tblData[Scenario],"Forecast",tblData[Year],selFY,tblData[Month],E$5)/Unit</f>
        <v>-2.7349999999999999</v>
      </c>
      <c r="F73" s="79">
        <f>SUMIFS(tblData[Conversion Cost],tblData[Scenario],"Forecast",tblData[Year],selFY,tblData[Month],F$5)/Unit</f>
        <v>-3.0550000000000002</v>
      </c>
      <c r="G73" s="79">
        <f>SUMIFS(tblData[Conversion Cost],tblData[Scenario],"Forecast",tblData[Year],selFY,tblData[Month],G$5)/Unit</f>
        <v>-3.1429999999999998</v>
      </c>
      <c r="H73" s="79">
        <f>SUMIFS(tblData[Conversion Cost],tblData[Scenario],"Forecast",tblData[Year],selFY,tblData[Month],H$5)/Unit</f>
        <v>-3.218</v>
      </c>
      <c r="I73" s="79">
        <f>SUMIFS(tblData[Conversion Cost],tblData[Scenario],"Forecast",tblData[Year],selFY,tblData[Month],I$5)/Unit</f>
        <v>-3.298</v>
      </c>
      <c r="J73" s="79">
        <f>SUMIFS(tblData[Conversion Cost],tblData[Scenario],"Forecast",tblData[Year],selFY,tblData[Month],J$5)/Unit</f>
        <v>-3.2149999999999999</v>
      </c>
      <c r="K73" s="79">
        <f>SUMIFS(tblData[Conversion Cost],tblData[Scenario],"Forecast",tblData[Year],selFY,tblData[Month],K$5)/Unit</f>
        <v>-3.2959999999999998</v>
      </c>
      <c r="L73" s="79">
        <f>SUMIFS(tblData[Conversion Cost],tblData[Scenario],"Forecast",tblData[Year],selFY,tblData[Month],L$5)/Unit</f>
        <v>-3.6160000000000001</v>
      </c>
      <c r="M73" s="79">
        <f>SUMIFS(tblData[Conversion Cost],tblData[Scenario],"Forecast",tblData[Year],selFY,tblData[Month],M$5)/Unit</f>
        <v>-3.9409999999999998</v>
      </c>
      <c r="N73" s="79">
        <f>SUMIFS(tblData[Conversion Cost],tblData[Scenario],"Forecast",tblData[Year],selFY,tblData[Month],N$5)/Unit</f>
        <v>-4.1790000000000003</v>
      </c>
      <c r="O73" s="79">
        <f>SUMIFS(tblData[Conversion Cost],tblData[Scenario],"Forecast",tblData[Year],selFY,tblData[Month],O$5)/Unit</f>
        <v>-3.8570000000000002</v>
      </c>
      <c r="P73" s="79">
        <f t="shared" si="2"/>
        <v>-40.207999999999998</v>
      </c>
    </row>
    <row r="74" spans="1:16" x14ac:dyDescent="0.25">
      <c r="A74" s="77" t="s">
        <v>92</v>
      </c>
      <c r="B74" s="77" t="s">
        <v>11</v>
      </c>
      <c r="D74" s="79">
        <f>SUMIFS(tblData[Inbound Freight],tblData[Scenario],"Forecast",tblData[Year],selFY,tblData[Month],D$5)/Unit</f>
        <v>-1.601</v>
      </c>
      <c r="E74" s="79">
        <f>SUMIFS(tblData[Inbound Freight],tblData[Scenario],"Forecast",tblData[Year],selFY,tblData[Month],E$5)/Unit</f>
        <v>-1.65</v>
      </c>
      <c r="F74" s="79">
        <f>SUMIFS(tblData[Inbound Freight],tblData[Scenario],"Forecast",tblData[Year],selFY,tblData[Month],F$5)/Unit</f>
        <v>-1.8420000000000001</v>
      </c>
      <c r="G74" s="79">
        <f>SUMIFS(tblData[Inbound Freight],tblData[Scenario],"Forecast",tblData[Year],selFY,tblData[Month],G$5)/Unit</f>
        <v>-1.895</v>
      </c>
      <c r="H74" s="79">
        <f>SUMIFS(tblData[Inbound Freight],tblData[Scenario],"Forecast",tblData[Year],selFY,tblData[Month],H$5)/Unit</f>
        <v>-1.944</v>
      </c>
      <c r="I74" s="79">
        <f>SUMIFS(tblData[Inbound Freight],tblData[Scenario],"Forecast",tblData[Year],selFY,tblData[Month],I$5)/Unit</f>
        <v>-1.9930000000000001</v>
      </c>
      <c r="J74" s="79">
        <f>SUMIFS(tblData[Inbound Freight],tblData[Scenario],"Forecast",tblData[Year],selFY,tblData[Month],J$5)/Unit</f>
        <v>-1.9419999999999999</v>
      </c>
      <c r="K74" s="79">
        <f>SUMIFS(tblData[Inbound Freight],tblData[Scenario],"Forecast",tblData[Year],selFY,tblData[Month],K$5)/Unit</f>
        <v>-1.988</v>
      </c>
      <c r="L74" s="79">
        <f>SUMIFS(tblData[Inbound Freight],tblData[Scenario],"Forecast",tblData[Year],selFY,tblData[Month],L$5)/Unit</f>
        <v>-2.1829999999999998</v>
      </c>
      <c r="M74" s="79">
        <f>SUMIFS(tblData[Inbound Freight],tblData[Scenario],"Forecast",tblData[Year],selFY,tblData[Month],M$5)/Unit</f>
        <v>-2.3769999999999998</v>
      </c>
      <c r="N74" s="79">
        <f>SUMIFS(tblData[Inbound Freight],tblData[Scenario],"Forecast",tblData[Year],selFY,tblData[Month],N$5)/Unit</f>
        <v>-2.59</v>
      </c>
      <c r="O74" s="79">
        <f>SUMIFS(tblData[Inbound Freight],tblData[Scenario],"Forecast",tblData[Year],selFY,tblData[Month],O$5)/Unit</f>
        <v>-2.3929999999999998</v>
      </c>
      <c r="P74" s="79">
        <f t="shared" si="2"/>
        <v>-24.397999999999996</v>
      </c>
    </row>
    <row r="75" spans="1:16" x14ac:dyDescent="0.25">
      <c r="A75" s="77" t="s">
        <v>92</v>
      </c>
      <c r="B75" s="77" t="s">
        <v>12</v>
      </c>
      <c r="D75" s="79">
        <f>SUMIFS(tblData[Advertising],tblData[Scenario],"Forecast",tblData[Year],selFY,tblData[Month],D$5)/Unit</f>
        <v>-1.89</v>
      </c>
      <c r="E75" s="79">
        <f>SUMIFS(tblData[Advertising],tblData[Scenario],"Forecast",tblData[Year],selFY,tblData[Month],E$5)/Unit</f>
        <v>-1.946</v>
      </c>
      <c r="F75" s="79">
        <f>SUMIFS(tblData[Advertising],tblData[Scenario],"Forecast",tblData[Year],selFY,tblData[Month],F$5)/Unit</f>
        <v>-2.177</v>
      </c>
      <c r="G75" s="79">
        <f>SUMIFS(tblData[Advertising],tblData[Scenario],"Forecast",tblData[Year],selFY,tblData[Month],G$5)/Unit</f>
        <v>-2.2309999999999999</v>
      </c>
      <c r="H75" s="79">
        <f>SUMIFS(tblData[Advertising],tblData[Scenario],"Forecast",tblData[Year],selFY,tblData[Month],H$5)/Unit</f>
        <v>-2.29</v>
      </c>
      <c r="I75" s="79">
        <f>SUMIFS(tblData[Advertising],tblData[Scenario],"Forecast",tblData[Year],selFY,tblData[Month],I$5)/Unit</f>
        <v>-2.3460000000000001</v>
      </c>
      <c r="J75" s="79">
        <f>SUMIFS(tblData[Advertising],tblData[Scenario],"Forecast",tblData[Year],selFY,tblData[Month],J$5)/Unit</f>
        <v>-2.29</v>
      </c>
      <c r="K75" s="79">
        <f>SUMIFS(tblData[Advertising],tblData[Scenario],"Forecast",tblData[Year],selFY,tblData[Month],K$5)/Unit</f>
        <v>-2.3460000000000001</v>
      </c>
      <c r="L75" s="79">
        <f>SUMIFS(tblData[Advertising],tblData[Scenario],"Forecast",tblData[Year],selFY,tblData[Month],L$5)/Unit</f>
        <v>-2.573</v>
      </c>
      <c r="M75" s="79">
        <f>SUMIFS(tblData[Advertising],tblData[Scenario],"Forecast",tblData[Year],selFY,tblData[Month],M$5)/Unit</f>
        <v>-2.8029999999999999</v>
      </c>
      <c r="N75" s="79">
        <f>SUMIFS(tblData[Advertising],tblData[Scenario],"Forecast",tblData[Year],selFY,tblData[Month],N$5)/Unit</f>
        <v>-2.9220000000000002</v>
      </c>
      <c r="O75" s="79">
        <f>SUMIFS(tblData[Advertising],tblData[Scenario],"Forecast",tblData[Year],selFY,tblData[Month],O$5)/Unit</f>
        <v>-2.694</v>
      </c>
      <c r="P75" s="79">
        <f t="shared" si="2"/>
        <v>-28.507999999999999</v>
      </c>
    </row>
    <row r="76" spans="1:16" x14ac:dyDescent="0.25">
      <c r="A76" s="77" t="s">
        <v>92</v>
      </c>
      <c r="B76" s="77" t="s">
        <v>13</v>
      </c>
      <c r="D76" s="79">
        <f>SUMIFS(tblData[Promotions],tblData[Scenario],"Forecast",tblData[Year],selFY,tblData[Month],D$5)/Unit</f>
        <v>-1.087</v>
      </c>
      <c r="E76" s="79">
        <f>SUMIFS(tblData[Promotions],tblData[Scenario],"Forecast",tblData[Year],selFY,tblData[Month],E$5)/Unit</f>
        <v>-1.1200000000000001</v>
      </c>
      <c r="F76" s="79">
        <f>SUMIFS(tblData[Promotions],tblData[Scenario],"Forecast",tblData[Year],selFY,tblData[Month],F$5)/Unit</f>
        <v>-1.252</v>
      </c>
      <c r="G76" s="79">
        <f>SUMIFS(tblData[Promotions],tblData[Scenario],"Forecast",tblData[Year],selFY,tblData[Month],G$5)/Unit</f>
        <v>-1.2849999999999999</v>
      </c>
      <c r="H76" s="79">
        <f>SUMIFS(tblData[Promotions],tblData[Scenario],"Forecast",tblData[Year],selFY,tblData[Month],H$5)/Unit</f>
        <v>-1.3180000000000001</v>
      </c>
      <c r="I76" s="79">
        <f>SUMIFS(tblData[Promotions],tblData[Scenario],"Forecast",tblData[Year],selFY,tblData[Month],I$5)/Unit</f>
        <v>-1.351</v>
      </c>
      <c r="J76" s="79">
        <f>SUMIFS(tblData[Promotions],tblData[Scenario],"Forecast",tblData[Year],selFY,tblData[Month],J$5)/Unit</f>
        <v>-1.3180000000000001</v>
      </c>
      <c r="K76" s="79">
        <f>SUMIFS(tblData[Promotions],tblData[Scenario],"Forecast",tblData[Year],selFY,tblData[Month],K$5)/Unit</f>
        <v>-1.351</v>
      </c>
      <c r="L76" s="79">
        <f>SUMIFS(tblData[Promotions],tblData[Scenario],"Forecast",tblData[Year],selFY,tblData[Month],L$5)/Unit</f>
        <v>-1.4810000000000001</v>
      </c>
      <c r="M76" s="79">
        <f>SUMIFS(tblData[Promotions],tblData[Scenario],"Forecast",tblData[Year],selFY,tblData[Month],M$5)/Unit</f>
        <v>-1.613</v>
      </c>
      <c r="N76" s="79">
        <f>SUMIFS(tblData[Promotions],tblData[Scenario],"Forecast",tblData[Year],selFY,tblData[Month],N$5)/Unit</f>
        <v>-1.7190000000000001</v>
      </c>
      <c r="O76" s="79">
        <f>SUMIFS(tblData[Promotions],tblData[Scenario],"Forecast",tblData[Year],selFY,tblData[Month],O$5)/Unit</f>
        <v>-1.59</v>
      </c>
      <c r="P76" s="79">
        <f t="shared" si="2"/>
        <v>-16.484999999999999</v>
      </c>
    </row>
    <row r="77" spans="1:16" x14ac:dyDescent="0.25">
      <c r="A77" s="77" t="s">
        <v>92</v>
      </c>
      <c r="B77" s="77" t="s">
        <v>14</v>
      </c>
      <c r="D77" s="79">
        <f>SUMIFS(tblData[Outbound Logistics],tblData[Scenario],"Forecast",tblData[Year],selFY,tblData[Month],D$5)/Unit</f>
        <v>-2.0920000000000001</v>
      </c>
      <c r="E77" s="79">
        <f>SUMIFS(tblData[Outbound Logistics],tblData[Scenario],"Forecast",tblData[Year],selFY,tblData[Month],E$5)/Unit</f>
        <v>-2.161</v>
      </c>
      <c r="F77" s="79">
        <f>SUMIFS(tblData[Outbound Logistics],tblData[Scenario],"Forecast",tblData[Year],selFY,tblData[Month],F$5)/Unit</f>
        <v>-2.4129999999999998</v>
      </c>
      <c r="G77" s="79">
        <f>SUMIFS(tblData[Outbound Logistics],tblData[Scenario],"Forecast",tblData[Year],selFY,tblData[Month],G$5)/Unit</f>
        <v>-2.4790000000000001</v>
      </c>
      <c r="H77" s="79">
        <f>SUMIFS(tblData[Outbound Logistics],tblData[Scenario],"Forecast",tblData[Year],selFY,tblData[Month],H$5)/Unit</f>
        <v>-2.5430000000000001</v>
      </c>
      <c r="I77" s="79">
        <f>SUMIFS(tblData[Outbound Logistics],tblData[Scenario],"Forecast",tblData[Year],selFY,tblData[Month],I$5)/Unit</f>
        <v>-2.605</v>
      </c>
      <c r="J77" s="79">
        <f>SUMIFS(tblData[Outbound Logistics],tblData[Scenario],"Forecast",tblData[Year],selFY,tblData[Month],J$5)/Unit</f>
        <v>-2.536</v>
      </c>
      <c r="K77" s="79">
        <f>SUMIFS(tblData[Outbound Logistics],tblData[Scenario],"Forecast",tblData[Year],selFY,tblData[Month],K$5)/Unit</f>
        <v>-2.601</v>
      </c>
      <c r="L77" s="79">
        <f>SUMIFS(tblData[Outbound Logistics],tblData[Scenario],"Forecast",tblData[Year],selFY,tblData[Month],L$5)/Unit</f>
        <v>-2.855</v>
      </c>
      <c r="M77" s="79">
        <f>SUMIFS(tblData[Outbound Logistics],tblData[Scenario],"Forecast",tblData[Year],selFY,tblData[Month],M$5)/Unit</f>
        <v>-3.1080000000000001</v>
      </c>
      <c r="N77" s="79">
        <f>SUMIFS(tblData[Outbound Logistics],tblData[Scenario],"Forecast",tblData[Year],selFY,tblData[Month],N$5)/Unit</f>
        <v>-3.339</v>
      </c>
      <c r="O77" s="79">
        <f>SUMIFS(tblData[Outbound Logistics],tblData[Scenario],"Forecast",tblData[Year],selFY,tblData[Month],O$5)/Unit</f>
        <v>-3.0840000000000001</v>
      </c>
      <c r="P77" s="79">
        <f t="shared" si="2"/>
        <v>-31.815999999999999</v>
      </c>
    </row>
    <row r="78" spans="1:16" x14ac:dyDescent="0.25">
      <c r="A78" s="77" t="s">
        <v>92</v>
      </c>
      <c r="B78" s="77" t="s">
        <v>15</v>
      </c>
      <c r="D78" s="79">
        <f>SUMIFS(tblData[Direct Selling],tblData[Scenario],"Forecast",tblData[Year],selFY,tblData[Month],D$5)/Unit</f>
        <v>-1.0840000000000001</v>
      </c>
      <c r="E78" s="79">
        <f>SUMIFS(tblData[Direct Selling],tblData[Scenario],"Forecast",tblData[Year],selFY,tblData[Month],E$5)/Unit</f>
        <v>-1.119</v>
      </c>
      <c r="F78" s="79">
        <f>SUMIFS(tblData[Direct Selling],tblData[Scenario],"Forecast",tblData[Year],selFY,tblData[Month],F$5)/Unit</f>
        <v>-1.248</v>
      </c>
      <c r="G78" s="79">
        <f>SUMIFS(tblData[Direct Selling],tblData[Scenario],"Forecast",tblData[Year],selFY,tblData[Month],G$5)/Unit</f>
        <v>-1.2829999999999999</v>
      </c>
      <c r="H78" s="79">
        <f>SUMIFS(tblData[Direct Selling],tblData[Scenario],"Forecast",tblData[Year],selFY,tblData[Month],H$5)/Unit</f>
        <v>-1.3120000000000001</v>
      </c>
      <c r="I78" s="79">
        <f>SUMIFS(tblData[Direct Selling],tblData[Scenario],"Forecast",tblData[Year],selFY,tblData[Month],I$5)/Unit</f>
        <v>-1.347</v>
      </c>
      <c r="J78" s="79">
        <f>SUMIFS(tblData[Direct Selling],tblData[Scenario],"Forecast",tblData[Year],selFY,tblData[Month],J$5)/Unit</f>
        <v>-1.3140000000000001</v>
      </c>
      <c r="K78" s="79">
        <f>SUMIFS(tblData[Direct Selling],tblData[Scenario],"Forecast",tblData[Year],selFY,tblData[Month],K$5)/Unit</f>
        <v>-1.3460000000000001</v>
      </c>
      <c r="L78" s="79">
        <f>SUMIFS(tblData[Direct Selling],tblData[Scenario],"Forecast",tblData[Year],selFY,tblData[Month],L$5)/Unit</f>
        <v>-1.4750000000000001</v>
      </c>
      <c r="M78" s="79">
        <f>SUMIFS(tblData[Direct Selling],tblData[Scenario],"Forecast",tblData[Year],selFY,tblData[Month],M$5)/Unit</f>
        <v>-1.61</v>
      </c>
      <c r="N78" s="79">
        <f>SUMIFS(tblData[Direct Selling],tblData[Scenario],"Forecast",tblData[Year],selFY,tblData[Month],N$5)/Unit</f>
        <v>-1.7070000000000001</v>
      </c>
      <c r="O78" s="79">
        <f>SUMIFS(tblData[Direct Selling],tblData[Scenario],"Forecast",tblData[Year],selFY,tblData[Month],O$5)/Unit</f>
        <v>-1.575</v>
      </c>
      <c r="P78" s="79">
        <f t="shared" si="2"/>
        <v>-16.420000000000002</v>
      </c>
    </row>
    <row r="79" spans="1:16" x14ac:dyDescent="0.25">
      <c r="A79" s="77" t="s">
        <v>92</v>
      </c>
      <c r="B79" s="77" t="s">
        <v>16</v>
      </c>
      <c r="D79" s="79">
        <f>SUMIFS(tblData[Personnel],tblData[Scenario],"Forecast",tblData[Year],selFY,tblData[Month],D$5)/Unit</f>
        <v>-4.22</v>
      </c>
      <c r="E79" s="79">
        <f>SUMIFS(tblData[Personnel],tblData[Scenario],"Forecast",tblData[Year],selFY,tblData[Month],E$5)/Unit</f>
        <v>-4.2370000000000001</v>
      </c>
      <c r="F79" s="79">
        <f>SUMIFS(tblData[Personnel],tblData[Scenario],"Forecast",tblData[Year],selFY,tblData[Month],F$5)/Unit</f>
        <v>-4.2530000000000001</v>
      </c>
      <c r="G79" s="79">
        <f>SUMIFS(tblData[Personnel],tblData[Scenario],"Forecast",tblData[Year],selFY,tblData[Month],G$5)/Unit</f>
        <v>-4.2699999999999996</v>
      </c>
      <c r="H79" s="79">
        <f>SUMIFS(tblData[Personnel],tblData[Scenario],"Forecast",tblData[Year],selFY,tblData[Month],H$5)/Unit</f>
        <v>-4.2869999999999999</v>
      </c>
      <c r="I79" s="79">
        <f>SUMIFS(tblData[Personnel],tblData[Scenario],"Forecast",tblData[Year],selFY,tblData[Month],I$5)/Unit</f>
        <v>-4.3040000000000003</v>
      </c>
      <c r="J79" s="79">
        <f>SUMIFS(tblData[Personnel],tblData[Scenario],"Forecast",tblData[Year],selFY,tblData[Month],J$5)/Unit</f>
        <v>-4.3209999999999997</v>
      </c>
      <c r="K79" s="79">
        <f>SUMIFS(tblData[Personnel],tblData[Scenario],"Forecast",tblData[Year],selFY,tblData[Month],K$5)/Unit</f>
        <v>-4.3380000000000001</v>
      </c>
      <c r="L79" s="79">
        <f>SUMIFS(tblData[Personnel],tblData[Scenario],"Forecast",tblData[Year],selFY,tblData[Month],L$5)/Unit</f>
        <v>-4.3550000000000004</v>
      </c>
      <c r="M79" s="79">
        <f>SUMIFS(tblData[Personnel],tblData[Scenario],"Forecast",tblData[Year],selFY,tblData[Month],M$5)/Unit</f>
        <v>-4.3719999999999999</v>
      </c>
      <c r="N79" s="79">
        <f>SUMIFS(tblData[Personnel],tblData[Scenario],"Forecast",tblData[Year],selFY,tblData[Month],N$5)/Unit</f>
        <v>-4.3890000000000002</v>
      </c>
      <c r="O79" s="79">
        <f>SUMIFS(tblData[Personnel],tblData[Scenario],"Forecast",tblData[Year],selFY,tblData[Month],O$5)/Unit</f>
        <v>-4.4050000000000002</v>
      </c>
      <c r="P79" s="79">
        <f t="shared" si="2"/>
        <v>-51.750999999999998</v>
      </c>
    </row>
    <row r="80" spans="1:16" x14ac:dyDescent="0.25">
      <c r="A80" s="77" t="s">
        <v>92</v>
      </c>
      <c r="B80" s="77" t="s">
        <v>17</v>
      </c>
      <c r="D80" s="79">
        <f>SUMIFS(tblData[Research and Development],tblData[Scenario],"Forecast",tblData[Year],selFY,tblData[Month],D$5)/Unit</f>
        <v>-1.004</v>
      </c>
      <c r="E80" s="79">
        <f>SUMIFS(tblData[Research and Development],tblData[Scenario],"Forecast",tblData[Year],selFY,tblData[Month],E$5)/Unit</f>
        <v>-1.004</v>
      </c>
      <c r="F80" s="79">
        <f>SUMIFS(tblData[Research and Development],tblData[Scenario],"Forecast",tblData[Year],selFY,tblData[Month],F$5)/Unit</f>
        <v>-1.004</v>
      </c>
      <c r="G80" s="79">
        <f>SUMIFS(tblData[Research and Development],tblData[Scenario],"Forecast",tblData[Year],selFY,tblData[Month],G$5)/Unit</f>
        <v>-1.004</v>
      </c>
      <c r="H80" s="79">
        <f>SUMIFS(tblData[Research and Development],tblData[Scenario],"Forecast",tblData[Year],selFY,tblData[Month],H$5)/Unit</f>
        <v>-1.004</v>
      </c>
      <c r="I80" s="79">
        <f>SUMIFS(tblData[Research and Development],tblData[Scenario],"Forecast",tblData[Year],selFY,tblData[Month],I$5)/Unit</f>
        <v>-1.004</v>
      </c>
      <c r="J80" s="79">
        <f>SUMIFS(tblData[Research and Development],tblData[Scenario],"Forecast",tblData[Year],selFY,tblData[Month],J$5)/Unit</f>
        <v>-1.004</v>
      </c>
      <c r="K80" s="79">
        <f>SUMIFS(tblData[Research and Development],tblData[Scenario],"Forecast",tblData[Year],selFY,tblData[Month],K$5)/Unit</f>
        <v>-1.004</v>
      </c>
      <c r="L80" s="79">
        <f>SUMIFS(tblData[Research and Development],tblData[Scenario],"Forecast",tblData[Year],selFY,tblData[Month],L$5)/Unit</f>
        <v>-1.004</v>
      </c>
      <c r="M80" s="79">
        <f>SUMIFS(tblData[Research and Development],tblData[Scenario],"Forecast",tblData[Year],selFY,tblData[Month],M$5)/Unit</f>
        <v>-1.004</v>
      </c>
      <c r="N80" s="79">
        <f>SUMIFS(tblData[Research and Development],tblData[Scenario],"Forecast",tblData[Year],selFY,tblData[Month],N$5)/Unit</f>
        <v>-1.004</v>
      </c>
      <c r="O80" s="79">
        <f>SUMIFS(tblData[Research and Development],tblData[Scenario],"Forecast",tblData[Year],selFY,tblData[Month],O$5)/Unit</f>
        <v>-1.004</v>
      </c>
      <c r="P80" s="79">
        <f t="shared" si="2"/>
        <v>-12.047999999999996</v>
      </c>
    </row>
    <row r="81" spans="1:16" x14ac:dyDescent="0.25">
      <c r="A81" s="77" t="s">
        <v>92</v>
      </c>
      <c r="B81" s="77" t="s">
        <v>18</v>
      </c>
      <c r="D81" s="79">
        <f>SUMIFS(tblData[IT and Facilities],tblData[Scenario],"Forecast",tblData[Year],selFY,tblData[Month],D$5)/Unit</f>
        <v>-1.288</v>
      </c>
      <c r="E81" s="79">
        <f>SUMIFS(tblData[IT and Facilities],tblData[Scenario],"Forecast",tblData[Year],selFY,tblData[Month],E$5)/Unit</f>
        <v>-1.288</v>
      </c>
      <c r="F81" s="79">
        <f>SUMIFS(tblData[IT and Facilities],tblData[Scenario],"Forecast",tblData[Year],selFY,tblData[Month],F$5)/Unit</f>
        <v>-1.288</v>
      </c>
      <c r="G81" s="79">
        <f>SUMIFS(tblData[IT and Facilities],tblData[Scenario],"Forecast",tblData[Year],selFY,tblData[Month],G$5)/Unit</f>
        <v>-1.288</v>
      </c>
      <c r="H81" s="79">
        <f>SUMIFS(tblData[IT and Facilities],tblData[Scenario],"Forecast",tblData[Year],selFY,tblData[Month],H$5)/Unit</f>
        <v>-1.288</v>
      </c>
      <c r="I81" s="79">
        <f>SUMIFS(tblData[IT and Facilities],tblData[Scenario],"Forecast",tblData[Year],selFY,tblData[Month],I$5)/Unit</f>
        <v>-1.288</v>
      </c>
      <c r="J81" s="79">
        <f>SUMIFS(tblData[IT and Facilities],tblData[Scenario],"Forecast",tblData[Year],selFY,tblData[Month],J$5)/Unit</f>
        <v>-1.288</v>
      </c>
      <c r="K81" s="79">
        <f>SUMIFS(tblData[IT and Facilities],tblData[Scenario],"Forecast",tblData[Year],selFY,tblData[Month],K$5)/Unit</f>
        <v>-1.288</v>
      </c>
      <c r="L81" s="79">
        <f>SUMIFS(tblData[IT and Facilities],tblData[Scenario],"Forecast",tblData[Year],selFY,tblData[Month],L$5)/Unit</f>
        <v>-1.288</v>
      </c>
      <c r="M81" s="79">
        <f>SUMIFS(tblData[IT and Facilities],tblData[Scenario],"Forecast",tblData[Year],selFY,tblData[Month],M$5)/Unit</f>
        <v>-1.288</v>
      </c>
      <c r="N81" s="79">
        <f>SUMIFS(tblData[IT and Facilities],tblData[Scenario],"Forecast",tblData[Year],selFY,tblData[Month],N$5)/Unit</f>
        <v>-1.288</v>
      </c>
      <c r="O81" s="79">
        <f>SUMIFS(tblData[IT and Facilities],tblData[Scenario],"Forecast",tblData[Year],selFY,tblData[Month],O$5)/Unit</f>
        <v>-1.288</v>
      </c>
      <c r="P81" s="79">
        <f t="shared" si="2"/>
        <v>-15.456000000000001</v>
      </c>
    </row>
    <row r="82" spans="1:16" x14ac:dyDescent="0.25">
      <c r="A82" s="77" t="s">
        <v>92</v>
      </c>
      <c r="B82" s="77" t="s">
        <v>19</v>
      </c>
      <c r="D82" s="79">
        <f>SUMIFS(tblData[Other Admin],tblData[Scenario],"Forecast",tblData[Year],selFY,tblData[Month],D$5)/Unit</f>
        <v>-1.0940000000000001</v>
      </c>
      <c r="E82" s="79">
        <f>SUMIFS(tblData[Other Admin],tblData[Scenario],"Forecast",tblData[Year],selFY,tblData[Month],E$5)/Unit</f>
        <v>-1.0940000000000001</v>
      </c>
      <c r="F82" s="79">
        <f>SUMIFS(tblData[Other Admin],tblData[Scenario],"Forecast",tblData[Year],selFY,tblData[Month],F$5)/Unit</f>
        <v>-1.0940000000000001</v>
      </c>
      <c r="G82" s="79">
        <f>SUMIFS(tblData[Other Admin],tblData[Scenario],"Forecast",tblData[Year],selFY,tblData[Month],G$5)/Unit</f>
        <v>-1.0940000000000001</v>
      </c>
      <c r="H82" s="79">
        <f>SUMIFS(tblData[Other Admin],tblData[Scenario],"Forecast",tblData[Year],selFY,tblData[Month],H$5)/Unit</f>
        <v>-1.0940000000000001</v>
      </c>
      <c r="I82" s="79">
        <f>SUMIFS(tblData[Other Admin],tblData[Scenario],"Forecast",tblData[Year],selFY,tblData[Month],I$5)/Unit</f>
        <v>-1.0940000000000001</v>
      </c>
      <c r="J82" s="79">
        <f>SUMIFS(tblData[Other Admin],tblData[Scenario],"Forecast",tblData[Year],selFY,tblData[Month],J$5)/Unit</f>
        <v>-1.0940000000000001</v>
      </c>
      <c r="K82" s="79">
        <f>SUMIFS(tblData[Other Admin],tblData[Scenario],"Forecast",tblData[Year],selFY,tblData[Month],K$5)/Unit</f>
        <v>-1.0940000000000001</v>
      </c>
      <c r="L82" s="79">
        <f>SUMIFS(tblData[Other Admin],tblData[Scenario],"Forecast",tblData[Year],selFY,tblData[Month],L$5)/Unit</f>
        <v>-1.0940000000000001</v>
      </c>
      <c r="M82" s="79">
        <f>SUMIFS(tblData[Other Admin],tblData[Scenario],"Forecast",tblData[Year],selFY,tblData[Month],M$5)/Unit</f>
        <v>-1.0940000000000001</v>
      </c>
      <c r="N82" s="79">
        <f>SUMIFS(tblData[Other Admin],tblData[Scenario],"Forecast",tblData[Year],selFY,tblData[Month],N$5)/Unit</f>
        <v>-1.0940000000000001</v>
      </c>
      <c r="O82" s="79">
        <f>SUMIFS(tblData[Other Admin],tblData[Scenario],"Forecast",tblData[Year],selFY,tblData[Month],O$5)/Unit</f>
        <v>-1.0940000000000001</v>
      </c>
      <c r="P82" s="79">
        <f t="shared" si="2"/>
        <v>-13.127999999999998</v>
      </c>
    </row>
    <row r="83" spans="1:16" x14ac:dyDescent="0.25">
      <c r="A83" s="77" t="s">
        <v>92</v>
      </c>
      <c r="B83" s="77" t="s">
        <v>20</v>
      </c>
      <c r="D83" s="79">
        <f>SUMIFS(tblData[Depreciation],tblData[Scenario],"Forecast",tblData[Year],selFY,tblData[Month],D$5)/Unit</f>
        <v>-1.48</v>
      </c>
      <c r="E83" s="79">
        <f>SUMIFS(tblData[Depreciation],tblData[Scenario],"Forecast",tblData[Year],selFY,tblData[Month],E$5)/Unit</f>
        <v>-1.48</v>
      </c>
      <c r="F83" s="79">
        <f>SUMIFS(tblData[Depreciation],tblData[Scenario],"Forecast",tblData[Year],selFY,tblData[Month],F$5)/Unit</f>
        <v>-1.48</v>
      </c>
      <c r="G83" s="79">
        <f>SUMIFS(tblData[Depreciation],tblData[Scenario],"Forecast",tblData[Year],selFY,tblData[Month],G$5)/Unit</f>
        <v>-1.48</v>
      </c>
      <c r="H83" s="79">
        <f>SUMIFS(tblData[Depreciation],tblData[Scenario],"Forecast",tblData[Year],selFY,tblData[Month],H$5)/Unit</f>
        <v>-1.48</v>
      </c>
      <c r="I83" s="79">
        <f>SUMIFS(tblData[Depreciation],tblData[Scenario],"Forecast",tblData[Year],selFY,tblData[Month],I$5)/Unit</f>
        <v>-1.48</v>
      </c>
      <c r="J83" s="79">
        <f>SUMIFS(tblData[Depreciation],tblData[Scenario],"Forecast",tblData[Year],selFY,tblData[Month],J$5)/Unit</f>
        <v>-1.48</v>
      </c>
      <c r="K83" s="79">
        <f>SUMIFS(tblData[Depreciation],tblData[Scenario],"Forecast",tblData[Year],selFY,tblData[Month],K$5)/Unit</f>
        <v>-1.48</v>
      </c>
      <c r="L83" s="79">
        <f>SUMIFS(tblData[Depreciation],tblData[Scenario],"Forecast",tblData[Year],selFY,tblData[Month],L$5)/Unit</f>
        <v>-1.48</v>
      </c>
      <c r="M83" s="79">
        <f>SUMIFS(tblData[Depreciation],tblData[Scenario],"Forecast",tblData[Year],selFY,tblData[Month],M$5)/Unit</f>
        <v>-1.48</v>
      </c>
      <c r="N83" s="79">
        <f>SUMIFS(tblData[Depreciation],tblData[Scenario],"Forecast",tblData[Year],selFY,tblData[Month],N$5)/Unit</f>
        <v>-1.48</v>
      </c>
      <c r="O83" s="79">
        <f>SUMIFS(tblData[Depreciation],tblData[Scenario],"Forecast",tblData[Year],selFY,tblData[Month],O$5)/Unit</f>
        <v>-1.48</v>
      </c>
      <c r="P83" s="79">
        <f t="shared" si="2"/>
        <v>-17.760000000000002</v>
      </c>
    </row>
    <row r="84" spans="1:16" x14ac:dyDescent="0.25">
      <c r="A84" s="77" t="s">
        <v>92</v>
      </c>
      <c r="B84" s="77" t="s">
        <v>21</v>
      </c>
      <c r="D84" s="79">
        <f>SUMIFS(tblData[Net Interest],tblData[Scenario],"Forecast",tblData[Year],selFY,tblData[Month],D$5)/Unit</f>
        <v>-0.71199999999999997</v>
      </c>
      <c r="E84" s="79">
        <f>SUMIFS(tblData[Net Interest],tblData[Scenario],"Forecast",tblData[Year],selFY,tblData[Month],E$5)/Unit</f>
        <v>-0.71199999999999997</v>
      </c>
      <c r="F84" s="79">
        <f>SUMIFS(tblData[Net Interest],tblData[Scenario],"Forecast",tblData[Year],selFY,tblData[Month],F$5)/Unit</f>
        <v>-0.71199999999999997</v>
      </c>
      <c r="G84" s="79">
        <f>SUMIFS(tblData[Net Interest],tblData[Scenario],"Forecast",tblData[Year],selFY,tblData[Month],G$5)/Unit</f>
        <v>-0.70299999999999996</v>
      </c>
      <c r="H84" s="79">
        <f>SUMIFS(tblData[Net Interest],tblData[Scenario],"Forecast",tblData[Year],selFY,tblData[Month],H$5)/Unit</f>
        <v>-0.70299999999999996</v>
      </c>
      <c r="I84" s="79">
        <f>SUMIFS(tblData[Net Interest],tblData[Scenario],"Forecast",tblData[Year],selFY,tblData[Month],I$5)/Unit</f>
        <v>-0.70299999999999996</v>
      </c>
      <c r="J84" s="79">
        <f>SUMIFS(tblData[Net Interest],tblData[Scenario],"Forecast",tblData[Year],selFY,tblData[Month],J$5)/Unit</f>
        <v>-0.69399999999999995</v>
      </c>
      <c r="K84" s="79">
        <f>SUMIFS(tblData[Net Interest],tblData[Scenario],"Forecast",tblData[Year],selFY,tblData[Month],K$5)/Unit</f>
        <v>-0.69399999999999995</v>
      </c>
      <c r="L84" s="79">
        <f>SUMIFS(tblData[Net Interest],tblData[Scenario],"Forecast",tblData[Year],selFY,tblData[Month],L$5)/Unit</f>
        <v>-0.69399999999999995</v>
      </c>
      <c r="M84" s="79">
        <f>SUMIFS(tblData[Net Interest],tblData[Scenario],"Forecast",tblData[Year],selFY,tblData[Month],M$5)/Unit</f>
        <v>-0.68400000000000005</v>
      </c>
      <c r="N84" s="79">
        <f>SUMIFS(tblData[Net Interest],tblData[Scenario],"Forecast",tblData[Year],selFY,tblData[Month],N$5)/Unit</f>
        <v>-0.68400000000000005</v>
      </c>
      <c r="O84" s="79">
        <f>SUMIFS(tblData[Net Interest],tblData[Scenario],"Forecast",tblData[Year],selFY,tblData[Month],O$5)/Unit</f>
        <v>-0.68400000000000005</v>
      </c>
      <c r="P84" s="79">
        <f t="shared" si="2"/>
        <v>-8.3789999999999996</v>
      </c>
    </row>
    <row r="85" spans="1:16" x14ac:dyDescent="0.25">
      <c r="A85" s="77" t="s">
        <v>92</v>
      </c>
      <c r="B85" s="77" t="s">
        <v>22</v>
      </c>
      <c r="D85" s="79">
        <f>SUMIFS(tblData[Tax],tblData[Scenario],"Forecast",tblData[Year],selFY,tblData[Month],D$5)/Unit</f>
        <v>-0.84599999999999997</v>
      </c>
      <c r="E85" s="79">
        <f>SUMIFS(tblData[Tax],tblData[Scenario],"Forecast",tblData[Year],selFY,tblData[Month],E$5)/Unit</f>
        <v>-0.94499999999999995</v>
      </c>
      <c r="F85" s="79">
        <f>SUMIFS(tblData[Tax],tblData[Scenario],"Forecast",tblData[Year],selFY,tblData[Month],F$5)/Unit</f>
        <v>-1.3360000000000001</v>
      </c>
      <c r="G85" s="79">
        <f>SUMIFS(tblData[Tax],tblData[Scenario],"Forecast",tblData[Year],selFY,tblData[Month],G$5)/Unit</f>
        <v>-1.4370000000000001</v>
      </c>
      <c r="H85" s="79">
        <f>SUMIFS(tblData[Tax],tblData[Scenario],"Forecast",tblData[Year],selFY,tblData[Month],H$5)/Unit</f>
        <v>-1.532</v>
      </c>
      <c r="I85" s="79">
        <f>SUMIFS(tblData[Tax],tblData[Scenario],"Forecast",tblData[Year],selFY,tblData[Month],I$5)/Unit</f>
        <v>-1.629</v>
      </c>
      <c r="J85" s="79">
        <f>SUMIFS(tblData[Tax],tblData[Scenario],"Forecast",tblData[Year],selFY,tblData[Month],J$5)/Unit</f>
        <v>-1.5209999999999999</v>
      </c>
      <c r="K85" s="79">
        <f>SUMIFS(tblData[Tax],tblData[Scenario],"Forecast",tblData[Year],selFY,tblData[Month],K$5)/Unit</f>
        <v>-1.617</v>
      </c>
      <c r="L85" s="79">
        <f>SUMIFS(tblData[Tax],tblData[Scenario],"Forecast",tblData[Year],selFY,tblData[Month],L$5)/Unit</f>
        <v>-2.0099999999999998</v>
      </c>
      <c r="M85" s="79">
        <f>SUMIFS(tblData[Tax],tblData[Scenario],"Forecast",tblData[Year],selFY,tblData[Month],M$5)/Unit</f>
        <v>-2.411</v>
      </c>
      <c r="N85" s="79">
        <f>SUMIFS(tblData[Tax],tblData[Scenario],"Forecast",tblData[Year],selFY,tblData[Month],N$5)/Unit</f>
        <v>-2.6789999999999998</v>
      </c>
      <c r="O85" s="79">
        <f>SUMIFS(tblData[Tax],tblData[Scenario],"Forecast",tblData[Year],selFY,tblData[Month],O$5)/Unit</f>
        <v>-2.2749999999999999</v>
      </c>
      <c r="P85" s="79">
        <f t="shared" si="2"/>
        <v>-20.237999999999996</v>
      </c>
    </row>
    <row r="86" spans="1:16" x14ac:dyDescent="0.25">
      <c r="A86" s="77" t="s">
        <v>92</v>
      </c>
      <c r="B86" s="77" t="s">
        <v>23</v>
      </c>
      <c r="D86" s="79">
        <f>SUMIFS(tblData[Capex],tblData[Scenario],"Forecast",tblData[Year],selFY,tblData[Month],D$5)/Unit</f>
        <v>-1.119</v>
      </c>
      <c r="E86" s="79">
        <f>SUMIFS(tblData[Capex],tblData[Scenario],"Forecast",tblData[Year],selFY,tblData[Month],E$5)/Unit</f>
        <v>-1.1539999999999999</v>
      </c>
      <c r="F86" s="79">
        <f>SUMIFS(tblData[Capex],tblData[Scenario],"Forecast",tblData[Year],selFY,tblData[Month],F$5)/Unit</f>
        <v>-1.288</v>
      </c>
      <c r="G86" s="79">
        <f>SUMIFS(tblData[Capex],tblData[Scenario],"Forecast",tblData[Year],selFY,tblData[Month],G$5)/Unit</f>
        <v>-1.323</v>
      </c>
      <c r="H86" s="79">
        <f>SUMIFS(tblData[Capex],tblData[Scenario],"Forecast",tblData[Year],selFY,tblData[Month],H$5)/Unit</f>
        <v>-1.357</v>
      </c>
      <c r="I86" s="79">
        <f>SUMIFS(tblData[Capex],tblData[Scenario],"Forecast",tblData[Year],selFY,tblData[Month],I$5)/Unit</f>
        <v>-1.391</v>
      </c>
      <c r="J86" s="79">
        <f>SUMIFS(tblData[Capex],tblData[Scenario],"Forecast",tblData[Year],selFY,tblData[Month],J$5)/Unit</f>
        <v>-1.2889999999999999</v>
      </c>
      <c r="K86" s="79">
        <f>SUMIFS(tblData[Capex],tblData[Scenario],"Forecast",tblData[Year],selFY,tblData[Month],K$5)/Unit</f>
        <v>-1.321</v>
      </c>
      <c r="L86" s="79">
        <f>SUMIFS(tblData[Capex],tblData[Scenario],"Forecast",tblData[Year],selFY,tblData[Month],L$5)/Unit</f>
        <v>-1.4490000000000001</v>
      </c>
      <c r="M86" s="79">
        <f>SUMIFS(tblData[Capex],tblData[Scenario],"Forecast",tblData[Year],selFY,tblData[Month],M$5)/Unit</f>
        <v>-1.579</v>
      </c>
      <c r="N86" s="79">
        <f>SUMIFS(tblData[Capex],tblData[Scenario],"Forecast",tblData[Year],selFY,tblData[Month],N$5)/Unit</f>
        <v>-1.6759999999999999</v>
      </c>
      <c r="O86" s="79">
        <f>SUMIFS(tblData[Capex],tblData[Scenario],"Forecast",tblData[Year],selFY,tblData[Month],O$5)/Unit</f>
        <v>-1.5469999999999999</v>
      </c>
      <c r="P86" s="79">
        <f t="shared" si="2"/>
        <v>-16.493000000000002</v>
      </c>
    </row>
    <row r="87" spans="1:16" x14ac:dyDescent="0.25">
      <c r="A87" s="77" t="s">
        <v>92</v>
      </c>
      <c r="B87" s="77" t="s">
        <v>24</v>
      </c>
      <c r="C87" s="79">
        <f>O112</f>
        <v>72.138999999999996</v>
      </c>
      <c r="D87" s="79">
        <f>SUMIFS(tblData[Receivables],tblData[Scenario],"Forecast",tblData[Year],selFY,tblData[Month],D$5)/Unit</f>
        <v>53.395000000000003</v>
      </c>
      <c r="E87" s="79">
        <f>SUMIFS(tblData[Receivables],tblData[Scenario],"Forecast",tblData[Year],selFY,tblData[Month],E$5)/Unit</f>
        <v>54.222999999999999</v>
      </c>
      <c r="F87" s="79">
        <f>SUMIFS(tblData[Receivables],tblData[Scenario],"Forecast",tblData[Year],selFY,tblData[Month],F$5)/Unit</f>
        <v>56.634999999999998</v>
      </c>
      <c r="G87" s="79">
        <f>SUMIFS(tblData[Receivables],tblData[Scenario],"Forecast",tblData[Year],selFY,tblData[Month],G$5)/Unit</f>
        <v>59.883000000000003</v>
      </c>
      <c r="H87" s="79">
        <f>SUMIFS(tblData[Receivables],tblData[Scenario],"Forecast",tblData[Year],selFY,tblData[Month],H$5)/Unit</f>
        <v>63.113999999999997</v>
      </c>
      <c r="I87" s="79">
        <f>SUMIFS(tblData[Receivables],tblData[Scenario],"Forecast",tblData[Year],selFY,tblData[Month],I$5)/Unit</f>
        <v>64.763000000000005</v>
      </c>
      <c r="J87" s="79">
        <f>SUMIFS(tblData[Receivables],tblData[Scenario],"Forecast",tblData[Year],selFY,tblData[Month],J$5)/Unit</f>
        <v>65.272000000000006</v>
      </c>
      <c r="K87" s="79">
        <f>SUMIFS(tblData[Receivables],tblData[Scenario],"Forecast",tblData[Year],selFY,tblData[Month],K$5)/Unit</f>
        <v>65.802000000000007</v>
      </c>
      <c r="L87" s="79">
        <f>SUMIFS(tblData[Receivables],tblData[Scenario],"Forecast",tblData[Year],selFY,tblData[Month],L$5)/Unit</f>
        <v>67.912999999999997</v>
      </c>
      <c r="M87" s="79">
        <f>SUMIFS(tblData[Receivables],tblData[Scenario],"Forecast",tblData[Year],selFY,tblData[Month],M$5)/Unit</f>
        <v>72.766999999999996</v>
      </c>
      <c r="N87" s="79">
        <f>SUMIFS(tblData[Receivables],tblData[Scenario],"Forecast",tblData[Year],selFY,tblData[Month],N$5)/Unit</f>
        <v>80.292000000000002</v>
      </c>
      <c r="O87" s="79">
        <f>SUMIFS(tblData[Receivables],tblData[Scenario],"Forecast",tblData[Year],selFY,tblData[Month],O$5)/Unit</f>
        <v>81.864999999999995</v>
      </c>
    </row>
    <row r="88" spans="1:16" x14ac:dyDescent="0.25">
      <c r="A88" s="77" t="s">
        <v>92</v>
      </c>
      <c r="B88" s="77" t="s">
        <v>25</v>
      </c>
      <c r="C88" s="79">
        <f>O113</f>
        <v>59.533000000000001</v>
      </c>
      <c r="D88" s="79">
        <f>SUMIFS(tblData[Inventory],tblData[Scenario],"Forecast",tblData[Year],selFY,tblData[Month],D$5)/Unit</f>
        <v>46.802999999999997</v>
      </c>
      <c r="E88" s="79">
        <f>SUMIFS(tblData[Inventory],tblData[Scenario],"Forecast",tblData[Year],selFY,tblData[Month],E$5)/Unit</f>
        <v>47.518999999999998</v>
      </c>
      <c r="F88" s="79">
        <f>SUMIFS(tblData[Inventory],tblData[Scenario],"Forecast",tblData[Year],selFY,tblData[Month],F$5)/Unit</f>
        <v>49.637</v>
      </c>
      <c r="G88" s="79">
        <f>SUMIFS(tblData[Inventory],tblData[Scenario],"Forecast",tblData[Year],selFY,tblData[Month],G$5)/Unit</f>
        <v>52.484000000000002</v>
      </c>
      <c r="H88" s="79">
        <f>SUMIFS(tblData[Inventory],tblData[Scenario],"Forecast",tblData[Year],selFY,tblData[Month],H$5)/Unit</f>
        <v>55.311</v>
      </c>
      <c r="I88" s="79">
        <f>SUMIFS(tblData[Inventory],tblData[Scenario],"Forecast",tblData[Year],selFY,tblData[Month],I$5)/Unit</f>
        <v>56.743000000000002</v>
      </c>
      <c r="J88" s="79">
        <f>SUMIFS(tblData[Inventory],tblData[Scenario],"Forecast",tblData[Year],selFY,tblData[Month],J$5)/Unit</f>
        <v>57.185000000000002</v>
      </c>
      <c r="K88" s="79">
        <f>SUMIFS(tblData[Inventory],tblData[Scenario],"Forecast",tblData[Year],selFY,tblData[Month],K$5)/Unit</f>
        <v>57.646000000000001</v>
      </c>
      <c r="L88" s="79">
        <f>SUMIFS(tblData[Inventory],tblData[Scenario],"Forecast",tblData[Year],selFY,tblData[Month],L$5)/Unit</f>
        <v>59.502000000000002</v>
      </c>
      <c r="M88" s="79">
        <f>SUMIFS(tblData[Inventory],tblData[Scenario],"Forecast",tblData[Year],selFY,tblData[Month],M$5)/Unit</f>
        <v>63.759</v>
      </c>
      <c r="N88" s="79">
        <f>SUMIFS(tblData[Inventory],tblData[Scenario],"Forecast",tblData[Year],selFY,tblData[Month],N$5)/Unit</f>
        <v>70.515000000000001</v>
      </c>
      <c r="O88" s="79">
        <f>SUMIFS(tblData[Inventory],tblData[Scenario],"Forecast",tblData[Year],selFY,tblData[Month],O$5)/Unit</f>
        <v>72.058999999999997</v>
      </c>
    </row>
    <row r="89" spans="1:16" x14ac:dyDescent="0.25">
      <c r="A89" s="77" t="s">
        <v>92</v>
      </c>
      <c r="B89" s="77" t="s">
        <v>26</v>
      </c>
      <c r="C89" s="79">
        <f>O114</f>
        <v>36.884</v>
      </c>
      <c r="D89" s="79">
        <f>SUMIFS(tblData[Payables],tblData[Scenario],"Forecast",tblData[Year],selFY,tblData[Month],D$5)/Unit</f>
        <v>27.81</v>
      </c>
      <c r="E89" s="79">
        <f>SUMIFS(tblData[Payables],tblData[Scenario],"Forecast",tblData[Year],selFY,tblData[Month],E$5)/Unit</f>
        <v>28.667000000000002</v>
      </c>
      <c r="F89" s="79">
        <f>SUMIFS(tblData[Payables],tblData[Scenario],"Forecast",tblData[Year],selFY,tblData[Month],F$5)/Unit</f>
        <v>32.011000000000003</v>
      </c>
      <c r="G89" s="79">
        <f>SUMIFS(tblData[Payables],tblData[Scenario],"Forecast",tblData[Year],selFY,tblData[Month],G$5)/Unit</f>
        <v>32.887</v>
      </c>
      <c r="H89" s="79">
        <f>SUMIFS(tblData[Payables],tblData[Scenario],"Forecast",tblData[Year],selFY,tblData[Month],H$5)/Unit</f>
        <v>33.704999999999998</v>
      </c>
      <c r="I89" s="79">
        <f>SUMIFS(tblData[Payables],tblData[Scenario],"Forecast",tblData[Year],selFY,tblData[Month],I$5)/Unit</f>
        <v>34.569000000000003</v>
      </c>
      <c r="J89" s="79">
        <f>SUMIFS(tblData[Payables],tblData[Scenario],"Forecast",tblData[Year],selFY,tblData[Month],J$5)/Unit</f>
        <v>33.683</v>
      </c>
      <c r="K89" s="79">
        <f>SUMIFS(tblData[Payables],tblData[Scenario],"Forecast",tblData[Year],selFY,tblData[Month],K$5)/Unit</f>
        <v>34.524000000000001</v>
      </c>
      <c r="L89" s="79">
        <f>SUMIFS(tblData[Payables],tblData[Scenario],"Forecast",tblData[Year],selFY,tblData[Month],L$5)/Unit</f>
        <v>37.874000000000002</v>
      </c>
      <c r="M89" s="79">
        <f>SUMIFS(tblData[Payables],tblData[Scenario],"Forecast",tblData[Year],selFY,tblData[Month],M$5)/Unit</f>
        <v>41.271000000000001</v>
      </c>
      <c r="N89" s="79">
        <f>SUMIFS(tblData[Payables],tblData[Scenario],"Forecast",tblData[Year],selFY,tblData[Month],N$5)/Unit</f>
        <v>44.018000000000001</v>
      </c>
      <c r="O89" s="79">
        <f>SUMIFS(tblData[Payables],tblData[Scenario],"Forecast",tblData[Year],selFY,tblData[Month],O$5)/Unit</f>
        <v>40.616</v>
      </c>
    </row>
    <row r="90" spans="1:16" x14ac:dyDescent="0.25">
      <c r="A90" s="77" t="s">
        <v>92</v>
      </c>
      <c r="B90" s="77" t="s">
        <v>27</v>
      </c>
      <c r="D90" s="79">
        <f>SUMIFS(tblData[Cash],tblData[Scenario],"Forecast",tblData[Year],selFY,tblData[Month],D$5)/Unit</f>
        <v>64.441000000000003</v>
      </c>
      <c r="E90" s="79">
        <f>SUMIFS(tblData[Cash],tblData[Scenario],"Forecast",tblData[Year],selFY,tblData[Month],E$5)/Unit</f>
        <v>66.918000000000006</v>
      </c>
      <c r="F90" s="79">
        <f>SUMIFS(tblData[Cash],tblData[Scenario],"Forecast",tblData[Year],selFY,tblData[Month],F$5)/Unit</f>
        <v>67.430999999999997</v>
      </c>
      <c r="G90" s="79">
        <f>SUMIFS(tblData[Cash],tblData[Scenario],"Forecast",tblData[Year],selFY,tblData[Month],G$5)/Unit</f>
        <v>66.680000000000007</v>
      </c>
      <c r="H90" s="79">
        <f>SUMIFS(tblData[Cash],tblData[Scenario],"Forecast",tblData[Year],selFY,tblData[Month],H$5)/Unit</f>
        <v>48.164000000000001</v>
      </c>
      <c r="I90" s="79">
        <f>SUMIFS(tblData[Cash],tblData[Scenario],"Forecast",tblData[Year],selFY,tblData[Month],I$5)/Unit</f>
        <v>48.423000000000002</v>
      </c>
      <c r="J90" s="79">
        <f>SUMIFS(tblData[Cash],tblData[Scenario],"Forecast",tblData[Year],selFY,tblData[Month],J$5)/Unit</f>
        <v>51.334000000000003</v>
      </c>
      <c r="K90" s="79">
        <f>SUMIFS(tblData[Cash],tblData[Scenario],"Forecast",tblData[Year],selFY,tblData[Month],K$5)/Unit</f>
        <v>56.195999999999998</v>
      </c>
      <c r="L90" s="79">
        <f>SUMIFS(tblData[Cash],tblData[Scenario],"Forecast",tblData[Year],selFY,tblData[Month],L$5)/Unit</f>
        <v>59.140999999999998</v>
      </c>
      <c r="M90" s="79">
        <f>SUMIFS(tblData[Cash],tblData[Scenario],"Forecast",tblData[Year],selFY,tblData[Month],M$5)/Unit</f>
        <v>60.555999999999997</v>
      </c>
      <c r="N90" s="79">
        <f>SUMIFS(tblData[Cash],tblData[Scenario],"Forecast",tblData[Year],selFY,tblData[Month],N$5)/Unit</f>
        <v>56.868000000000002</v>
      </c>
      <c r="O90" s="79">
        <f>SUMIFS(tblData[Cash],tblData[Scenario],"Forecast",tblData[Year],selFY,tblData[Month],O$5)/Unit</f>
        <v>54.603999999999999</v>
      </c>
    </row>
    <row r="91" spans="1:16" x14ac:dyDescent="0.25">
      <c r="A91" s="77" t="s">
        <v>92</v>
      </c>
      <c r="B91" s="77" t="s">
        <v>28</v>
      </c>
      <c r="D91" s="79">
        <f>SUMIFS(tblData[Gross Debt],tblData[Scenario],"Forecast",tblData[Year],selFY,tblData[Month],D$5)/Unit</f>
        <v>190</v>
      </c>
      <c r="E91" s="79">
        <f>SUMIFS(tblData[Gross Debt],tblData[Scenario],"Forecast",tblData[Year],selFY,tblData[Month],E$5)/Unit</f>
        <v>190</v>
      </c>
      <c r="F91" s="79">
        <f>SUMIFS(tblData[Gross Debt],tblData[Scenario],"Forecast",tblData[Year],selFY,tblData[Month],F$5)/Unit</f>
        <v>187.5</v>
      </c>
      <c r="G91" s="79">
        <f>SUMIFS(tblData[Gross Debt],tblData[Scenario],"Forecast",tblData[Year],selFY,tblData[Month],G$5)/Unit</f>
        <v>187.5</v>
      </c>
      <c r="H91" s="79">
        <f>SUMIFS(tblData[Gross Debt],tblData[Scenario],"Forecast",tblData[Year],selFY,tblData[Month],H$5)/Unit</f>
        <v>187.5</v>
      </c>
      <c r="I91" s="79">
        <f>SUMIFS(tblData[Gross Debt],tblData[Scenario],"Forecast",tblData[Year],selFY,tblData[Month],I$5)/Unit</f>
        <v>185</v>
      </c>
      <c r="J91" s="79">
        <f>SUMIFS(tblData[Gross Debt],tblData[Scenario],"Forecast",tblData[Year],selFY,tblData[Month],J$5)/Unit</f>
        <v>185</v>
      </c>
      <c r="K91" s="79">
        <f>SUMIFS(tblData[Gross Debt],tblData[Scenario],"Forecast",tblData[Year],selFY,tblData[Month],K$5)/Unit</f>
        <v>185</v>
      </c>
      <c r="L91" s="79">
        <f>SUMIFS(tblData[Gross Debt],tblData[Scenario],"Forecast",tblData[Year],selFY,tblData[Month],L$5)/Unit</f>
        <v>182.5</v>
      </c>
      <c r="M91" s="79">
        <f>SUMIFS(tblData[Gross Debt],tblData[Scenario],"Forecast",tblData[Year],selFY,tblData[Month],M$5)/Unit</f>
        <v>182.5</v>
      </c>
      <c r="N91" s="79">
        <f>SUMIFS(tblData[Gross Debt],tblData[Scenario],"Forecast",tblData[Year],selFY,tblData[Month],N$5)/Unit</f>
        <v>182.5</v>
      </c>
      <c r="O91" s="79">
        <f>SUMIFS(tblData[Gross Debt],tblData[Scenario],"Forecast",tblData[Year],selFY,tblData[Month],O$5)/Unit</f>
        <v>180</v>
      </c>
    </row>
    <row r="92" spans="1:16" x14ac:dyDescent="0.25">
      <c r="A92" s="77" t="s">
        <v>92</v>
      </c>
      <c r="B92" s="77" t="s">
        <v>29</v>
      </c>
      <c r="D92" s="79">
        <f>SUMIFS(tblData[Headcount],tblData[Scenario],"Forecast",tblData[Year],selFY,tblData[Month],D$5)</f>
        <v>1175</v>
      </c>
      <c r="E92" s="79">
        <f>SUMIFS(tblData[Headcount],tblData[Scenario],"Forecast",tblData[Year],selFY,tblData[Month],E$5)</f>
        <v>1177</v>
      </c>
      <c r="F92" s="79">
        <f>SUMIFS(tblData[Headcount],tblData[Scenario],"Forecast",tblData[Year],selFY,tblData[Month],F$5)</f>
        <v>1180</v>
      </c>
      <c r="G92" s="79">
        <f>SUMIFS(tblData[Headcount],tblData[Scenario],"Forecast",tblData[Year],selFY,tblData[Month],G$5)</f>
        <v>1182</v>
      </c>
      <c r="H92" s="79">
        <f>SUMIFS(tblData[Headcount],tblData[Scenario],"Forecast",tblData[Year],selFY,tblData[Month],H$5)</f>
        <v>1185</v>
      </c>
      <c r="I92" s="79">
        <f>SUMIFS(tblData[Headcount],tblData[Scenario],"Forecast",tblData[Year],selFY,tblData[Month],I$5)</f>
        <v>1187</v>
      </c>
      <c r="J92" s="79">
        <f>SUMIFS(tblData[Headcount],tblData[Scenario],"Forecast",tblData[Year],selFY,tblData[Month],J$5)</f>
        <v>1190</v>
      </c>
      <c r="K92" s="79">
        <f>SUMIFS(tblData[Headcount],tblData[Scenario],"Forecast",tblData[Year],selFY,tblData[Month],K$5)</f>
        <v>1192</v>
      </c>
      <c r="L92" s="79">
        <f>SUMIFS(tblData[Headcount],tblData[Scenario],"Forecast",tblData[Year],selFY,tblData[Month],L$5)</f>
        <v>1195</v>
      </c>
      <c r="M92" s="79">
        <f>SUMIFS(tblData[Headcount],tblData[Scenario],"Forecast",tblData[Year],selFY,tblData[Month],M$5)</f>
        <v>1197</v>
      </c>
      <c r="N92" s="79">
        <f>SUMIFS(tblData[Headcount],tblData[Scenario],"Forecast",tblData[Year],selFY,tblData[Month],N$5)</f>
        <v>1200</v>
      </c>
      <c r="O92" s="79">
        <f>SUMIFS(tblData[Headcount],tblData[Scenario],"Forecast",tblData[Year],selFY,tblData[Month],O$5)</f>
        <v>1202</v>
      </c>
    </row>
    <row r="93" spans="1:16" x14ac:dyDescent="0.25">
      <c r="A93" s="77" t="s">
        <v>93</v>
      </c>
      <c r="B93" s="77" t="s">
        <v>5</v>
      </c>
      <c r="D93" s="79">
        <f>SUMIFS(tblData[Units],tblData[Scenario],"Actual",tblData[Year],selFY-1,tblData[Month],D$5)</f>
        <v>4100.3000000000011</v>
      </c>
      <c r="E93" s="79">
        <f>SUMIFS(tblData[Units],tblData[Scenario],"Actual",tblData[Year],selFY-1,tblData[Month],E$5)</f>
        <v>4209.2000000000007</v>
      </c>
      <c r="F93" s="79">
        <f>SUMIFS(tblData[Units],tblData[Scenario],"Actual",tblData[Year],selFY-1,tblData[Month],F$5)</f>
        <v>4719.1000000000013</v>
      </c>
      <c r="G93" s="79">
        <f>SUMIFS(tblData[Units],tblData[Scenario],"Actual",tblData[Year],selFY-1,tblData[Month],G$5)</f>
        <v>4861</v>
      </c>
      <c r="H93" s="79">
        <f>SUMIFS(tblData[Units],tblData[Scenario],"Actual",tblData[Year],selFY-1,tblData[Month],H$5)</f>
        <v>4952.1999999999971</v>
      </c>
      <c r="I93" s="79">
        <f>SUMIFS(tblData[Units],tblData[Scenario],"Actual",tblData[Year],selFY-1,tblData[Month],I$5)</f>
        <v>5118.1000000000031</v>
      </c>
      <c r="J93" s="79">
        <f>SUMIFS(tblData[Units],tblData[Scenario],"Actual",tblData[Year],selFY-1,tblData[Month],J$5)</f>
        <v>4970.9999999999991</v>
      </c>
      <c r="K93" s="79">
        <f>SUMIFS(tblData[Units],tblData[Scenario],"Actual",tblData[Year],selFY-1,tblData[Month],K$5)</f>
        <v>5100.1000000000013</v>
      </c>
      <c r="L93" s="79">
        <f>SUMIFS(tblData[Units],tblData[Scenario],"Actual",tblData[Year],selFY-1,tblData[Month],L$5)</f>
        <v>5577.1000000000013</v>
      </c>
      <c r="M93" s="79">
        <f>SUMIFS(tblData[Units],tblData[Scenario],"Actual",tblData[Year],selFY-1,tblData[Month],M$5)</f>
        <v>6092.3999999999969</v>
      </c>
      <c r="N93" s="79">
        <f>SUMIFS(tblData[Units],tblData[Scenario],"Actual",tblData[Year],selFY-1,tblData[Month],N$5)</f>
        <v>6462.0999999999976</v>
      </c>
      <c r="O93" s="79">
        <f>SUMIFS(tblData[Units],tblData[Scenario],"Actual",tblData[Year],selFY-1,tblData[Month],O$5)</f>
        <v>5924.1</v>
      </c>
      <c r="P93" s="79">
        <f t="shared" ref="P93:P111" si="3">SUM(D93:O93)</f>
        <v>62086.69999999999</v>
      </c>
    </row>
    <row r="94" spans="1:16" x14ac:dyDescent="0.25">
      <c r="A94" s="77" t="s">
        <v>93</v>
      </c>
      <c r="B94" s="77" t="s">
        <v>6</v>
      </c>
      <c r="D94" s="79">
        <f>SUMIFS(tblData[Gross Sales],tblData[Scenario],"Actual",tblData[Year],selFY-1,tblData[Month],D$5)/Unit</f>
        <v>38.220999999999997</v>
      </c>
      <c r="E94" s="79">
        <f>SUMIFS(tblData[Gross Sales],tblData[Scenario],"Actual",tblData[Year],selFY-1,tblData[Month],E$5)/Unit</f>
        <v>39.238999999999997</v>
      </c>
      <c r="F94" s="79">
        <f>SUMIFS(tblData[Gross Sales],tblData[Scenario],"Actual",tblData[Year],selFY-1,tblData[Month],F$5)/Unit</f>
        <v>43.933999999999997</v>
      </c>
      <c r="G94" s="79">
        <f>SUMIFS(tblData[Gross Sales],tblData[Scenario],"Actual",tblData[Year],selFY-1,tblData[Month],G$5)/Unit</f>
        <v>45.332999999999998</v>
      </c>
      <c r="H94" s="79">
        <f>SUMIFS(tblData[Gross Sales],tblData[Scenario],"Actual",tblData[Year],selFY-1,tblData[Month],H$5)/Unit</f>
        <v>46.284999999999997</v>
      </c>
      <c r="I94" s="79">
        <f>SUMIFS(tblData[Gross Sales],tblData[Scenario],"Actual",tblData[Year],selFY-1,tblData[Month],I$5)/Unit</f>
        <v>47.691000000000003</v>
      </c>
      <c r="J94" s="79">
        <f>SUMIFS(tblData[Gross Sales],tblData[Scenario],"Actual",tblData[Year],selFY-1,tblData[Month],J$5)/Unit</f>
        <v>46.378999999999998</v>
      </c>
      <c r="K94" s="79">
        <f>SUMIFS(tblData[Gross Sales],tblData[Scenario],"Actual",tblData[Year],selFY-1,tblData[Month],K$5)/Unit</f>
        <v>47.503999999999998</v>
      </c>
      <c r="L94" s="79">
        <f>SUMIFS(tblData[Gross Sales],tblData[Scenario],"Actual",tblData[Year],selFY-1,tblData[Month],L$5)/Unit</f>
        <v>51.933999999999997</v>
      </c>
      <c r="M94" s="79">
        <f>SUMIFS(tblData[Gross Sales],tblData[Scenario],"Actual",tblData[Year],selFY-1,tblData[Month],M$5)/Unit</f>
        <v>56.872999999999998</v>
      </c>
      <c r="N94" s="79">
        <f>SUMIFS(tblData[Gross Sales],tblData[Scenario],"Actual",tblData[Year],selFY-1,tblData[Month],N$5)/Unit</f>
        <v>60.106999999999999</v>
      </c>
      <c r="O94" s="79">
        <f>SUMIFS(tblData[Gross Sales],tblData[Scenario],"Actual",tblData[Year],selFY-1,tblData[Month],O$5)/Unit</f>
        <v>55.320999999999998</v>
      </c>
      <c r="P94" s="79">
        <f t="shared" si="3"/>
        <v>578.82100000000003</v>
      </c>
    </row>
    <row r="95" spans="1:16" x14ac:dyDescent="0.25">
      <c r="A95" s="77" t="s">
        <v>93</v>
      </c>
      <c r="B95" s="77" t="s">
        <v>7</v>
      </c>
      <c r="D95" s="79">
        <f>SUMIFS(tblData[Trade Discounts],tblData[Scenario],"Actual",tblData[Year],selFY-1,tblData[Month],D$5)/Unit</f>
        <v>-5.7889999999999997</v>
      </c>
      <c r="E95" s="79">
        <f>SUMIFS(tblData[Trade Discounts],tblData[Scenario],"Actual",tblData[Year],selFY-1,tblData[Month],E$5)/Unit</f>
        <v>-5.9370000000000003</v>
      </c>
      <c r="F95" s="79">
        <f>SUMIFS(tblData[Trade Discounts],tblData[Scenario],"Actual",tblData[Year],selFY-1,tblData[Month],F$5)/Unit</f>
        <v>-6.6470000000000002</v>
      </c>
      <c r="G95" s="79">
        <f>SUMIFS(tblData[Trade Discounts],tblData[Scenario],"Actual",tblData[Year],selFY-1,tblData[Month],G$5)/Unit</f>
        <v>-6.8609999999999998</v>
      </c>
      <c r="H95" s="79">
        <f>SUMIFS(tblData[Trade Discounts],tblData[Scenario],"Actual",tblData[Year],selFY-1,tblData[Month],H$5)/Unit</f>
        <v>-7.0030000000000001</v>
      </c>
      <c r="I95" s="79">
        <f>SUMIFS(tblData[Trade Discounts],tblData[Scenario],"Actual",tblData[Year],selFY-1,tblData[Month],I$5)/Unit</f>
        <v>-7.226</v>
      </c>
      <c r="J95" s="79">
        <f>SUMIFS(tblData[Trade Discounts],tblData[Scenario],"Actual",tblData[Year],selFY-1,tblData[Month],J$5)/Unit</f>
        <v>-7.0110000000000001</v>
      </c>
      <c r="K95" s="79">
        <f>SUMIFS(tblData[Trade Discounts],tblData[Scenario],"Actual",tblData[Year],selFY-1,tblData[Month],K$5)/Unit</f>
        <v>-7.1879999999999997</v>
      </c>
      <c r="L95" s="79">
        <f>SUMIFS(tblData[Trade Discounts],tblData[Scenario],"Actual",tblData[Year],selFY-1,tblData[Month],L$5)/Unit</f>
        <v>-7.8630000000000004</v>
      </c>
      <c r="M95" s="79">
        <f>SUMIFS(tblData[Trade Discounts],tblData[Scenario],"Actual",tblData[Year],selFY-1,tblData[Month],M$5)/Unit</f>
        <v>-8.609</v>
      </c>
      <c r="N95" s="79">
        <f>SUMIFS(tblData[Trade Discounts],tblData[Scenario],"Actual",tblData[Year],selFY-1,tblData[Month],N$5)/Unit</f>
        <v>-9.0839999999999996</v>
      </c>
      <c r="O95" s="79">
        <f>SUMIFS(tblData[Trade Discounts],tblData[Scenario],"Actual",tblData[Year],selFY-1,tblData[Month],O$5)/Unit</f>
        <v>-8.3620000000000001</v>
      </c>
      <c r="P95" s="79">
        <f t="shared" si="3"/>
        <v>-87.58</v>
      </c>
    </row>
    <row r="96" spans="1:16" x14ac:dyDescent="0.25">
      <c r="A96" s="77" t="s">
        <v>93</v>
      </c>
      <c r="B96" s="77" t="s">
        <v>8</v>
      </c>
      <c r="D96" s="79">
        <f>SUMIFS(tblData[Returns],tblData[Scenario],"Actual",tblData[Year],selFY-1,tblData[Month],D$5)/Unit</f>
        <v>-0.71899999999999997</v>
      </c>
      <c r="E96" s="79">
        <f>SUMIFS(tblData[Returns],tblData[Scenario],"Actual",tblData[Year],selFY-1,tblData[Month],E$5)/Unit</f>
        <v>-0.74099999999999999</v>
      </c>
      <c r="F96" s="79">
        <f>SUMIFS(tblData[Returns],tblData[Scenario],"Actual",tblData[Year],selFY-1,tblData[Month],F$5)/Unit</f>
        <v>-0.83299999999999996</v>
      </c>
      <c r="G96" s="79">
        <f>SUMIFS(tblData[Returns],tblData[Scenario],"Actual",tblData[Year],selFY-1,tblData[Month],G$5)/Unit</f>
        <v>-0.85</v>
      </c>
      <c r="H96" s="79">
        <f>SUMIFS(tblData[Returns],tblData[Scenario],"Actual",tblData[Year],selFY-1,tblData[Month],H$5)/Unit</f>
        <v>-0.875</v>
      </c>
      <c r="I96" s="79">
        <f>SUMIFS(tblData[Returns],tblData[Scenario],"Actual",tblData[Year],selFY-1,tblData[Month],I$5)/Unit</f>
        <v>-0.89900000000000002</v>
      </c>
      <c r="J96" s="79">
        <f>SUMIFS(tblData[Returns],tblData[Scenario],"Actual",tblData[Year],selFY-1,tblData[Month],J$5)/Unit</f>
        <v>-0.876</v>
      </c>
      <c r="K96" s="79">
        <f>SUMIFS(tblData[Returns],tblData[Scenario],"Actual",tblData[Year],selFY-1,tblData[Month],K$5)/Unit</f>
        <v>-0.89800000000000002</v>
      </c>
      <c r="L96" s="79">
        <f>SUMIFS(tblData[Returns],tblData[Scenario],"Actual",tblData[Year],selFY-1,tblData[Month],L$5)/Unit</f>
        <v>-0.97799999999999998</v>
      </c>
      <c r="M96" s="79">
        <f>SUMIFS(tblData[Returns],tblData[Scenario],"Actual",tblData[Year],selFY-1,tblData[Month],M$5)/Unit</f>
        <v>-1.0720000000000001</v>
      </c>
      <c r="N96" s="79">
        <f>SUMIFS(tblData[Returns],tblData[Scenario],"Actual",tblData[Year],selFY-1,tblData[Month],N$5)/Unit</f>
        <v>-1.137</v>
      </c>
      <c r="O96" s="79">
        <f>SUMIFS(tblData[Returns],tblData[Scenario],"Actual",tblData[Year],selFY-1,tblData[Month],O$5)/Unit</f>
        <v>-1.0469999999999999</v>
      </c>
      <c r="P96" s="79">
        <f t="shared" si="3"/>
        <v>-10.925000000000001</v>
      </c>
    </row>
    <row r="97" spans="1:16" x14ac:dyDescent="0.25">
      <c r="A97" s="77" t="s">
        <v>93</v>
      </c>
      <c r="B97" s="77" t="s">
        <v>9</v>
      </c>
      <c r="D97" s="79">
        <f>SUMIFS(tblData[Material Cost],tblData[Scenario],"Actual",tblData[Year],selFY-1,tblData[Month],D$5)/Unit</f>
        <v>-9.6349999999999998</v>
      </c>
      <c r="E97" s="79">
        <f>SUMIFS(tblData[Material Cost],tblData[Scenario],"Actual",tblData[Year],selFY-1,tblData[Month],E$5)/Unit</f>
        <v>-9.8960000000000008</v>
      </c>
      <c r="F97" s="79">
        <f>SUMIFS(tblData[Material Cost],tblData[Scenario],"Actual",tblData[Year],selFY-1,tblData[Month],F$5)/Unit</f>
        <v>-11.077</v>
      </c>
      <c r="G97" s="79">
        <f>SUMIFS(tblData[Material Cost],tblData[Scenario],"Actual",tblData[Year],selFY-1,tblData[Month],G$5)/Unit</f>
        <v>-11.423999999999999</v>
      </c>
      <c r="H97" s="79">
        <f>SUMIFS(tblData[Material Cost],tblData[Scenario],"Actual",tblData[Year],selFY-1,tblData[Month],H$5)/Unit</f>
        <v>-11.657</v>
      </c>
      <c r="I97" s="79">
        <f>SUMIFS(tblData[Material Cost],tblData[Scenario],"Actual",tblData[Year],selFY-1,tblData[Month],I$5)/Unit</f>
        <v>-12.019</v>
      </c>
      <c r="J97" s="79">
        <f>SUMIFS(tblData[Material Cost],tblData[Scenario],"Actual",tblData[Year],selFY-1,tblData[Month],J$5)/Unit</f>
        <v>-11.683</v>
      </c>
      <c r="K97" s="79">
        <f>SUMIFS(tblData[Material Cost],tblData[Scenario],"Actual",tblData[Year],selFY-1,tblData[Month],K$5)/Unit</f>
        <v>-11.974</v>
      </c>
      <c r="L97" s="79">
        <f>SUMIFS(tblData[Material Cost],tblData[Scenario],"Actual",tblData[Year],selFY-1,tblData[Month],L$5)/Unit</f>
        <v>-13.098000000000001</v>
      </c>
      <c r="M97" s="79">
        <f>SUMIFS(tblData[Material Cost],tblData[Scenario],"Actual",tblData[Year],selFY-1,tblData[Month],M$5)/Unit</f>
        <v>-14.327999999999999</v>
      </c>
      <c r="N97" s="79">
        <f>SUMIFS(tblData[Material Cost],tblData[Scenario],"Actual",tblData[Year],selFY-1,tblData[Month],N$5)/Unit</f>
        <v>-15.157</v>
      </c>
      <c r="O97" s="79">
        <f>SUMIFS(tblData[Material Cost],tblData[Scenario],"Actual",tblData[Year],selFY-1,tblData[Month],O$5)/Unit</f>
        <v>-13.930999999999999</v>
      </c>
      <c r="P97" s="79">
        <f t="shared" si="3"/>
        <v>-145.87900000000002</v>
      </c>
    </row>
    <row r="98" spans="1:16" x14ac:dyDescent="0.25">
      <c r="A98" s="77" t="s">
        <v>93</v>
      </c>
      <c r="B98" s="77" t="s">
        <v>10</v>
      </c>
      <c r="D98" s="79">
        <f>SUMIFS(tblData[Conversion Cost],tblData[Scenario],"Actual",tblData[Year],selFY-1,tblData[Month],D$5)/Unit</f>
        <v>-2.444</v>
      </c>
      <c r="E98" s="79">
        <f>SUMIFS(tblData[Conversion Cost],tblData[Scenario],"Actual",tblData[Year],selFY-1,tblData[Month],E$5)/Unit</f>
        <v>-2.512</v>
      </c>
      <c r="F98" s="79">
        <f>SUMIFS(tblData[Conversion Cost],tblData[Scenario],"Actual",tblData[Year],selFY-1,tblData[Month],F$5)/Unit</f>
        <v>-2.8109999999999999</v>
      </c>
      <c r="G98" s="79">
        <f>SUMIFS(tblData[Conversion Cost],tblData[Scenario],"Actual",tblData[Year],selFY-1,tblData[Month],G$5)/Unit</f>
        <v>-2.9</v>
      </c>
      <c r="H98" s="79">
        <f>SUMIFS(tblData[Conversion Cost],tblData[Scenario],"Actual",tblData[Year],selFY-1,tblData[Month],H$5)/Unit</f>
        <v>-2.96</v>
      </c>
      <c r="I98" s="79">
        <f>SUMIFS(tblData[Conversion Cost],tblData[Scenario],"Actual",tblData[Year],selFY-1,tblData[Month],I$5)/Unit</f>
        <v>-3.0470000000000002</v>
      </c>
      <c r="J98" s="79">
        <f>SUMIFS(tblData[Conversion Cost],tblData[Scenario],"Actual",tblData[Year],selFY-1,tblData[Month],J$5)/Unit</f>
        <v>-2.9670000000000001</v>
      </c>
      <c r="K98" s="79">
        <f>SUMIFS(tblData[Conversion Cost],tblData[Scenario],"Actual",tblData[Year],selFY-1,tblData[Month],K$5)/Unit</f>
        <v>-3.0379999999999998</v>
      </c>
      <c r="L98" s="79">
        <f>SUMIFS(tblData[Conversion Cost],tblData[Scenario],"Actual",tblData[Year],selFY-1,tblData[Month],L$5)/Unit</f>
        <v>-3.3260000000000001</v>
      </c>
      <c r="M98" s="79">
        <f>SUMIFS(tblData[Conversion Cost],tblData[Scenario],"Actual",tblData[Year],selFY-1,tblData[Month],M$5)/Unit</f>
        <v>-3.637</v>
      </c>
      <c r="N98" s="79">
        <f>SUMIFS(tblData[Conversion Cost],tblData[Scenario],"Actual",tblData[Year],selFY-1,tblData[Month],N$5)/Unit</f>
        <v>-3.8479999999999999</v>
      </c>
      <c r="O98" s="79">
        <f>SUMIFS(tblData[Conversion Cost],tblData[Scenario],"Actual",tblData[Year],selFY-1,tblData[Month],O$5)/Unit</f>
        <v>-3.536</v>
      </c>
      <c r="P98" s="79">
        <f t="shared" si="3"/>
        <v>-37.026000000000003</v>
      </c>
    </row>
    <row r="99" spans="1:16" x14ac:dyDescent="0.25">
      <c r="A99" s="77" t="s">
        <v>93</v>
      </c>
      <c r="B99" s="77" t="s">
        <v>11</v>
      </c>
      <c r="D99" s="79">
        <f>SUMIFS(tblData[Inbound Freight],tblData[Scenario],"Actual",tblData[Year],selFY-1,tblData[Month],D$5)/Unit</f>
        <v>-1.2929999999999999</v>
      </c>
      <c r="E99" s="79">
        <f>SUMIFS(tblData[Inbound Freight],tblData[Scenario],"Actual",tblData[Year],selFY-1,tblData[Month],E$5)/Unit</f>
        <v>-1.3260000000000001</v>
      </c>
      <c r="F99" s="79">
        <f>SUMIFS(tblData[Inbound Freight],tblData[Scenario],"Actual",tblData[Year],selFY-1,tblData[Month],F$5)/Unit</f>
        <v>-1.486</v>
      </c>
      <c r="G99" s="79">
        <f>SUMIFS(tblData[Inbound Freight],tblData[Scenario],"Actual",tblData[Year],selFY-1,tblData[Month],G$5)/Unit</f>
        <v>-1.532</v>
      </c>
      <c r="H99" s="79">
        <f>SUMIFS(tblData[Inbound Freight],tblData[Scenario],"Actual",tblData[Year],selFY-1,tblData[Month],H$5)/Unit</f>
        <v>-1.5620000000000001</v>
      </c>
      <c r="I99" s="79">
        <f>SUMIFS(tblData[Inbound Freight],tblData[Scenario],"Actual",tblData[Year],selFY-1,tblData[Month],I$5)/Unit</f>
        <v>-1.613</v>
      </c>
      <c r="J99" s="79">
        <f>SUMIFS(tblData[Inbound Freight],tblData[Scenario],"Actual",tblData[Year],selFY-1,tblData[Month],J$5)/Unit</f>
        <v>-1.5640000000000001</v>
      </c>
      <c r="K99" s="79">
        <f>SUMIFS(tblData[Inbound Freight],tblData[Scenario],"Actual",tblData[Year],selFY-1,tblData[Month],K$5)/Unit</f>
        <v>-1.605</v>
      </c>
      <c r="L99" s="79">
        <f>SUMIFS(tblData[Inbound Freight],tblData[Scenario],"Actual",tblData[Year],selFY-1,tblData[Month],L$5)/Unit</f>
        <v>-1.758</v>
      </c>
      <c r="M99" s="79">
        <f>SUMIFS(tblData[Inbound Freight],tblData[Scenario],"Actual",tblData[Year],selFY-1,tblData[Month],M$5)/Unit</f>
        <v>-1.919</v>
      </c>
      <c r="N99" s="79">
        <f>SUMIFS(tblData[Inbound Freight],tblData[Scenario],"Actual",tblData[Year],selFY-1,tblData[Month],N$5)/Unit</f>
        <v>-2.0299999999999998</v>
      </c>
      <c r="O99" s="79">
        <f>SUMIFS(tblData[Inbound Freight],tblData[Scenario],"Actual",tblData[Year],selFY-1,tblData[Month],O$5)/Unit</f>
        <v>-1.8660000000000001</v>
      </c>
      <c r="P99" s="79">
        <f t="shared" si="3"/>
        <v>-19.554000000000002</v>
      </c>
    </row>
    <row r="100" spans="1:16" x14ac:dyDescent="0.25">
      <c r="A100" s="77" t="s">
        <v>93</v>
      </c>
      <c r="B100" s="77" t="s">
        <v>12</v>
      </c>
      <c r="D100" s="79">
        <f>SUMIFS(tblData[Advertising],tblData[Scenario],"Actual",tblData[Year],selFY-1,tblData[Month],D$5)/Unit</f>
        <v>-1.986</v>
      </c>
      <c r="E100" s="79">
        <f>SUMIFS(tblData[Advertising],tblData[Scenario],"Actual",tblData[Year],selFY-1,tblData[Month],E$5)/Unit</f>
        <v>-2.0470000000000002</v>
      </c>
      <c r="F100" s="79">
        <f>SUMIFS(tblData[Advertising],tblData[Scenario],"Actual",tblData[Year],selFY-1,tblData[Month],F$5)/Unit</f>
        <v>-2.29</v>
      </c>
      <c r="G100" s="79">
        <f>SUMIFS(tblData[Advertising],tblData[Scenario],"Actual",tblData[Year],selFY-1,tblData[Month],G$5)/Unit</f>
        <v>-2.351</v>
      </c>
      <c r="H100" s="79">
        <f>SUMIFS(tblData[Advertising],tblData[Scenario],"Actual",tblData[Year],selFY-1,tblData[Month],H$5)/Unit</f>
        <v>-2.415</v>
      </c>
      <c r="I100" s="79">
        <f>SUMIFS(tblData[Advertising],tblData[Scenario],"Actual",tblData[Year],selFY-1,tblData[Month],I$5)/Unit</f>
        <v>-2.4710000000000001</v>
      </c>
      <c r="J100" s="79">
        <f>SUMIFS(tblData[Advertising],tblData[Scenario],"Actual",tblData[Year],selFY-1,tblData[Month],J$5)/Unit</f>
        <v>-2.415</v>
      </c>
      <c r="K100" s="79">
        <f>SUMIFS(tblData[Advertising],tblData[Scenario],"Actual",tblData[Year],selFY-1,tblData[Month],K$5)/Unit</f>
        <v>-2.4710000000000001</v>
      </c>
      <c r="L100" s="79">
        <f>SUMIFS(tblData[Advertising],tblData[Scenario],"Actual",tblData[Year],selFY-1,tblData[Month],L$5)/Unit</f>
        <v>-2.714</v>
      </c>
      <c r="M100" s="79">
        <f>SUMIFS(tblData[Advertising],tblData[Scenario],"Actual",tblData[Year],selFY-1,tblData[Month],M$5)/Unit</f>
        <v>-2.9529999999999998</v>
      </c>
      <c r="N100" s="79">
        <f>SUMIFS(tblData[Advertising],tblData[Scenario],"Actual",tblData[Year],selFY-1,tblData[Month],N$5)/Unit</f>
        <v>-3.1339999999999999</v>
      </c>
      <c r="O100" s="79">
        <f>SUMIFS(tblData[Advertising],tblData[Scenario],"Actual",tblData[Year],selFY-1,tblData[Month],O$5)/Unit</f>
        <v>-2.895</v>
      </c>
      <c r="P100" s="79">
        <f t="shared" si="3"/>
        <v>-30.141999999999996</v>
      </c>
    </row>
    <row r="101" spans="1:16" x14ac:dyDescent="0.25">
      <c r="A101" s="77" t="s">
        <v>93</v>
      </c>
      <c r="B101" s="77" t="s">
        <v>13</v>
      </c>
      <c r="D101" s="79">
        <f>SUMIFS(tblData[Promotions],tblData[Scenario],"Actual",tblData[Year],selFY-1,tblData[Month],D$5)/Unit</f>
        <v>-1.069</v>
      </c>
      <c r="E101" s="79">
        <f>SUMIFS(tblData[Promotions],tblData[Scenario],"Actual",tblData[Year],selFY-1,tblData[Month],E$5)/Unit</f>
        <v>-1.103</v>
      </c>
      <c r="F101" s="79">
        <f>SUMIFS(tblData[Promotions],tblData[Scenario],"Actual",tblData[Year],selFY-1,tblData[Month],F$5)/Unit</f>
        <v>-1.2310000000000001</v>
      </c>
      <c r="G101" s="79">
        <f>SUMIFS(tblData[Promotions],tblData[Scenario],"Actual",tblData[Year],selFY-1,tblData[Month],G$5)/Unit</f>
        <v>-1.262</v>
      </c>
      <c r="H101" s="79">
        <f>SUMIFS(tblData[Promotions],tblData[Scenario],"Actual",tblData[Year],selFY-1,tblData[Month],H$5)/Unit</f>
        <v>-1.296</v>
      </c>
      <c r="I101" s="79">
        <f>SUMIFS(tblData[Promotions],tblData[Scenario],"Actual",tblData[Year],selFY-1,tblData[Month],I$5)/Unit</f>
        <v>-1.331</v>
      </c>
      <c r="J101" s="79">
        <f>SUMIFS(tblData[Promotions],tblData[Scenario],"Actual",tblData[Year],selFY-1,tblData[Month],J$5)/Unit</f>
        <v>-1.296</v>
      </c>
      <c r="K101" s="79">
        <f>SUMIFS(tblData[Promotions],tblData[Scenario],"Actual",tblData[Year],selFY-1,tblData[Month],K$5)/Unit</f>
        <v>-1.331</v>
      </c>
      <c r="L101" s="79">
        <f>SUMIFS(tblData[Promotions],tblData[Scenario],"Actual",tblData[Year],selFY-1,tblData[Month],L$5)/Unit</f>
        <v>-1.4630000000000001</v>
      </c>
      <c r="M101" s="79">
        <f>SUMIFS(tblData[Promotions],tblData[Scenario],"Actual",tblData[Year],selFY-1,tblData[Month],M$5)/Unit</f>
        <v>-1.59</v>
      </c>
      <c r="N101" s="79">
        <f>SUMIFS(tblData[Promotions],tblData[Scenario],"Actual",tblData[Year],selFY-1,tblData[Month],N$5)/Unit</f>
        <v>-1.69</v>
      </c>
      <c r="O101" s="79">
        <f>SUMIFS(tblData[Promotions],tblData[Scenario],"Actual",tblData[Year],selFY-1,tblData[Month],O$5)/Unit</f>
        <v>-1.5569999999999999</v>
      </c>
      <c r="P101" s="79">
        <f t="shared" si="3"/>
        <v>-16.218999999999998</v>
      </c>
    </row>
    <row r="102" spans="1:16" x14ac:dyDescent="0.25">
      <c r="A102" s="77" t="s">
        <v>93</v>
      </c>
      <c r="B102" s="77" t="s">
        <v>14</v>
      </c>
      <c r="D102" s="79">
        <f>SUMIFS(tblData[Outbound Logistics],tblData[Scenario],"Actual",tblData[Year],selFY-1,tblData[Month],D$5)/Unit</f>
        <v>-1.8460000000000001</v>
      </c>
      <c r="E102" s="79">
        <f>SUMIFS(tblData[Outbound Logistics],tblData[Scenario],"Actual",tblData[Year],selFY-1,tblData[Month],E$5)/Unit</f>
        <v>-1.8979999999999999</v>
      </c>
      <c r="F102" s="79">
        <f>SUMIFS(tblData[Outbound Logistics],tblData[Scenario],"Actual",tblData[Year],selFY-1,tblData[Month],F$5)/Unit</f>
        <v>-2.125</v>
      </c>
      <c r="G102" s="79">
        <f>SUMIFS(tblData[Outbound Logistics],tblData[Scenario],"Actual",tblData[Year],selFY-1,tblData[Month],G$5)/Unit</f>
        <v>-2.1850000000000001</v>
      </c>
      <c r="H102" s="79">
        <f>SUMIFS(tblData[Outbound Logistics],tblData[Scenario],"Actual",tblData[Year],selFY-1,tblData[Month],H$5)/Unit</f>
        <v>-2.2400000000000002</v>
      </c>
      <c r="I102" s="79">
        <f>SUMIFS(tblData[Outbound Logistics],tblData[Scenario],"Actual",tblData[Year],selFY-1,tblData[Month],I$5)/Unit</f>
        <v>-2.3029999999999999</v>
      </c>
      <c r="J102" s="79">
        <f>SUMIFS(tblData[Outbound Logistics],tblData[Scenario],"Actual",tblData[Year],selFY-1,tblData[Month],J$5)/Unit</f>
        <v>-2.2429999999999999</v>
      </c>
      <c r="K102" s="79">
        <f>SUMIFS(tblData[Outbound Logistics],tblData[Scenario],"Actual",tblData[Year],selFY-1,tblData[Month],K$5)/Unit</f>
        <v>-2.298</v>
      </c>
      <c r="L102" s="79">
        <f>SUMIFS(tblData[Outbound Logistics],tblData[Scenario],"Actual",tblData[Year],selFY-1,tblData[Month],L$5)/Unit</f>
        <v>-2.5059999999999998</v>
      </c>
      <c r="M102" s="79">
        <f>SUMIFS(tblData[Outbound Logistics],tblData[Scenario],"Actual",tblData[Year],selFY-1,tblData[Month],M$5)/Unit</f>
        <v>-2.7429999999999999</v>
      </c>
      <c r="N102" s="79">
        <f>SUMIFS(tblData[Outbound Logistics],tblData[Scenario],"Actual",tblData[Year],selFY-1,tblData[Month],N$5)/Unit</f>
        <v>-2.9089999999999998</v>
      </c>
      <c r="O102" s="79">
        <f>SUMIFS(tblData[Outbound Logistics],tblData[Scenario],"Actual",tblData[Year],selFY-1,tblData[Month],O$5)/Unit</f>
        <v>-2.6779999999999999</v>
      </c>
      <c r="P102" s="79">
        <f t="shared" si="3"/>
        <v>-27.974</v>
      </c>
    </row>
    <row r="103" spans="1:16" x14ac:dyDescent="0.25">
      <c r="A103" s="77" t="s">
        <v>93</v>
      </c>
      <c r="B103" s="77" t="s">
        <v>15</v>
      </c>
      <c r="D103" s="79">
        <f>SUMIFS(tblData[Direct Selling],tblData[Scenario],"Actual",tblData[Year],selFY-1,tblData[Month],D$5)/Unit</f>
        <v>-1.002</v>
      </c>
      <c r="E103" s="79">
        <f>SUMIFS(tblData[Direct Selling],tblData[Scenario],"Actual",tblData[Year],selFY-1,tblData[Month],E$5)/Unit</f>
        <v>-1.03</v>
      </c>
      <c r="F103" s="79">
        <f>SUMIFS(tblData[Direct Selling],tblData[Scenario],"Actual",tblData[Year],selFY-1,tblData[Month],F$5)/Unit</f>
        <v>-1.151</v>
      </c>
      <c r="G103" s="79">
        <f>SUMIFS(tblData[Direct Selling],tblData[Scenario],"Actual",tblData[Year],selFY-1,tblData[Month],G$5)/Unit</f>
        <v>-1.19</v>
      </c>
      <c r="H103" s="79">
        <f>SUMIFS(tblData[Direct Selling],tblData[Scenario],"Actual",tblData[Year],selFY-1,tblData[Month],H$5)/Unit</f>
        <v>-1.2150000000000001</v>
      </c>
      <c r="I103" s="79">
        <f>SUMIFS(tblData[Direct Selling],tblData[Scenario],"Actual",tblData[Year],selFY-1,tblData[Month],I$5)/Unit</f>
        <v>-1.25</v>
      </c>
      <c r="J103" s="79">
        <f>SUMIFS(tblData[Direct Selling],tblData[Scenario],"Actual",tblData[Year],selFY-1,tblData[Month],J$5)/Unit</f>
        <v>-1.2130000000000001</v>
      </c>
      <c r="K103" s="79">
        <f>SUMIFS(tblData[Direct Selling],tblData[Scenario],"Actual",tblData[Year],selFY-1,tblData[Month],K$5)/Unit</f>
        <v>-1.2430000000000001</v>
      </c>
      <c r="L103" s="79">
        <f>SUMIFS(tblData[Direct Selling],tblData[Scenario],"Actual",tblData[Year],selFY-1,tblData[Month],L$5)/Unit</f>
        <v>-1.36</v>
      </c>
      <c r="M103" s="79">
        <f>SUMIFS(tblData[Direct Selling],tblData[Scenario],"Actual",tblData[Year],selFY-1,tblData[Month],M$5)/Unit</f>
        <v>-1.494</v>
      </c>
      <c r="N103" s="79">
        <f>SUMIFS(tblData[Direct Selling],tblData[Scenario],"Actual",tblData[Year],selFY-1,tblData[Month],N$5)/Unit</f>
        <v>-1.573</v>
      </c>
      <c r="O103" s="79">
        <f>SUMIFS(tblData[Direct Selling],tblData[Scenario],"Actual",tblData[Year],selFY-1,tblData[Month],O$5)/Unit</f>
        <v>-1.45</v>
      </c>
      <c r="P103" s="79">
        <f t="shared" si="3"/>
        <v>-15.170999999999998</v>
      </c>
    </row>
    <row r="104" spans="1:16" x14ac:dyDescent="0.25">
      <c r="A104" s="77" t="s">
        <v>93</v>
      </c>
      <c r="B104" s="77" t="s">
        <v>16</v>
      </c>
      <c r="D104" s="79">
        <f>SUMIFS(tblData[Personnel],tblData[Scenario],"Actual",tblData[Year],selFY-1,tblData[Month],D$5)/Unit</f>
        <v>-3.9630000000000001</v>
      </c>
      <c r="E104" s="79">
        <f>SUMIFS(tblData[Personnel],tblData[Scenario],"Actual",tblData[Year],selFY-1,tblData[Month],E$5)/Unit</f>
        <v>-3.9790000000000001</v>
      </c>
      <c r="F104" s="79">
        <f>SUMIFS(tblData[Personnel],tblData[Scenario],"Actual",tblData[Year],selFY-1,tblData[Month],F$5)/Unit</f>
        <v>-3.9950000000000001</v>
      </c>
      <c r="G104" s="79">
        <f>SUMIFS(tblData[Personnel],tblData[Scenario],"Actual",tblData[Year],selFY-1,tblData[Month],G$5)/Unit</f>
        <v>-4.0110000000000001</v>
      </c>
      <c r="H104" s="79">
        <f>SUMIFS(tblData[Personnel],tblData[Scenario],"Actual",tblData[Year],selFY-1,tblData[Month],H$5)/Unit</f>
        <v>-4.0270000000000001</v>
      </c>
      <c r="I104" s="79">
        <f>SUMIFS(tblData[Personnel],tblData[Scenario],"Actual",tblData[Year],selFY-1,tblData[Month],I$5)/Unit</f>
        <v>-4.0430000000000001</v>
      </c>
      <c r="J104" s="79">
        <f>SUMIFS(tblData[Personnel],tblData[Scenario],"Actual",tblData[Year],selFY-1,tblData[Month],J$5)/Unit</f>
        <v>-4.0579999999999998</v>
      </c>
      <c r="K104" s="79">
        <f>SUMIFS(tblData[Personnel],tblData[Scenario],"Actual",tblData[Year],selFY-1,tblData[Month],K$5)/Unit</f>
        <v>-4.0739999999999998</v>
      </c>
      <c r="L104" s="79">
        <f>SUMIFS(tblData[Personnel],tblData[Scenario],"Actual",tblData[Year],selFY-1,tblData[Month],L$5)/Unit</f>
        <v>-4.09</v>
      </c>
      <c r="M104" s="79">
        <f>SUMIFS(tblData[Personnel],tblData[Scenario],"Actual",tblData[Year],selFY-1,tblData[Month],M$5)/Unit</f>
        <v>-4.1059999999999999</v>
      </c>
      <c r="N104" s="79">
        <f>SUMIFS(tblData[Personnel],tblData[Scenario],"Actual",tblData[Year],selFY-1,tblData[Month],N$5)/Unit</f>
        <v>-4.1219999999999999</v>
      </c>
      <c r="O104" s="79">
        <f>SUMIFS(tblData[Personnel],tblData[Scenario],"Actual",tblData[Year],selFY-1,tblData[Month],O$5)/Unit</f>
        <v>-4.1379999999999999</v>
      </c>
      <c r="P104" s="79">
        <f t="shared" si="3"/>
        <v>-48.605999999999995</v>
      </c>
    </row>
    <row r="105" spans="1:16" x14ac:dyDescent="0.25">
      <c r="A105" s="77" t="s">
        <v>93</v>
      </c>
      <c r="B105" s="77" t="s">
        <v>17</v>
      </c>
      <c r="D105" s="79">
        <f>SUMIFS(tblData[Research and Development],tblData[Scenario],"Actual",tblData[Year],selFY-1,tblData[Month],D$5)/Unit</f>
        <v>-0.97399999999999998</v>
      </c>
      <c r="E105" s="79">
        <f>SUMIFS(tblData[Research and Development],tblData[Scenario],"Actual",tblData[Year],selFY-1,tblData[Month],E$5)/Unit</f>
        <v>-0.97399999999999998</v>
      </c>
      <c r="F105" s="79">
        <f>SUMIFS(tblData[Research and Development],tblData[Scenario],"Actual",tblData[Year],selFY-1,tblData[Month],F$5)/Unit</f>
        <v>-0.97399999999999998</v>
      </c>
      <c r="G105" s="79">
        <f>SUMIFS(tblData[Research and Development],tblData[Scenario],"Actual",tblData[Year],selFY-1,tblData[Month],G$5)/Unit</f>
        <v>-0.97399999999999998</v>
      </c>
      <c r="H105" s="79">
        <f>SUMIFS(tblData[Research and Development],tblData[Scenario],"Actual",tblData[Year],selFY-1,tblData[Month],H$5)/Unit</f>
        <v>-0.97399999999999998</v>
      </c>
      <c r="I105" s="79">
        <f>SUMIFS(tblData[Research and Development],tblData[Scenario],"Actual",tblData[Year],selFY-1,tblData[Month],I$5)/Unit</f>
        <v>-0.97399999999999998</v>
      </c>
      <c r="J105" s="79">
        <f>SUMIFS(tblData[Research and Development],tblData[Scenario],"Actual",tblData[Year],selFY-1,tblData[Month],J$5)/Unit</f>
        <v>-0.97399999999999998</v>
      </c>
      <c r="K105" s="79">
        <f>SUMIFS(tblData[Research and Development],tblData[Scenario],"Actual",tblData[Year],selFY-1,tblData[Month],K$5)/Unit</f>
        <v>-0.97399999999999998</v>
      </c>
      <c r="L105" s="79">
        <f>SUMIFS(tblData[Research and Development],tblData[Scenario],"Actual",tblData[Year],selFY-1,tblData[Month],L$5)/Unit</f>
        <v>-0.97399999999999998</v>
      </c>
      <c r="M105" s="79">
        <f>SUMIFS(tblData[Research and Development],tblData[Scenario],"Actual",tblData[Year],selFY-1,tblData[Month],M$5)/Unit</f>
        <v>-0.97399999999999998</v>
      </c>
      <c r="N105" s="79">
        <f>SUMIFS(tblData[Research and Development],tblData[Scenario],"Actual",tblData[Year],selFY-1,tblData[Month],N$5)/Unit</f>
        <v>-0.97399999999999998</v>
      </c>
      <c r="O105" s="79">
        <f>SUMIFS(tblData[Research and Development],tblData[Scenario],"Actual",tblData[Year],selFY-1,tblData[Month],O$5)/Unit</f>
        <v>-0.97399999999999998</v>
      </c>
      <c r="P105" s="79">
        <f t="shared" si="3"/>
        <v>-11.688000000000001</v>
      </c>
    </row>
    <row r="106" spans="1:16" x14ac:dyDescent="0.25">
      <c r="A106" s="77" t="s">
        <v>93</v>
      </c>
      <c r="B106" s="77" t="s">
        <v>18</v>
      </c>
      <c r="D106" s="79">
        <f>SUMIFS(tblData[IT and Facilities],tblData[Scenario],"Actual",tblData[Year],selFY-1,tblData[Month],D$5)/Unit</f>
        <v>-1.2609999999999999</v>
      </c>
      <c r="E106" s="79">
        <f>SUMIFS(tblData[IT and Facilities],tblData[Scenario],"Actual",tblData[Year],selFY-1,tblData[Month],E$5)/Unit</f>
        <v>-1.2609999999999999</v>
      </c>
      <c r="F106" s="79">
        <f>SUMIFS(tblData[IT and Facilities],tblData[Scenario],"Actual",tblData[Year],selFY-1,tblData[Month],F$5)/Unit</f>
        <v>-1.2609999999999999</v>
      </c>
      <c r="G106" s="79">
        <f>SUMIFS(tblData[IT and Facilities],tblData[Scenario],"Actual",tblData[Year],selFY-1,tblData[Month],G$5)/Unit</f>
        <v>-1.2609999999999999</v>
      </c>
      <c r="H106" s="79">
        <f>SUMIFS(tblData[IT and Facilities],tblData[Scenario],"Actual",tblData[Year],selFY-1,tblData[Month],H$5)/Unit</f>
        <v>-1.2609999999999999</v>
      </c>
      <c r="I106" s="79">
        <f>SUMIFS(tblData[IT and Facilities],tblData[Scenario],"Actual",tblData[Year],selFY-1,tblData[Month],I$5)/Unit</f>
        <v>-1.2609999999999999</v>
      </c>
      <c r="J106" s="79">
        <f>SUMIFS(tblData[IT and Facilities],tblData[Scenario],"Actual",tblData[Year],selFY-1,tblData[Month],J$5)/Unit</f>
        <v>-1.2609999999999999</v>
      </c>
      <c r="K106" s="79">
        <f>SUMIFS(tblData[IT and Facilities],tblData[Scenario],"Actual",tblData[Year],selFY-1,tblData[Month],K$5)/Unit</f>
        <v>-1.2609999999999999</v>
      </c>
      <c r="L106" s="79">
        <f>SUMIFS(tblData[IT and Facilities],tblData[Scenario],"Actual",tblData[Year],selFY-1,tblData[Month],L$5)/Unit</f>
        <v>-1.2609999999999999</v>
      </c>
      <c r="M106" s="79">
        <f>SUMIFS(tblData[IT and Facilities],tblData[Scenario],"Actual",tblData[Year],selFY-1,tblData[Month],M$5)/Unit</f>
        <v>-1.2609999999999999</v>
      </c>
      <c r="N106" s="79">
        <f>SUMIFS(tblData[IT and Facilities],tblData[Scenario],"Actual",tblData[Year],selFY-1,tblData[Month],N$5)/Unit</f>
        <v>-1.2609999999999999</v>
      </c>
      <c r="O106" s="79">
        <f>SUMIFS(tblData[IT and Facilities],tblData[Scenario],"Actual",tblData[Year],selFY-1,tblData[Month],O$5)/Unit</f>
        <v>-1.2609999999999999</v>
      </c>
      <c r="P106" s="79">
        <f t="shared" si="3"/>
        <v>-15.131999999999996</v>
      </c>
    </row>
    <row r="107" spans="1:16" x14ac:dyDescent="0.25">
      <c r="A107" s="77" t="s">
        <v>93</v>
      </c>
      <c r="B107" s="77" t="s">
        <v>19</v>
      </c>
      <c r="D107" s="79">
        <f>SUMIFS(tblData[Other Admin],tblData[Scenario],"Actual",tblData[Year],selFY-1,tblData[Month],D$5)/Unit</f>
        <v>-1.079</v>
      </c>
      <c r="E107" s="79">
        <f>SUMIFS(tblData[Other Admin],tblData[Scenario],"Actual",tblData[Year],selFY-1,tblData[Month],E$5)/Unit</f>
        <v>-1.079</v>
      </c>
      <c r="F107" s="79">
        <f>SUMIFS(tblData[Other Admin],tblData[Scenario],"Actual",tblData[Year],selFY-1,tblData[Month],F$5)/Unit</f>
        <v>-1.079</v>
      </c>
      <c r="G107" s="79">
        <f>SUMIFS(tblData[Other Admin],tblData[Scenario],"Actual",tblData[Year],selFY-1,tblData[Month],G$5)/Unit</f>
        <v>-1.079</v>
      </c>
      <c r="H107" s="79">
        <f>SUMIFS(tblData[Other Admin],tblData[Scenario],"Actual",tblData[Year],selFY-1,tblData[Month],H$5)/Unit</f>
        <v>-1.079</v>
      </c>
      <c r="I107" s="79">
        <f>SUMIFS(tblData[Other Admin],tblData[Scenario],"Actual",tblData[Year],selFY-1,tblData[Month],I$5)/Unit</f>
        <v>-1.079</v>
      </c>
      <c r="J107" s="79">
        <f>SUMIFS(tblData[Other Admin],tblData[Scenario],"Actual",tblData[Year],selFY-1,tblData[Month],J$5)/Unit</f>
        <v>-1.079</v>
      </c>
      <c r="K107" s="79">
        <f>SUMIFS(tblData[Other Admin],tblData[Scenario],"Actual",tblData[Year],selFY-1,tblData[Month],K$5)/Unit</f>
        <v>-1.079</v>
      </c>
      <c r="L107" s="79">
        <f>SUMIFS(tblData[Other Admin],tblData[Scenario],"Actual",tblData[Year],selFY-1,tblData[Month],L$5)/Unit</f>
        <v>-1.079</v>
      </c>
      <c r="M107" s="79">
        <f>SUMIFS(tblData[Other Admin],tblData[Scenario],"Actual",tblData[Year],selFY-1,tblData[Month],M$5)/Unit</f>
        <v>-1.079</v>
      </c>
      <c r="N107" s="79">
        <f>SUMIFS(tblData[Other Admin],tblData[Scenario],"Actual",tblData[Year],selFY-1,tblData[Month],N$5)/Unit</f>
        <v>-1.079</v>
      </c>
      <c r="O107" s="79">
        <f>SUMIFS(tblData[Other Admin],tblData[Scenario],"Actual",tblData[Year],selFY-1,tblData[Month],O$5)/Unit</f>
        <v>-1.079</v>
      </c>
      <c r="P107" s="79">
        <f t="shared" si="3"/>
        <v>-12.948000000000002</v>
      </c>
    </row>
    <row r="108" spans="1:16" x14ac:dyDescent="0.25">
      <c r="A108" s="77" t="s">
        <v>93</v>
      </c>
      <c r="B108" s="77" t="s">
        <v>20</v>
      </c>
      <c r="D108" s="79">
        <f>SUMIFS(tblData[Depreciation],tblData[Scenario],"Actual",tblData[Year],selFY-1,tblData[Month],D$5)/Unit</f>
        <v>-1.413</v>
      </c>
      <c r="E108" s="79">
        <f>SUMIFS(tblData[Depreciation],tblData[Scenario],"Actual",tblData[Year],selFY-1,tblData[Month],E$5)/Unit</f>
        <v>-1.413</v>
      </c>
      <c r="F108" s="79">
        <f>SUMIFS(tblData[Depreciation],tblData[Scenario],"Actual",tblData[Year],selFY-1,tblData[Month],F$5)/Unit</f>
        <v>-1.413</v>
      </c>
      <c r="G108" s="79">
        <f>SUMIFS(tblData[Depreciation],tblData[Scenario],"Actual",tblData[Year],selFY-1,tblData[Month],G$5)/Unit</f>
        <v>-1.413</v>
      </c>
      <c r="H108" s="79">
        <f>SUMIFS(tblData[Depreciation],tblData[Scenario],"Actual",tblData[Year],selFY-1,tblData[Month],H$5)/Unit</f>
        <v>-1.413</v>
      </c>
      <c r="I108" s="79">
        <f>SUMIFS(tblData[Depreciation],tblData[Scenario],"Actual",tblData[Year],selFY-1,tblData[Month],I$5)/Unit</f>
        <v>-1.413</v>
      </c>
      <c r="J108" s="79">
        <f>SUMIFS(tblData[Depreciation],tblData[Scenario],"Actual",tblData[Year],selFY-1,tblData[Month],J$5)/Unit</f>
        <v>-1.413</v>
      </c>
      <c r="K108" s="79">
        <f>SUMIFS(tblData[Depreciation],tblData[Scenario],"Actual",tblData[Year],selFY-1,tblData[Month],K$5)/Unit</f>
        <v>-1.413</v>
      </c>
      <c r="L108" s="79">
        <f>SUMIFS(tblData[Depreciation],tblData[Scenario],"Actual",tblData[Year],selFY-1,tblData[Month],L$5)/Unit</f>
        <v>-1.413</v>
      </c>
      <c r="M108" s="79">
        <f>SUMIFS(tblData[Depreciation],tblData[Scenario],"Actual",tblData[Year],selFY-1,tblData[Month],M$5)/Unit</f>
        <v>-1.413</v>
      </c>
      <c r="N108" s="79">
        <f>SUMIFS(tblData[Depreciation],tblData[Scenario],"Actual",tblData[Year],selFY-1,tblData[Month],N$5)/Unit</f>
        <v>-1.413</v>
      </c>
      <c r="O108" s="79">
        <f>SUMIFS(tblData[Depreciation],tblData[Scenario],"Actual",tblData[Year],selFY-1,tblData[Month],O$5)/Unit</f>
        <v>-1.413</v>
      </c>
      <c r="P108" s="79">
        <f t="shared" si="3"/>
        <v>-16.956</v>
      </c>
    </row>
    <row r="109" spans="1:16" x14ac:dyDescent="0.25">
      <c r="A109" s="77" t="s">
        <v>93</v>
      </c>
      <c r="B109" s="77" t="s">
        <v>21</v>
      </c>
      <c r="D109" s="79">
        <f>SUMIFS(tblData[Net Interest],tblData[Scenario],"Actual",tblData[Year],selFY-1,tblData[Month],D$5)/Unit</f>
        <v>-0.75</v>
      </c>
      <c r="E109" s="79">
        <f>SUMIFS(tblData[Net Interest],tblData[Scenario],"Actual",tblData[Year],selFY-1,tblData[Month],E$5)/Unit</f>
        <v>-0.75</v>
      </c>
      <c r="F109" s="79">
        <f>SUMIFS(tblData[Net Interest],tblData[Scenario],"Actual",tblData[Year],selFY-1,tblData[Month],F$5)/Unit</f>
        <v>-0.75</v>
      </c>
      <c r="G109" s="79">
        <f>SUMIFS(tblData[Net Interest],tblData[Scenario],"Actual",tblData[Year],selFY-1,tblData[Month],G$5)/Unit</f>
        <v>-0.74099999999999999</v>
      </c>
      <c r="H109" s="79">
        <f>SUMIFS(tblData[Net Interest],tblData[Scenario],"Actual",tblData[Year],selFY-1,tblData[Month],H$5)/Unit</f>
        <v>-0.74099999999999999</v>
      </c>
      <c r="I109" s="79">
        <f>SUMIFS(tblData[Net Interest],tblData[Scenario],"Actual",tblData[Year],selFY-1,tblData[Month],I$5)/Unit</f>
        <v>-0.74099999999999999</v>
      </c>
      <c r="J109" s="79">
        <f>SUMIFS(tblData[Net Interest],tblData[Scenario],"Actual",tblData[Year],selFY-1,tblData[Month],J$5)/Unit</f>
        <v>-0.73099999999999998</v>
      </c>
      <c r="K109" s="79">
        <f>SUMIFS(tblData[Net Interest],tblData[Scenario],"Actual",tblData[Year],selFY-1,tblData[Month],K$5)/Unit</f>
        <v>-0.73099999999999998</v>
      </c>
      <c r="L109" s="79">
        <f>SUMIFS(tblData[Net Interest],tblData[Scenario],"Actual",tblData[Year],selFY-1,tblData[Month],L$5)/Unit</f>
        <v>-0.73099999999999998</v>
      </c>
      <c r="M109" s="79">
        <f>SUMIFS(tblData[Net Interest],tblData[Scenario],"Actual",tblData[Year],selFY-1,tblData[Month],M$5)/Unit</f>
        <v>-0.72199999999999998</v>
      </c>
      <c r="N109" s="79">
        <f>SUMIFS(tblData[Net Interest],tblData[Scenario],"Actual",tblData[Year],selFY-1,tblData[Month],N$5)/Unit</f>
        <v>-0.72199999999999998</v>
      </c>
      <c r="O109" s="79">
        <f>SUMIFS(tblData[Net Interest],tblData[Scenario],"Actual",tblData[Year],selFY-1,tblData[Month],O$5)/Unit</f>
        <v>-0.72199999999999998</v>
      </c>
      <c r="P109" s="79">
        <f t="shared" si="3"/>
        <v>-8.831999999999999</v>
      </c>
    </row>
    <row r="110" spans="1:16" x14ac:dyDescent="0.25">
      <c r="A110" s="77" t="s">
        <v>93</v>
      </c>
      <c r="B110" s="77" t="s">
        <v>22</v>
      </c>
      <c r="D110" s="79">
        <f>SUMIFS(tblData[Tax],tblData[Scenario],"Actual",tblData[Year],selFY-1,tblData[Month],D$5)/Unit</f>
        <v>-0.749</v>
      </c>
      <c r="E110" s="79">
        <f>SUMIFS(tblData[Tax],tblData[Scenario],"Actual",tblData[Year],selFY-1,tblData[Month],E$5)/Unit</f>
        <v>-0.82399999999999995</v>
      </c>
      <c r="F110" s="79">
        <f>SUMIFS(tblData[Tax],tblData[Scenario],"Actual",tblData[Year],selFY-1,tblData[Month],F$5)/Unit</f>
        <v>-1.202</v>
      </c>
      <c r="G110" s="79">
        <f>SUMIFS(tblData[Tax],tblData[Scenario],"Actual",tblData[Year],selFY-1,tblData[Month],G$5)/Unit</f>
        <v>-1.323</v>
      </c>
      <c r="H110" s="79">
        <f>SUMIFS(tblData[Tax],tblData[Scenario],"Actual",tblData[Year],selFY-1,tblData[Month],H$5)/Unit</f>
        <v>-1.3939999999999999</v>
      </c>
      <c r="I110" s="79">
        <f>SUMIFS(tblData[Tax],tblData[Scenario],"Actual",tblData[Year],selFY-1,tblData[Month],I$5)/Unit</f>
        <v>-1.5049999999999999</v>
      </c>
      <c r="J110" s="79">
        <f>SUMIFS(tblData[Tax],tblData[Scenario],"Actual",tblData[Year],selFY-1,tblData[Month],J$5)/Unit</f>
        <v>-1.3959999999999999</v>
      </c>
      <c r="K110" s="79">
        <f>SUMIFS(tblData[Tax],tblData[Scenario],"Actual",tblData[Year],selFY-1,tblData[Month],K$5)/Unit</f>
        <v>-1.4810000000000001</v>
      </c>
      <c r="L110" s="79">
        <f>SUMIFS(tblData[Tax],tblData[Scenario],"Actual",tblData[Year],selFY-1,tblData[Month],L$5)/Unit</f>
        <v>-1.8320000000000001</v>
      </c>
      <c r="M110" s="79">
        <f>SUMIFS(tblData[Tax],tblData[Scenario],"Actual",tblData[Year],selFY-1,tblData[Month],M$5)/Unit</f>
        <v>-2.2440000000000002</v>
      </c>
      <c r="N110" s="79">
        <f>SUMIFS(tblData[Tax],tblData[Scenario],"Actual",tblData[Year],selFY-1,tblData[Month],N$5)/Unit</f>
        <v>-2.4929999999999999</v>
      </c>
      <c r="O110" s="79">
        <f>SUMIFS(tblData[Tax],tblData[Scenario],"Actual",tblData[Year],selFY-1,tblData[Month],O$5)/Unit</f>
        <v>-2.1040000000000001</v>
      </c>
      <c r="P110" s="79">
        <f t="shared" si="3"/>
        <v>-18.547000000000001</v>
      </c>
    </row>
    <row r="111" spans="1:16" x14ac:dyDescent="0.25">
      <c r="A111" s="77" t="s">
        <v>93</v>
      </c>
      <c r="B111" s="77" t="s">
        <v>23</v>
      </c>
      <c r="D111" s="79">
        <f>SUMIFS(tblData[Capex],tblData[Scenario],"Actual",tblData[Year],selFY-1,tblData[Month],D$5)/Unit</f>
        <v>-0.98299999999999998</v>
      </c>
      <c r="E111" s="79">
        <f>SUMIFS(tblData[Capex],tblData[Scenario],"Actual",tblData[Year],selFY-1,tblData[Month],E$5)/Unit</f>
        <v>-1.0089999999999999</v>
      </c>
      <c r="F111" s="79">
        <f>SUMIFS(tblData[Capex],tblData[Scenario],"Actual",tblData[Year],selFY-1,tblData[Month],F$5)/Unit</f>
        <v>-1.1299999999999999</v>
      </c>
      <c r="G111" s="79">
        <f>SUMIFS(tblData[Capex],tblData[Scenario],"Actual",tblData[Year],selFY-1,tblData[Month],G$5)/Unit</f>
        <v>-1.1659999999999999</v>
      </c>
      <c r="H111" s="79">
        <f>SUMIFS(tblData[Capex],tblData[Scenario],"Actual",tblData[Year],selFY-1,tblData[Month],H$5)/Unit</f>
        <v>-1.1910000000000001</v>
      </c>
      <c r="I111" s="79">
        <f>SUMIFS(tblData[Capex],tblData[Scenario],"Actual",tblData[Year],selFY-1,tblData[Month],I$5)/Unit</f>
        <v>-1.2270000000000001</v>
      </c>
      <c r="J111" s="79">
        <f>SUMIFS(tblData[Capex],tblData[Scenario],"Actual",tblData[Year],selFY-1,tblData[Month],J$5)/Unit</f>
        <v>-1.1930000000000001</v>
      </c>
      <c r="K111" s="79">
        <f>SUMIFS(tblData[Capex],tblData[Scenario],"Actual",tblData[Year],selFY-1,tblData[Month],K$5)/Unit</f>
        <v>-1.222</v>
      </c>
      <c r="L111" s="79">
        <f>SUMIFS(tblData[Capex],tblData[Scenario],"Actual",tblData[Year],selFY-1,tblData[Month],L$5)/Unit</f>
        <v>-1.3360000000000001</v>
      </c>
      <c r="M111" s="79">
        <f>SUMIFS(tblData[Capex],tblData[Scenario],"Actual",tblData[Year],selFY-1,tblData[Month],M$5)/Unit</f>
        <v>-1.4630000000000001</v>
      </c>
      <c r="N111" s="79">
        <f>SUMIFS(tblData[Capex],tblData[Scenario],"Actual",tblData[Year],selFY-1,tblData[Month],N$5)/Unit</f>
        <v>-1.546</v>
      </c>
      <c r="O111" s="79">
        <f>SUMIFS(tblData[Capex],tblData[Scenario],"Actual",tblData[Year],selFY-1,tblData[Month],O$5)/Unit</f>
        <v>-1.423</v>
      </c>
      <c r="P111" s="79">
        <f t="shared" si="3"/>
        <v>-14.889000000000001</v>
      </c>
    </row>
    <row r="112" spans="1:16" x14ac:dyDescent="0.25">
      <c r="A112" s="77" t="s">
        <v>93</v>
      </c>
      <c r="B112" s="77" t="s">
        <v>24</v>
      </c>
      <c r="C112" s="79">
        <f>SUMIFS(tblData[Receivables],tblData[Scenario],"Actual",tblData[Year],selFY-2,tblData[Month],12)/Unit</f>
        <v>45.555</v>
      </c>
      <c r="D112" s="79">
        <f>SUMIFS(tblData[Receivables],tblData[Scenario],"Actual",tblData[Year],selFY-1,tblData[Month],D$5)/Unit</f>
        <v>48.024999999999999</v>
      </c>
      <c r="E112" s="79">
        <f>SUMIFS(tblData[Receivables],tblData[Scenario],"Actual",tblData[Year],selFY-1,tblData[Month],E$5)/Unit</f>
        <v>48.63</v>
      </c>
      <c r="F112" s="79">
        <f>SUMIFS(tblData[Receivables],tblData[Scenario],"Actual",tblData[Year],selFY-1,tblData[Month],F$5)/Unit</f>
        <v>50.796999999999997</v>
      </c>
      <c r="G112" s="79">
        <f>SUMIFS(tblData[Receivables],tblData[Scenario],"Actual",tblData[Year],selFY-1,tblData[Month],G$5)/Unit</f>
        <v>53.804000000000002</v>
      </c>
      <c r="H112" s="79">
        <f>SUMIFS(tblData[Receivables],tblData[Scenario],"Actual",tblData[Year],selFY-1,tblData[Month],H$5)/Unit</f>
        <v>56.753999999999998</v>
      </c>
      <c r="I112" s="79">
        <f>SUMIFS(tblData[Receivables],tblData[Scenario],"Actual",tblData[Year],selFY-1,tblData[Month],I$5)/Unit</f>
        <v>58.328000000000003</v>
      </c>
      <c r="J112" s="79">
        <f>SUMIFS(tblData[Receivables],tblData[Scenario],"Actual",tblData[Year],selFY-1,tblData[Month],J$5)/Unit</f>
        <v>58.722000000000001</v>
      </c>
      <c r="K112" s="79">
        <f>SUMIFS(tblData[Receivables],tblData[Scenario],"Actual",tblData[Year],selFY-1,tblData[Month],K$5)/Unit</f>
        <v>59.23</v>
      </c>
      <c r="L112" s="79">
        <f>SUMIFS(tblData[Receivables],tblData[Scenario],"Actual",tblData[Year],selFY-1,tblData[Month],L$5)/Unit</f>
        <v>61.046999999999997</v>
      </c>
      <c r="M112" s="79">
        <f>SUMIFS(tblData[Receivables],tblData[Scenario],"Actual",tblData[Year],selFY-1,tblData[Month],M$5)/Unit</f>
        <v>65.474999999999994</v>
      </c>
      <c r="N112" s="79">
        <f>SUMIFS(tblData[Receivables],tblData[Scenario],"Actual",tblData[Year],selFY-1,tblData[Month],N$5)/Unit</f>
        <v>70.771000000000001</v>
      </c>
      <c r="O112" s="79">
        <f>SUMIFS(tblData[Receivables],tblData[Scenario],"Actual",tblData[Year],selFY-1,tblData[Month],O$5)/Unit</f>
        <v>72.138999999999996</v>
      </c>
    </row>
    <row r="113" spans="1:16" x14ac:dyDescent="0.25">
      <c r="A113" s="77" t="s">
        <v>93</v>
      </c>
      <c r="B113" s="77" t="s">
        <v>25</v>
      </c>
      <c r="C113" s="79">
        <f>SUMIFS(tblData[Inventory],tblData[Scenario],"Actual",tblData[Year],selFY-2,tblData[Month],12)/Unit</f>
        <v>37.616999999999997</v>
      </c>
      <c r="D113" s="79">
        <f>SUMIFS(tblData[Inventory],tblData[Scenario],"Actual",tblData[Year],selFY-1,tblData[Month],D$5)/Unit</f>
        <v>39.655000000000001</v>
      </c>
      <c r="E113" s="79">
        <f>SUMIFS(tblData[Inventory],tblData[Scenario],"Actual",tblData[Year],selFY-1,tblData[Month],E$5)/Unit</f>
        <v>40.183</v>
      </c>
      <c r="F113" s="79">
        <f>SUMIFS(tblData[Inventory],tblData[Scenario],"Actual",tblData[Year],selFY-1,tblData[Month],F$5)/Unit</f>
        <v>41.981999999999999</v>
      </c>
      <c r="G113" s="79">
        <f>SUMIFS(tblData[Inventory],tblData[Scenario],"Actual",tblData[Year],selFY-1,tblData[Month],G$5)/Unit</f>
        <v>44.433999999999997</v>
      </c>
      <c r="H113" s="79">
        <f>SUMIFS(tblData[Inventory],tblData[Scenario],"Actual",tblData[Year],selFY-1,tblData[Month],H$5)/Unit</f>
        <v>46.841000000000001</v>
      </c>
      <c r="I113" s="79">
        <f>SUMIFS(tblData[Inventory],tblData[Scenario],"Actual",tblData[Year],selFY-1,tblData[Month],I$5)/Unit</f>
        <v>48.134</v>
      </c>
      <c r="J113" s="79">
        <f>SUMIFS(tblData[Inventory],tblData[Scenario],"Actual",tblData[Year],selFY-1,tblData[Month],J$5)/Unit</f>
        <v>48.491999999999997</v>
      </c>
      <c r="K113" s="79">
        <f>SUMIFS(tblData[Inventory],tblData[Scenario],"Actual",tblData[Year],selFY-1,tblData[Month],K$5)/Unit</f>
        <v>48.939</v>
      </c>
      <c r="L113" s="79">
        <f>SUMIFS(tblData[Inventory],tblData[Scenario],"Actual",tblData[Year],selFY-1,tblData[Month],L$5)/Unit</f>
        <v>50.405000000000001</v>
      </c>
      <c r="M113" s="79">
        <f>SUMIFS(tblData[Inventory],tblData[Scenario],"Actual",tblData[Year],selFY-1,tblData[Month],M$5)/Unit</f>
        <v>54.017000000000003</v>
      </c>
      <c r="N113" s="79">
        <f>SUMIFS(tblData[Inventory],tblData[Scenario],"Actual",tblData[Year],selFY-1,tblData[Month],N$5)/Unit</f>
        <v>58.372999999999998</v>
      </c>
      <c r="O113" s="79">
        <f>SUMIFS(tblData[Inventory],tblData[Scenario],"Actual",tblData[Year],selFY-1,tblData[Month],O$5)/Unit</f>
        <v>59.533000000000001</v>
      </c>
    </row>
    <row r="114" spans="1:16" x14ac:dyDescent="0.25">
      <c r="A114" s="77" t="s">
        <v>93</v>
      </c>
      <c r="B114" s="77" t="s">
        <v>26</v>
      </c>
      <c r="C114" s="79">
        <f>SUMIFS(tblData[Payables],tblData[Scenario],"Actual",tblData[Year],selFY-2,tblData[Month],12)/Unit</f>
        <v>24.951000000000001</v>
      </c>
      <c r="D114" s="79">
        <f>SUMIFS(tblData[Payables],tblData[Scenario],"Actual",tblData[Year],selFY-1,tblData[Month],D$5)/Unit</f>
        <v>25.51</v>
      </c>
      <c r="E114" s="79">
        <f>SUMIFS(tblData[Payables],tblData[Scenario],"Actual",tblData[Year],selFY-1,tblData[Month],E$5)/Unit</f>
        <v>26.193999999999999</v>
      </c>
      <c r="F114" s="79">
        <f>SUMIFS(tblData[Payables],tblData[Scenario],"Actual",tblData[Year],selFY-1,tblData[Month],F$5)/Unit</f>
        <v>29.334</v>
      </c>
      <c r="G114" s="79">
        <f>SUMIFS(tblData[Payables],tblData[Scenario],"Actual",tblData[Year],selFY-1,tblData[Month],G$5)/Unit</f>
        <v>30.247</v>
      </c>
      <c r="H114" s="79">
        <f>SUMIFS(tblData[Payables],tblData[Scenario],"Actual",tblData[Year],selFY-1,tblData[Month],H$5)/Unit</f>
        <v>30.859000000000002</v>
      </c>
      <c r="I114" s="79">
        <f>SUMIFS(tblData[Payables],tblData[Scenario],"Actual",tblData[Year],selFY-1,tblData[Month],I$5)/Unit</f>
        <v>31.827999999999999</v>
      </c>
      <c r="J114" s="79">
        <f>SUMIFS(tblData[Payables],tblData[Scenario],"Actual",tblData[Year],selFY-1,tblData[Month],J$5)/Unit</f>
        <v>30.943000000000001</v>
      </c>
      <c r="K114" s="79">
        <f>SUMIFS(tblData[Payables],tblData[Scenario],"Actual",tblData[Year],selFY-1,tblData[Month],K$5)/Unit</f>
        <v>31.713999999999999</v>
      </c>
      <c r="L114" s="79">
        <f>SUMIFS(tblData[Payables],tblData[Scenario],"Actual",tblData[Year],selFY-1,tblData[Month],L$5)/Unit</f>
        <v>34.676000000000002</v>
      </c>
      <c r="M114" s="79">
        <f>SUMIFS(tblData[Payables],tblData[Scenario],"Actual",tblData[Year],selFY-1,tblData[Month],M$5)/Unit</f>
        <v>37.929000000000002</v>
      </c>
      <c r="N114" s="79">
        <f>SUMIFS(tblData[Payables],tblData[Scenario],"Actual",tblData[Year],selFY-1,tblData[Month],N$5)/Unit</f>
        <v>40.134999999999998</v>
      </c>
      <c r="O114" s="79">
        <f>SUMIFS(tblData[Payables],tblData[Scenario],"Actual",tblData[Year],selFY-1,tblData[Month],O$5)/Unit</f>
        <v>36.884</v>
      </c>
    </row>
    <row r="115" spans="1:16" x14ac:dyDescent="0.25">
      <c r="A115" s="77" t="s">
        <v>93</v>
      </c>
      <c r="B115" s="77" t="s">
        <v>27</v>
      </c>
      <c r="D115" s="79">
        <f>SUMIFS(tblData[Cash],tblData[Scenario],"Actual",tblData[Year],selFY-1,tblData[Month],D$5)/Unit</f>
        <v>44.728000000000002</v>
      </c>
      <c r="E115" s="79">
        <f>SUMIFS(tblData[Cash],tblData[Scenario],"Actual",tblData[Year],selFY-1,tblData[Month],E$5)/Unit</f>
        <v>47.149000000000001</v>
      </c>
      <c r="F115" s="79">
        <f>SUMIFS(tblData[Cash],tblData[Scenario],"Actual",tblData[Year],selFY-1,tblData[Month],F$5)/Unit</f>
        <v>47.716000000000001</v>
      </c>
      <c r="G115" s="79">
        <f>SUMIFS(tblData[Cash],tblData[Scenario],"Actual",tblData[Year],selFY-1,tblData[Month],G$5)/Unit</f>
        <v>47.387999999999998</v>
      </c>
      <c r="H115" s="79">
        <f>SUMIFS(tblData[Cash],tblData[Scenario],"Actual",tblData[Year],selFY-1,tblData[Month],H$5)/Unit</f>
        <v>29.048999999999999</v>
      </c>
      <c r="I115" s="79">
        <f>SUMIFS(tblData[Cash],tblData[Scenario],"Actual",tblData[Year],selFY-1,tblData[Month],I$5)/Unit</f>
        <v>29.352</v>
      </c>
      <c r="J115" s="79">
        <f>SUMIFS(tblData[Cash],tblData[Scenario],"Actual",tblData[Year],selFY-1,tblData[Month],J$5)/Unit</f>
        <v>32.125</v>
      </c>
      <c r="K115" s="79">
        <f>SUMIFS(tblData[Cash],tblData[Scenario],"Actual",tblData[Year],selFY-1,tblData[Month],K$5)/Unit</f>
        <v>36.576000000000001</v>
      </c>
      <c r="L115" s="79">
        <f>SUMIFS(tblData[Cash],tblData[Scenario],"Actual",tblData[Year],selFY-1,tblData[Month],L$5)/Unit</f>
        <v>39.326000000000001</v>
      </c>
      <c r="M115" s="79">
        <f>SUMIFS(tblData[Cash],tblData[Scenario],"Actual",tblData[Year],selFY-1,tblData[Month],M$5)/Unit</f>
        <v>41.225000000000001</v>
      </c>
      <c r="N115" s="79">
        <f>SUMIFS(tblData[Cash],tblData[Scenario],"Actual",tblData[Year],selFY-1,tblData[Month],N$5)/Unit</f>
        <v>41.122999999999998</v>
      </c>
      <c r="O115" s="79">
        <f>SUMIFS(tblData[Cash],tblData[Scenario],"Actual",tblData[Year],selFY-1,tblData[Month],O$5)/Unit</f>
        <v>39.146999999999998</v>
      </c>
    </row>
    <row r="116" spans="1:16" x14ac:dyDescent="0.25">
      <c r="A116" s="77" t="s">
        <v>93</v>
      </c>
      <c r="B116" s="77" t="s">
        <v>28</v>
      </c>
      <c r="D116" s="79">
        <f>SUMIFS(tblData[Gross Debt],tblData[Scenario],"Actual",tblData[Year],selFY-1,tblData[Month],D$5)/Unit</f>
        <v>200</v>
      </c>
      <c r="E116" s="79">
        <f>SUMIFS(tblData[Gross Debt],tblData[Scenario],"Actual",tblData[Year],selFY-1,tblData[Month],E$5)/Unit</f>
        <v>200</v>
      </c>
      <c r="F116" s="79">
        <f>SUMIFS(tblData[Gross Debt],tblData[Scenario],"Actual",tblData[Year],selFY-1,tblData[Month],F$5)/Unit</f>
        <v>197.5</v>
      </c>
      <c r="G116" s="79">
        <f>SUMIFS(tblData[Gross Debt],tblData[Scenario],"Actual",tblData[Year],selFY-1,tblData[Month],G$5)/Unit</f>
        <v>197.5</v>
      </c>
      <c r="H116" s="79">
        <f>SUMIFS(tblData[Gross Debt],tblData[Scenario],"Actual",tblData[Year],selFY-1,tblData[Month],H$5)/Unit</f>
        <v>197.5</v>
      </c>
      <c r="I116" s="79">
        <f>SUMIFS(tblData[Gross Debt],tblData[Scenario],"Actual",tblData[Year],selFY-1,tblData[Month],I$5)/Unit</f>
        <v>195</v>
      </c>
      <c r="J116" s="79">
        <f>SUMIFS(tblData[Gross Debt],tblData[Scenario],"Actual",tblData[Year],selFY-1,tblData[Month],J$5)/Unit</f>
        <v>195</v>
      </c>
      <c r="K116" s="79">
        <f>SUMIFS(tblData[Gross Debt],tblData[Scenario],"Actual",tblData[Year],selFY-1,tblData[Month],K$5)/Unit</f>
        <v>195</v>
      </c>
      <c r="L116" s="79">
        <f>SUMIFS(tblData[Gross Debt],tblData[Scenario],"Actual",tblData[Year],selFY-1,tblData[Month],L$5)/Unit</f>
        <v>192.5</v>
      </c>
      <c r="M116" s="79">
        <f>SUMIFS(tblData[Gross Debt],tblData[Scenario],"Actual",tblData[Year],selFY-1,tblData[Month],M$5)/Unit</f>
        <v>192.5</v>
      </c>
      <c r="N116" s="79">
        <f>SUMIFS(tblData[Gross Debt],tblData[Scenario],"Actual",tblData[Year],selFY-1,tblData[Month],N$5)/Unit</f>
        <v>192.5</v>
      </c>
      <c r="O116" s="79">
        <f>SUMIFS(tblData[Gross Debt],tblData[Scenario],"Actual",tblData[Year],selFY-1,tblData[Month],O$5)/Unit</f>
        <v>190</v>
      </c>
    </row>
    <row r="117" spans="1:16" x14ac:dyDescent="0.25">
      <c r="A117" s="77" t="s">
        <v>93</v>
      </c>
      <c r="B117" s="77" t="s">
        <v>29</v>
      </c>
      <c r="D117" s="79">
        <f>SUMIFS(tblData[Headcount],tblData[Scenario],"Actual",tblData[Year],selFY-1,tblData[Month],D$5)</f>
        <v>1147</v>
      </c>
      <c r="E117" s="79">
        <f>SUMIFS(tblData[Headcount],tblData[Scenario],"Actual",tblData[Year],selFY-1,tblData[Month],E$5)</f>
        <v>1148</v>
      </c>
      <c r="F117" s="79">
        <f>SUMIFS(tblData[Headcount],tblData[Scenario],"Actual",tblData[Year],selFY-1,tblData[Month],F$5)</f>
        <v>1150</v>
      </c>
      <c r="G117" s="79">
        <f>SUMIFS(tblData[Headcount],tblData[Scenario],"Actual",tblData[Year],selFY-1,tblData[Month],G$5)</f>
        <v>1151</v>
      </c>
      <c r="H117" s="79">
        <f>SUMIFS(tblData[Headcount],tblData[Scenario],"Actual",tblData[Year],selFY-1,tblData[Month],H$5)</f>
        <v>1153</v>
      </c>
      <c r="I117" s="79">
        <f>SUMIFS(tblData[Headcount],tblData[Scenario],"Actual",tblData[Year],selFY-1,tblData[Month],I$5)</f>
        <v>1154</v>
      </c>
      <c r="J117" s="79">
        <f>SUMIFS(tblData[Headcount],tblData[Scenario],"Actual",tblData[Year],selFY-1,tblData[Month],J$5)</f>
        <v>1156</v>
      </c>
      <c r="K117" s="79">
        <f>SUMIFS(tblData[Headcount],tblData[Scenario],"Actual",tblData[Year],selFY-1,tblData[Month],K$5)</f>
        <v>1157</v>
      </c>
      <c r="L117" s="79">
        <f>SUMIFS(tblData[Headcount],tblData[Scenario],"Actual",tblData[Year],selFY-1,tblData[Month],L$5)</f>
        <v>1159</v>
      </c>
      <c r="M117" s="79">
        <f>SUMIFS(tblData[Headcount],tblData[Scenario],"Actual",tblData[Year],selFY-1,tblData[Month],M$5)</f>
        <v>1161</v>
      </c>
      <c r="N117" s="79">
        <f>SUMIFS(tblData[Headcount],tblData[Scenario],"Actual",tblData[Year],selFY-1,tblData[Month],N$5)</f>
        <v>1162</v>
      </c>
      <c r="O117" s="79">
        <f>SUMIFS(tblData[Headcount],tblData[Scenario],"Actual",tblData[Year],selFY-1,tblData[Month],O$5)</f>
        <v>1164</v>
      </c>
    </row>
    <row r="118" spans="1:16" x14ac:dyDescent="0.25">
      <c r="A118" s="77" t="s">
        <v>94</v>
      </c>
      <c r="B118" s="77" t="s">
        <v>5</v>
      </c>
      <c r="D118" s="79">
        <f t="shared" ref="D118:O118" si="4">IF(D$5&lt;=mSel,D18,D68)</f>
        <v>4344.3</v>
      </c>
      <c r="E118" s="79">
        <f t="shared" si="4"/>
        <v>4483.8</v>
      </c>
      <c r="F118" s="79">
        <f t="shared" si="4"/>
        <v>4998.9999999999991</v>
      </c>
      <c r="G118" s="79">
        <f t="shared" si="4"/>
        <v>5148.7</v>
      </c>
      <c r="H118" s="79">
        <f t="shared" si="4"/>
        <v>5266.0999999999985</v>
      </c>
      <c r="I118" s="79">
        <f t="shared" si="4"/>
        <v>5394.6</v>
      </c>
      <c r="J118" s="79">
        <f t="shared" si="4"/>
        <v>5258.8000000000011</v>
      </c>
      <c r="K118" s="79">
        <f t="shared" si="4"/>
        <v>5379.2999999999975</v>
      </c>
      <c r="L118" s="79">
        <f t="shared" si="4"/>
        <v>5910.3999999999987</v>
      </c>
      <c r="M118" s="79">
        <f t="shared" si="4"/>
        <v>6419.5999999999995</v>
      </c>
      <c r="N118" s="79">
        <f t="shared" si="4"/>
        <v>6844.699999999998</v>
      </c>
      <c r="O118" s="79">
        <f t="shared" si="4"/>
        <v>6316.1</v>
      </c>
      <c r="P118" s="79">
        <f t="shared" ref="P118:P136" si="5">SUM(D118:O118)</f>
        <v>65765.399999999994</v>
      </c>
    </row>
    <row r="119" spans="1:16" x14ac:dyDescent="0.25">
      <c r="A119" s="77" t="s">
        <v>94</v>
      </c>
      <c r="B119" s="77" t="s">
        <v>6</v>
      </c>
      <c r="D119" s="79">
        <f t="shared" ref="D119:O119" si="6">IF(D$5&lt;=mSel,D19,D69)</f>
        <v>41.67</v>
      </c>
      <c r="E119" s="79">
        <f t="shared" si="6"/>
        <v>42.95</v>
      </c>
      <c r="F119" s="79">
        <f t="shared" si="6"/>
        <v>47.965000000000003</v>
      </c>
      <c r="G119" s="79">
        <f t="shared" si="6"/>
        <v>49.261000000000003</v>
      </c>
      <c r="H119" s="79">
        <f t="shared" si="6"/>
        <v>50.493000000000002</v>
      </c>
      <c r="I119" s="79">
        <f t="shared" si="6"/>
        <v>51.69</v>
      </c>
      <c r="J119" s="79">
        <f t="shared" si="6"/>
        <v>50.414000000000001</v>
      </c>
      <c r="K119" s="79">
        <f t="shared" si="6"/>
        <v>51.588999999999999</v>
      </c>
      <c r="L119" s="79">
        <f t="shared" si="6"/>
        <v>56.606000000000002</v>
      </c>
      <c r="M119" s="79">
        <f t="shared" si="6"/>
        <v>61.573</v>
      </c>
      <c r="N119" s="79">
        <f t="shared" si="6"/>
        <v>65.596999999999994</v>
      </c>
      <c r="O119" s="79">
        <f t="shared" si="6"/>
        <v>60.521000000000001</v>
      </c>
      <c r="P119" s="79">
        <f t="shared" si="5"/>
        <v>630.32899999999995</v>
      </c>
    </row>
    <row r="120" spans="1:16" x14ac:dyDescent="0.25">
      <c r="A120" s="77" t="s">
        <v>94</v>
      </c>
      <c r="B120" s="77" t="s">
        <v>7</v>
      </c>
      <c r="D120" s="79">
        <f t="shared" ref="D120:O120" si="7">IF(D$5&lt;=mSel,D20,D70)</f>
        <v>-6.5010000000000003</v>
      </c>
      <c r="E120" s="79">
        <f t="shared" si="7"/>
        <v>-6.718</v>
      </c>
      <c r="F120" s="79">
        <f t="shared" si="7"/>
        <v>-7.49</v>
      </c>
      <c r="G120" s="79">
        <f t="shared" si="7"/>
        <v>-7.6920000000000002</v>
      </c>
      <c r="H120" s="79">
        <f t="shared" si="7"/>
        <v>-7.8819999999999997</v>
      </c>
      <c r="I120" s="79">
        <f t="shared" si="7"/>
        <v>-8.0749999999999993</v>
      </c>
      <c r="J120" s="79">
        <f t="shared" si="7"/>
        <v>-7.8680000000000003</v>
      </c>
      <c r="K120" s="79">
        <f t="shared" si="7"/>
        <v>-8.0570000000000004</v>
      </c>
      <c r="L120" s="79">
        <f t="shared" si="7"/>
        <v>-8.827</v>
      </c>
      <c r="M120" s="79">
        <f t="shared" si="7"/>
        <v>-9.6159999999999997</v>
      </c>
      <c r="N120" s="79">
        <f t="shared" si="7"/>
        <v>-10.234999999999999</v>
      </c>
      <c r="O120" s="79">
        <f t="shared" si="7"/>
        <v>-9.4459999999999997</v>
      </c>
      <c r="P120" s="79">
        <f t="shared" si="5"/>
        <v>-98.407000000000011</v>
      </c>
    </row>
    <row r="121" spans="1:16" x14ac:dyDescent="0.25">
      <c r="A121" s="77" t="s">
        <v>94</v>
      </c>
      <c r="B121" s="77" t="s">
        <v>8</v>
      </c>
      <c r="D121" s="79">
        <f t="shared" ref="D121:O121" si="8">IF(D$5&lt;=mSel,D21,D71)</f>
        <v>-0.82099999999999995</v>
      </c>
      <c r="E121" s="79">
        <f t="shared" si="8"/>
        <v>-0.84099999999999997</v>
      </c>
      <c r="F121" s="79">
        <f t="shared" si="8"/>
        <v>-0.94299999999999995</v>
      </c>
      <c r="G121" s="79">
        <f t="shared" si="8"/>
        <v>-0.96899999999999997</v>
      </c>
      <c r="H121" s="79">
        <f t="shared" si="8"/>
        <v>-0.99399999999999999</v>
      </c>
      <c r="I121" s="79">
        <f t="shared" si="8"/>
        <v>-1.0129999999999999</v>
      </c>
      <c r="J121" s="79">
        <f t="shared" si="8"/>
        <v>-0.99099999999999999</v>
      </c>
      <c r="K121" s="79">
        <f t="shared" si="8"/>
        <v>-1.0169999999999999</v>
      </c>
      <c r="L121" s="79">
        <f t="shared" si="8"/>
        <v>-1.1140000000000001</v>
      </c>
      <c r="M121" s="79">
        <f t="shared" si="8"/>
        <v>-1.212</v>
      </c>
      <c r="N121" s="79">
        <f t="shared" si="8"/>
        <v>-1.2869999999999999</v>
      </c>
      <c r="O121" s="79">
        <f t="shared" si="8"/>
        <v>-1.1890000000000001</v>
      </c>
      <c r="P121" s="79">
        <f t="shared" si="5"/>
        <v>-12.390999999999998</v>
      </c>
    </row>
    <row r="122" spans="1:16" x14ac:dyDescent="0.25">
      <c r="A122" s="77" t="s">
        <v>94</v>
      </c>
      <c r="B122" s="77" t="s">
        <v>9</v>
      </c>
      <c r="D122" s="79">
        <f t="shared" ref="D122:O122" si="9">IF(D$5&lt;=mSel,D22,D72)</f>
        <v>-10.778</v>
      </c>
      <c r="E122" s="79">
        <f t="shared" si="9"/>
        <v>-11.105</v>
      </c>
      <c r="F122" s="79">
        <f t="shared" si="9"/>
        <v>-12.397</v>
      </c>
      <c r="G122" s="79">
        <f t="shared" si="9"/>
        <v>-12.75</v>
      </c>
      <c r="H122" s="79">
        <f t="shared" si="9"/>
        <v>-13.055</v>
      </c>
      <c r="I122" s="79">
        <f t="shared" si="9"/>
        <v>-13.368</v>
      </c>
      <c r="J122" s="79">
        <f t="shared" si="9"/>
        <v>-13.032999999999999</v>
      </c>
      <c r="K122" s="79">
        <f t="shared" si="9"/>
        <v>-13.337999999999999</v>
      </c>
      <c r="L122" s="79">
        <f t="shared" si="9"/>
        <v>-14.644</v>
      </c>
      <c r="M122" s="79">
        <f t="shared" si="9"/>
        <v>-15.920999999999999</v>
      </c>
      <c r="N122" s="79">
        <f t="shared" si="9"/>
        <v>-16.957999999999998</v>
      </c>
      <c r="O122" s="79">
        <f t="shared" si="9"/>
        <v>-15.644</v>
      </c>
      <c r="P122" s="79">
        <f t="shared" si="5"/>
        <v>-162.99100000000001</v>
      </c>
    </row>
    <row r="123" spans="1:16" x14ac:dyDescent="0.25">
      <c r="A123" s="77" t="s">
        <v>94</v>
      </c>
      <c r="B123" s="77" t="s">
        <v>10</v>
      </c>
      <c r="D123" s="79">
        <f t="shared" ref="D123:O123" si="10">IF(D$5&lt;=mSel,D23,D73)</f>
        <v>-2.653</v>
      </c>
      <c r="E123" s="79">
        <f t="shared" si="10"/>
        <v>-2.7370000000000001</v>
      </c>
      <c r="F123" s="79">
        <f t="shared" si="10"/>
        <v>-3.0539999999999998</v>
      </c>
      <c r="G123" s="79">
        <f t="shared" si="10"/>
        <v>-3.1389999999999998</v>
      </c>
      <c r="H123" s="79">
        <f t="shared" si="10"/>
        <v>-3.2170000000000001</v>
      </c>
      <c r="I123" s="79">
        <f t="shared" si="10"/>
        <v>-3.2930000000000001</v>
      </c>
      <c r="J123" s="79">
        <f t="shared" si="10"/>
        <v>-3.214</v>
      </c>
      <c r="K123" s="79">
        <f t="shared" si="10"/>
        <v>-3.2869999999999999</v>
      </c>
      <c r="L123" s="79">
        <f t="shared" si="10"/>
        <v>-3.605</v>
      </c>
      <c r="M123" s="79">
        <f t="shared" si="10"/>
        <v>-3.919</v>
      </c>
      <c r="N123" s="79">
        <f t="shared" si="10"/>
        <v>-4.1790000000000003</v>
      </c>
      <c r="O123" s="79">
        <f t="shared" si="10"/>
        <v>-3.8570000000000002</v>
      </c>
      <c r="P123" s="79">
        <f t="shared" si="5"/>
        <v>-40.153999999999996</v>
      </c>
    </row>
    <row r="124" spans="1:16" x14ac:dyDescent="0.25">
      <c r="A124" s="77" t="s">
        <v>94</v>
      </c>
      <c r="B124" s="77" t="s">
        <v>11</v>
      </c>
      <c r="D124" s="79">
        <f t="shared" ref="D124:O124" si="11">IF(D$5&lt;=mSel,D24,D74)</f>
        <v>-1.651</v>
      </c>
      <c r="E124" s="79">
        <f t="shared" si="11"/>
        <v>-1.7030000000000001</v>
      </c>
      <c r="F124" s="79">
        <f t="shared" si="11"/>
        <v>-1.9</v>
      </c>
      <c r="G124" s="79">
        <f t="shared" si="11"/>
        <v>-1.9530000000000001</v>
      </c>
      <c r="H124" s="79">
        <f t="shared" si="11"/>
        <v>-2.0019999999999998</v>
      </c>
      <c r="I124" s="79">
        <f t="shared" si="11"/>
        <v>-2.0499999999999998</v>
      </c>
      <c r="J124" s="79">
        <f t="shared" si="11"/>
        <v>-1.998</v>
      </c>
      <c r="K124" s="79">
        <f t="shared" si="11"/>
        <v>-2.0430000000000001</v>
      </c>
      <c r="L124" s="79">
        <f t="shared" si="11"/>
        <v>-2.2469999999999999</v>
      </c>
      <c r="M124" s="79">
        <f t="shared" si="11"/>
        <v>-2.44</v>
      </c>
      <c r="N124" s="79">
        <f t="shared" si="11"/>
        <v>-2.59</v>
      </c>
      <c r="O124" s="79">
        <f t="shared" si="11"/>
        <v>-2.3929999999999998</v>
      </c>
      <c r="P124" s="79">
        <f t="shared" si="5"/>
        <v>-24.970000000000002</v>
      </c>
    </row>
    <row r="125" spans="1:16" x14ac:dyDescent="0.25">
      <c r="A125" s="77" t="s">
        <v>94</v>
      </c>
      <c r="B125" s="77" t="s">
        <v>12</v>
      </c>
      <c r="D125" s="79">
        <f t="shared" ref="D125:O125" si="12">IF(D$5&lt;=mSel,D25,D75)</f>
        <v>-1.8520000000000001</v>
      </c>
      <c r="E125" s="79">
        <f t="shared" si="12"/>
        <v>-1.9059999999999999</v>
      </c>
      <c r="F125" s="79">
        <f t="shared" si="12"/>
        <v>-2.1320000000000001</v>
      </c>
      <c r="G125" s="79">
        <f t="shared" si="12"/>
        <v>-2.1859999999999999</v>
      </c>
      <c r="H125" s="79">
        <f t="shared" si="12"/>
        <v>-2.242</v>
      </c>
      <c r="I125" s="79">
        <f t="shared" si="12"/>
        <v>-2.2959999999999998</v>
      </c>
      <c r="J125" s="79">
        <f t="shared" si="12"/>
        <v>-2.242</v>
      </c>
      <c r="K125" s="79">
        <f t="shared" si="12"/>
        <v>-2.2959999999999998</v>
      </c>
      <c r="L125" s="79">
        <f t="shared" si="12"/>
        <v>-2.52</v>
      </c>
      <c r="M125" s="79">
        <f t="shared" si="12"/>
        <v>-2.7450000000000001</v>
      </c>
      <c r="N125" s="79">
        <f t="shared" si="12"/>
        <v>-2.9220000000000002</v>
      </c>
      <c r="O125" s="79">
        <f t="shared" si="12"/>
        <v>-2.694</v>
      </c>
      <c r="P125" s="79">
        <f t="shared" si="5"/>
        <v>-28.033000000000001</v>
      </c>
    </row>
    <row r="126" spans="1:16" x14ac:dyDescent="0.25">
      <c r="A126" s="77" t="s">
        <v>94</v>
      </c>
      <c r="B126" s="77" t="s">
        <v>13</v>
      </c>
      <c r="D126" s="79">
        <f t="shared" ref="D126:O126" si="13">IF(D$5&lt;=mSel,D26,D76)</f>
        <v>-1.0900000000000001</v>
      </c>
      <c r="E126" s="79">
        <f t="shared" si="13"/>
        <v>-1.129</v>
      </c>
      <c r="F126" s="79">
        <f t="shared" si="13"/>
        <v>-1.2549999999999999</v>
      </c>
      <c r="G126" s="79">
        <f t="shared" si="13"/>
        <v>-1.292</v>
      </c>
      <c r="H126" s="79">
        <f t="shared" si="13"/>
        <v>-1.3240000000000001</v>
      </c>
      <c r="I126" s="79">
        <f t="shared" si="13"/>
        <v>-1.3560000000000001</v>
      </c>
      <c r="J126" s="79">
        <f t="shared" si="13"/>
        <v>-1.3240000000000001</v>
      </c>
      <c r="K126" s="79">
        <f t="shared" si="13"/>
        <v>-1.3560000000000001</v>
      </c>
      <c r="L126" s="79">
        <f t="shared" si="13"/>
        <v>-1.492</v>
      </c>
      <c r="M126" s="79">
        <f t="shared" si="13"/>
        <v>-1.6240000000000001</v>
      </c>
      <c r="N126" s="79">
        <f t="shared" si="13"/>
        <v>-1.7190000000000001</v>
      </c>
      <c r="O126" s="79">
        <f t="shared" si="13"/>
        <v>-1.59</v>
      </c>
      <c r="P126" s="79">
        <f t="shared" si="5"/>
        <v>-16.550999999999998</v>
      </c>
    </row>
    <row r="127" spans="1:16" x14ac:dyDescent="0.25">
      <c r="A127" s="77" t="s">
        <v>94</v>
      </c>
      <c r="B127" s="77" t="s">
        <v>14</v>
      </c>
      <c r="D127" s="79">
        <f t="shared" ref="D127:O127" si="14">IF(D$5&lt;=mSel,D27,D77)</f>
        <v>-2.1259999999999999</v>
      </c>
      <c r="E127" s="79">
        <f t="shared" si="14"/>
        <v>-2.1859999999999999</v>
      </c>
      <c r="F127" s="79">
        <f t="shared" si="14"/>
        <v>-2.4420000000000002</v>
      </c>
      <c r="G127" s="79">
        <f t="shared" si="14"/>
        <v>-2.5110000000000001</v>
      </c>
      <c r="H127" s="79">
        <f t="shared" si="14"/>
        <v>-2.5750000000000002</v>
      </c>
      <c r="I127" s="79">
        <f t="shared" si="14"/>
        <v>-2.629</v>
      </c>
      <c r="J127" s="79">
        <f t="shared" si="14"/>
        <v>-2.5670000000000002</v>
      </c>
      <c r="K127" s="79">
        <f t="shared" si="14"/>
        <v>-2.6339999999999999</v>
      </c>
      <c r="L127" s="79">
        <f t="shared" si="14"/>
        <v>-2.8839999999999999</v>
      </c>
      <c r="M127" s="79">
        <f t="shared" si="14"/>
        <v>-3.1389999999999998</v>
      </c>
      <c r="N127" s="79">
        <f t="shared" si="14"/>
        <v>-3.339</v>
      </c>
      <c r="O127" s="79">
        <f t="shared" si="14"/>
        <v>-3.0840000000000001</v>
      </c>
      <c r="P127" s="79">
        <f t="shared" si="5"/>
        <v>-32.116</v>
      </c>
    </row>
    <row r="128" spans="1:16" x14ac:dyDescent="0.25">
      <c r="A128" s="77" t="s">
        <v>94</v>
      </c>
      <c r="B128" s="77" t="s">
        <v>15</v>
      </c>
      <c r="D128" s="79">
        <f t="shared" ref="D128:O128" si="15">IF(D$5&lt;=mSel,D28,D78)</f>
        <v>-1.0840000000000001</v>
      </c>
      <c r="E128" s="79">
        <f t="shared" si="15"/>
        <v>-1.1180000000000001</v>
      </c>
      <c r="F128" s="79">
        <f t="shared" si="15"/>
        <v>-1.246</v>
      </c>
      <c r="G128" s="79">
        <f t="shared" si="15"/>
        <v>-1.286</v>
      </c>
      <c r="H128" s="79">
        <f t="shared" si="15"/>
        <v>-1.3120000000000001</v>
      </c>
      <c r="I128" s="79">
        <f t="shared" si="15"/>
        <v>-1.3460000000000001</v>
      </c>
      <c r="J128" s="79">
        <f t="shared" si="15"/>
        <v>-1.3140000000000001</v>
      </c>
      <c r="K128" s="79">
        <f t="shared" si="15"/>
        <v>-1.345</v>
      </c>
      <c r="L128" s="79">
        <f t="shared" si="15"/>
        <v>-1.4750000000000001</v>
      </c>
      <c r="M128" s="79">
        <f t="shared" si="15"/>
        <v>-1.603</v>
      </c>
      <c r="N128" s="79">
        <f t="shared" si="15"/>
        <v>-1.7070000000000001</v>
      </c>
      <c r="O128" s="79">
        <f t="shared" si="15"/>
        <v>-1.575</v>
      </c>
      <c r="P128" s="79">
        <f t="shared" si="5"/>
        <v>-16.411000000000001</v>
      </c>
    </row>
    <row r="129" spans="1:16" x14ac:dyDescent="0.25">
      <c r="A129" s="77" t="s">
        <v>94</v>
      </c>
      <c r="B129" s="77" t="s">
        <v>16</v>
      </c>
      <c r="D129" s="79">
        <f t="shared" ref="D129:O129" si="16">IF(D$5&lt;=mSel,D29,D79)</f>
        <v>-4.2370000000000001</v>
      </c>
      <c r="E129" s="79">
        <f t="shared" si="16"/>
        <v>-4.2539999999999996</v>
      </c>
      <c r="F129" s="79">
        <f t="shared" si="16"/>
        <v>-4.2709999999999999</v>
      </c>
      <c r="G129" s="79">
        <f t="shared" si="16"/>
        <v>-4.2880000000000003</v>
      </c>
      <c r="H129" s="79">
        <f t="shared" si="16"/>
        <v>-4.3049999999999997</v>
      </c>
      <c r="I129" s="79">
        <f t="shared" si="16"/>
        <v>-4.3220000000000001</v>
      </c>
      <c r="J129" s="79">
        <f t="shared" si="16"/>
        <v>-4.3390000000000004</v>
      </c>
      <c r="K129" s="79">
        <f t="shared" si="16"/>
        <v>-4.3559999999999999</v>
      </c>
      <c r="L129" s="79">
        <f t="shared" si="16"/>
        <v>-4.3730000000000002</v>
      </c>
      <c r="M129" s="79">
        <f t="shared" si="16"/>
        <v>-4.3899999999999997</v>
      </c>
      <c r="N129" s="79">
        <f t="shared" si="16"/>
        <v>-4.3890000000000002</v>
      </c>
      <c r="O129" s="79">
        <f t="shared" si="16"/>
        <v>-4.4050000000000002</v>
      </c>
      <c r="P129" s="79">
        <f t="shared" si="5"/>
        <v>-51.929000000000002</v>
      </c>
    </row>
    <row r="130" spans="1:16" x14ac:dyDescent="0.25">
      <c r="A130" s="77" t="s">
        <v>94</v>
      </c>
      <c r="B130" s="77" t="s">
        <v>17</v>
      </c>
      <c r="D130" s="79">
        <f t="shared" ref="D130:O130" si="17">IF(D$5&lt;=mSel,D30,D80)</f>
        <v>-1</v>
      </c>
      <c r="E130" s="79">
        <f t="shared" si="17"/>
        <v>-1</v>
      </c>
      <c r="F130" s="79">
        <f t="shared" si="17"/>
        <v>-1</v>
      </c>
      <c r="G130" s="79">
        <f t="shared" si="17"/>
        <v>-1</v>
      </c>
      <c r="H130" s="79">
        <f t="shared" si="17"/>
        <v>-1</v>
      </c>
      <c r="I130" s="79">
        <f t="shared" si="17"/>
        <v>-1</v>
      </c>
      <c r="J130" s="79">
        <f t="shared" si="17"/>
        <v>-1</v>
      </c>
      <c r="K130" s="79">
        <f t="shared" si="17"/>
        <v>-1</v>
      </c>
      <c r="L130" s="79">
        <f t="shared" si="17"/>
        <v>-1</v>
      </c>
      <c r="M130" s="79">
        <f t="shared" si="17"/>
        <v>-1</v>
      </c>
      <c r="N130" s="79">
        <f t="shared" si="17"/>
        <v>-1.004</v>
      </c>
      <c r="O130" s="79">
        <f t="shared" si="17"/>
        <v>-1.004</v>
      </c>
      <c r="P130" s="79">
        <f t="shared" si="5"/>
        <v>-12.007999999999999</v>
      </c>
    </row>
    <row r="131" spans="1:16" x14ac:dyDescent="0.25">
      <c r="A131" s="77" t="s">
        <v>94</v>
      </c>
      <c r="B131" s="77" t="s">
        <v>18</v>
      </c>
      <c r="D131" s="79">
        <f t="shared" ref="D131:O131" si="18">IF(D$5&lt;=mSel,D31,D81)</f>
        <v>-1.28</v>
      </c>
      <c r="E131" s="79">
        <f t="shared" si="18"/>
        <v>-1.28</v>
      </c>
      <c r="F131" s="79">
        <f t="shared" si="18"/>
        <v>-1.28</v>
      </c>
      <c r="G131" s="79">
        <f t="shared" si="18"/>
        <v>-1.28</v>
      </c>
      <c r="H131" s="79">
        <f t="shared" si="18"/>
        <v>-1.28</v>
      </c>
      <c r="I131" s="79">
        <f t="shared" si="18"/>
        <v>-1.28</v>
      </c>
      <c r="J131" s="79">
        <f t="shared" si="18"/>
        <v>-1.28</v>
      </c>
      <c r="K131" s="79">
        <f t="shared" si="18"/>
        <v>-1.28</v>
      </c>
      <c r="L131" s="79">
        <f t="shared" si="18"/>
        <v>-1.28</v>
      </c>
      <c r="M131" s="79">
        <f t="shared" si="18"/>
        <v>-1.28</v>
      </c>
      <c r="N131" s="79">
        <f t="shared" si="18"/>
        <v>-1.288</v>
      </c>
      <c r="O131" s="79">
        <f t="shared" si="18"/>
        <v>-1.288</v>
      </c>
      <c r="P131" s="79">
        <f t="shared" si="5"/>
        <v>-15.375999999999999</v>
      </c>
    </row>
    <row r="132" spans="1:16" x14ac:dyDescent="0.25">
      <c r="A132" s="77" t="s">
        <v>94</v>
      </c>
      <c r="B132" s="77" t="s">
        <v>19</v>
      </c>
      <c r="D132" s="79">
        <f t="shared" ref="D132:O132" si="19">IF(D$5&lt;=mSel,D32,D82)</f>
        <v>-1.085</v>
      </c>
      <c r="E132" s="79">
        <f t="shared" si="19"/>
        <v>-1.085</v>
      </c>
      <c r="F132" s="79">
        <f t="shared" si="19"/>
        <v>-1.085</v>
      </c>
      <c r="G132" s="79">
        <f t="shared" si="19"/>
        <v>-1.085</v>
      </c>
      <c r="H132" s="79">
        <f t="shared" si="19"/>
        <v>-1.085</v>
      </c>
      <c r="I132" s="79">
        <f t="shared" si="19"/>
        <v>-1.085</v>
      </c>
      <c r="J132" s="79">
        <f t="shared" si="19"/>
        <v>-1.085</v>
      </c>
      <c r="K132" s="79">
        <f t="shared" si="19"/>
        <v>-1.085</v>
      </c>
      <c r="L132" s="79">
        <f t="shared" si="19"/>
        <v>-1.085</v>
      </c>
      <c r="M132" s="79">
        <f t="shared" si="19"/>
        <v>-1.085</v>
      </c>
      <c r="N132" s="79">
        <f t="shared" si="19"/>
        <v>-1.0940000000000001</v>
      </c>
      <c r="O132" s="79">
        <f t="shared" si="19"/>
        <v>-1.0940000000000001</v>
      </c>
      <c r="P132" s="79">
        <f t="shared" si="5"/>
        <v>-13.038</v>
      </c>
    </row>
    <row r="133" spans="1:16" x14ac:dyDescent="0.25">
      <c r="A133" s="77" t="s">
        <v>94</v>
      </c>
      <c r="B133" s="77" t="s">
        <v>20</v>
      </c>
      <c r="D133" s="79">
        <f t="shared" ref="D133:O133" si="20">IF(D$5&lt;=mSel,D33,D83)</f>
        <v>-1.48</v>
      </c>
      <c r="E133" s="79">
        <f t="shared" si="20"/>
        <v>-1.48</v>
      </c>
      <c r="F133" s="79">
        <f t="shared" si="20"/>
        <v>-1.48</v>
      </c>
      <c r="G133" s="79">
        <f t="shared" si="20"/>
        <v>-1.48</v>
      </c>
      <c r="H133" s="79">
        <f t="shared" si="20"/>
        <v>-1.48</v>
      </c>
      <c r="I133" s="79">
        <f t="shared" si="20"/>
        <v>-1.48</v>
      </c>
      <c r="J133" s="79">
        <f t="shared" si="20"/>
        <v>-1.48</v>
      </c>
      <c r="K133" s="79">
        <f t="shared" si="20"/>
        <v>-1.48</v>
      </c>
      <c r="L133" s="79">
        <f t="shared" si="20"/>
        <v>-1.48</v>
      </c>
      <c r="M133" s="79">
        <f t="shared" si="20"/>
        <v>-1.48</v>
      </c>
      <c r="N133" s="79">
        <f t="shared" si="20"/>
        <v>-1.48</v>
      </c>
      <c r="O133" s="79">
        <f t="shared" si="20"/>
        <v>-1.48</v>
      </c>
      <c r="P133" s="79">
        <f t="shared" si="5"/>
        <v>-17.760000000000002</v>
      </c>
    </row>
    <row r="134" spans="1:16" x14ac:dyDescent="0.25">
      <c r="A134" s="77" t="s">
        <v>94</v>
      </c>
      <c r="B134" s="77" t="s">
        <v>21</v>
      </c>
      <c r="D134" s="79">
        <f t="shared" ref="D134:O134" si="21">IF(D$5&lt;=mSel,D34,D84)</f>
        <v>-0.71199999999999997</v>
      </c>
      <c r="E134" s="79">
        <f t="shared" si="21"/>
        <v>-0.71199999999999997</v>
      </c>
      <c r="F134" s="79">
        <f t="shared" si="21"/>
        <v>-0.71199999999999997</v>
      </c>
      <c r="G134" s="79">
        <f t="shared" si="21"/>
        <v>-0.70299999999999996</v>
      </c>
      <c r="H134" s="79">
        <f t="shared" si="21"/>
        <v>-0.70299999999999996</v>
      </c>
      <c r="I134" s="79">
        <f t="shared" si="21"/>
        <v>-0.70299999999999996</v>
      </c>
      <c r="J134" s="79">
        <f t="shared" si="21"/>
        <v>-0.69399999999999995</v>
      </c>
      <c r="K134" s="79">
        <f t="shared" si="21"/>
        <v>-0.69399999999999995</v>
      </c>
      <c r="L134" s="79">
        <f t="shared" si="21"/>
        <v>-0.69399999999999995</v>
      </c>
      <c r="M134" s="79">
        <f t="shared" si="21"/>
        <v>-0.68400000000000005</v>
      </c>
      <c r="N134" s="79">
        <f t="shared" si="21"/>
        <v>-0.68400000000000005</v>
      </c>
      <c r="O134" s="79">
        <f t="shared" si="21"/>
        <v>-0.68400000000000005</v>
      </c>
      <c r="P134" s="79">
        <f t="shared" si="5"/>
        <v>-8.3789999999999996</v>
      </c>
    </row>
    <row r="135" spans="1:16" x14ac:dyDescent="0.25">
      <c r="A135" s="77" t="s">
        <v>94</v>
      </c>
      <c r="B135" s="77" t="s">
        <v>22</v>
      </c>
      <c r="D135" s="79">
        <f t="shared" ref="D135:O135" si="22">IF(D$5&lt;=mSel,D35,D85)</f>
        <v>-0.82899999999999996</v>
      </c>
      <c r="E135" s="79">
        <f t="shared" si="22"/>
        <v>-0.92500000000000004</v>
      </c>
      <c r="F135" s="79">
        <f t="shared" si="22"/>
        <v>-1.319</v>
      </c>
      <c r="G135" s="79">
        <f t="shared" si="22"/>
        <v>-1.4139999999999999</v>
      </c>
      <c r="H135" s="79">
        <f t="shared" si="22"/>
        <v>-1.51</v>
      </c>
      <c r="I135" s="79">
        <f t="shared" si="22"/>
        <v>-1.5980000000000001</v>
      </c>
      <c r="J135" s="79">
        <f t="shared" si="22"/>
        <v>-1.498</v>
      </c>
      <c r="K135" s="79">
        <f t="shared" si="22"/>
        <v>-1.58</v>
      </c>
      <c r="L135" s="79">
        <f t="shared" si="22"/>
        <v>-1.972</v>
      </c>
      <c r="M135" s="79">
        <f t="shared" si="22"/>
        <v>-2.359</v>
      </c>
      <c r="N135" s="79">
        <f t="shared" si="22"/>
        <v>-2.6789999999999998</v>
      </c>
      <c r="O135" s="79">
        <f t="shared" si="22"/>
        <v>-2.2749999999999999</v>
      </c>
      <c r="P135" s="79">
        <f t="shared" si="5"/>
        <v>-19.957999999999998</v>
      </c>
    </row>
    <row r="136" spans="1:16" x14ac:dyDescent="0.25">
      <c r="A136" s="77" t="s">
        <v>94</v>
      </c>
      <c r="B136" s="77" t="s">
        <v>23</v>
      </c>
      <c r="D136" s="79">
        <f t="shared" ref="D136:O136" si="23">IF(D$5&lt;=mSel,D36,D86)</f>
        <v>-1.1339999999999999</v>
      </c>
      <c r="E136" s="79">
        <f t="shared" si="23"/>
        <v>-1.1679999999999999</v>
      </c>
      <c r="F136" s="79">
        <f t="shared" si="23"/>
        <v>-1.3049999999999999</v>
      </c>
      <c r="G136" s="79">
        <f t="shared" si="23"/>
        <v>-1.34</v>
      </c>
      <c r="H136" s="79">
        <f t="shared" si="23"/>
        <v>-1.373</v>
      </c>
      <c r="I136" s="79">
        <f t="shared" si="23"/>
        <v>-1.4059999999999999</v>
      </c>
      <c r="J136" s="79">
        <f t="shared" si="23"/>
        <v>-1.288</v>
      </c>
      <c r="K136" s="79">
        <f t="shared" si="23"/>
        <v>-1.3180000000000001</v>
      </c>
      <c r="L136" s="79">
        <f t="shared" si="23"/>
        <v>-1.4470000000000001</v>
      </c>
      <c r="M136" s="79">
        <f t="shared" si="23"/>
        <v>-1.573</v>
      </c>
      <c r="N136" s="79">
        <f t="shared" si="23"/>
        <v>-1.6759999999999999</v>
      </c>
      <c r="O136" s="79">
        <f t="shared" si="23"/>
        <v>-1.5469999999999999</v>
      </c>
      <c r="P136" s="79">
        <f t="shared" si="5"/>
        <v>-16.574999999999999</v>
      </c>
    </row>
    <row r="137" spans="1:16" x14ac:dyDescent="0.25">
      <c r="A137" s="77" t="s">
        <v>94</v>
      </c>
      <c r="B137" s="77" t="s">
        <v>24</v>
      </c>
      <c r="C137" s="79">
        <f>O112</f>
        <v>72.138999999999996</v>
      </c>
      <c r="D137" s="79">
        <f t="shared" ref="D137:O137" si="24">IF(D$5&lt;=mSel,D37,D87)</f>
        <v>54.383000000000003</v>
      </c>
      <c r="E137" s="79">
        <f t="shared" si="24"/>
        <v>55.207999999999998</v>
      </c>
      <c r="F137" s="79">
        <f t="shared" si="24"/>
        <v>57.689</v>
      </c>
      <c r="G137" s="79">
        <f t="shared" si="24"/>
        <v>60.988</v>
      </c>
      <c r="H137" s="79">
        <f t="shared" si="24"/>
        <v>64.281999999999996</v>
      </c>
      <c r="I137" s="79">
        <f t="shared" si="24"/>
        <v>65.908000000000001</v>
      </c>
      <c r="J137" s="79">
        <f t="shared" si="24"/>
        <v>66.44</v>
      </c>
      <c r="K137" s="79">
        <f t="shared" si="24"/>
        <v>66.903999999999996</v>
      </c>
      <c r="L137" s="79">
        <f t="shared" si="24"/>
        <v>69.046999999999997</v>
      </c>
      <c r="M137" s="79">
        <f t="shared" si="24"/>
        <v>73.873000000000005</v>
      </c>
      <c r="N137" s="79">
        <f t="shared" si="24"/>
        <v>80.292000000000002</v>
      </c>
      <c r="O137" s="79">
        <f t="shared" si="24"/>
        <v>81.864999999999995</v>
      </c>
    </row>
    <row r="138" spans="1:16" x14ac:dyDescent="0.25">
      <c r="A138" s="77" t="s">
        <v>94</v>
      </c>
      <c r="B138" s="77" t="s">
        <v>25</v>
      </c>
      <c r="C138" s="79">
        <f>O113</f>
        <v>59.533000000000001</v>
      </c>
      <c r="D138" s="79">
        <f t="shared" ref="D138:O138" si="25">IF(D$5&lt;=mSel,D38,D88)</f>
        <v>48.093000000000004</v>
      </c>
      <c r="E138" s="79">
        <f t="shared" si="25"/>
        <v>48.765999999999998</v>
      </c>
      <c r="F138" s="79">
        <f t="shared" si="25"/>
        <v>50.920999999999999</v>
      </c>
      <c r="G138" s="79">
        <f t="shared" si="25"/>
        <v>53.808999999999997</v>
      </c>
      <c r="H138" s="79">
        <f t="shared" si="25"/>
        <v>56.725999999999999</v>
      </c>
      <c r="I138" s="79">
        <f t="shared" si="25"/>
        <v>58.151000000000003</v>
      </c>
      <c r="J138" s="79">
        <f t="shared" si="25"/>
        <v>58.591000000000001</v>
      </c>
      <c r="K138" s="79">
        <f t="shared" si="25"/>
        <v>59.008000000000003</v>
      </c>
      <c r="L138" s="79">
        <f t="shared" si="25"/>
        <v>60.932000000000002</v>
      </c>
      <c r="M138" s="79">
        <f t="shared" si="25"/>
        <v>65.239999999999995</v>
      </c>
      <c r="N138" s="79">
        <f t="shared" si="25"/>
        <v>70.515000000000001</v>
      </c>
      <c r="O138" s="79">
        <f t="shared" si="25"/>
        <v>72.058999999999997</v>
      </c>
    </row>
    <row r="139" spans="1:16" x14ac:dyDescent="0.25">
      <c r="A139" s="77" t="s">
        <v>94</v>
      </c>
      <c r="B139" s="77" t="s">
        <v>26</v>
      </c>
      <c r="C139" s="79">
        <f>O114</f>
        <v>36.884</v>
      </c>
      <c r="D139" s="79">
        <f t="shared" ref="D139:O139" si="26">IF(D$5&lt;=mSel,D39,D89)</f>
        <v>27.783999999999999</v>
      </c>
      <c r="E139" s="79">
        <f t="shared" si="26"/>
        <v>28.63</v>
      </c>
      <c r="F139" s="79">
        <f t="shared" si="26"/>
        <v>31.957000000000001</v>
      </c>
      <c r="G139" s="79">
        <f t="shared" si="26"/>
        <v>32.863</v>
      </c>
      <c r="H139" s="79">
        <f t="shared" si="26"/>
        <v>33.658999999999999</v>
      </c>
      <c r="I139" s="79">
        <f t="shared" si="26"/>
        <v>34.462000000000003</v>
      </c>
      <c r="J139" s="79">
        <f t="shared" si="26"/>
        <v>33.61</v>
      </c>
      <c r="K139" s="79">
        <f t="shared" si="26"/>
        <v>34.39</v>
      </c>
      <c r="L139" s="79">
        <f t="shared" si="26"/>
        <v>37.753</v>
      </c>
      <c r="M139" s="79">
        <f t="shared" si="26"/>
        <v>41.042000000000002</v>
      </c>
      <c r="N139" s="79">
        <f t="shared" si="26"/>
        <v>44.018000000000001</v>
      </c>
      <c r="O139" s="79">
        <f t="shared" si="26"/>
        <v>40.616</v>
      </c>
    </row>
    <row r="140" spans="1:16" x14ac:dyDescent="0.25">
      <c r="A140" s="77" t="s">
        <v>94</v>
      </c>
      <c r="B140" s="77" t="s">
        <v>27</v>
      </c>
      <c r="D140" s="79">
        <f t="shared" ref="D140:O140" si="27">IF(D$5&lt;=mSel,D40,D90)</f>
        <v>62.078000000000003</v>
      </c>
      <c r="E140" s="79">
        <f t="shared" si="27"/>
        <v>64.513000000000005</v>
      </c>
      <c r="F140" s="79">
        <f t="shared" si="27"/>
        <v>64.835999999999999</v>
      </c>
      <c r="G140" s="79">
        <f t="shared" si="27"/>
        <v>63.938000000000002</v>
      </c>
      <c r="H140" s="79">
        <f t="shared" si="27"/>
        <v>45.161999999999999</v>
      </c>
      <c r="I140" s="79">
        <f t="shared" si="27"/>
        <v>45.274999999999999</v>
      </c>
      <c r="J140" s="79">
        <f t="shared" si="27"/>
        <v>48.140999999999998</v>
      </c>
      <c r="K140" s="79">
        <f t="shared" si="27"/>
        <v>52.939</v>
      </c>
      <c r="L140" s="79">
        <f t="shared" si="27"/>
        <v>55.686999999999998</v>
      </c>
      <c r="M140" s="79">
        <f t="shared" si="27"/>
        <v>56.825000000000003</v>
      </c>
      <c r="N140" s="79">
        <f t="shared" si="27"/>
        <v>56.868000000000002</v>
      </c>
      <c r="O140" s="79">
        <f t="shared" si="27"/>
        <v>54.603999999999999</v>
      </c>
    </row>
    <row r="141" spans="1:16" x14ac:dyDescent="0.25">
      <c r="A141" s="77" t="s">
        <v>94</v>
      </c>
      <c r="B141" s="77" t="s">
        <v>28</v>
      </c>
      <c r="D141" s="79">
        <f t="shared" ref="D141:O141" si="28">IF(D$5&lt;=mSel,D41,D91)</f>
        <v>190</v>
      </c>
      <c r="E141" s="79">
        <f t="shared" si="28"/>
        <v>190</v>
      </c>
      <c r="F141" s="79">
        <f t="shared" si="28"/>
        <v>187.5</v>
      </c>
      <c r="G141" s="79">
        <f t="shared" si="28"/>
        <v>187.5</v>
      </c>
      <c r="H141" s="79">
        <f t="shared" si="28"/>
        <v>187.5</v>
      </c>
      <c r="I141" s="79">
        <f t="shared" si="28"/>
        <v>185</v>
      </c>
      <c r="J141" s="79">
        <f t="shared" si="28"/>
        <v>185</v>
      </c>
      <c r="K141" s="79">
        <f t="shared" si="28"/>
        <v>185</v>
      </c>
      <c r="L141" s="79">
        <f t="shared" si="28"/>
        <v>182.5</v>
      </c>
      <c r="M141" s="79">
        <f t="shared" si="28"/>
        <v>182.5</v>
      </c>
      <c r="N141" s="79">
        <f t="shared" si="28"/>
        <v>182.5</v>
      </c>
      <c r="O141" s="79">
        <f t="shared" si="28"/>
        <v>180</v>
      </c>
    </row>
    <row r="142" spans="1:16" x14ac:dyDescent="0.25">
      <c r="A142" s="77" t="s">
        <v>94</v>
      </c>
      <c r="B142" s="77" t="s">
        <v>29</v>
      </c>
      <c r="D142" s="79">
        <f t="shared" ref="D142:O142" si="29">IF(D$5&lt;=mSel,D42,D92)</f>
        <v>1173</v>
      </c>
      <c r="E142" s="79">
        <f t="shared" si="29"/>
        <v>1176</v>
      </c>
      <c r="F142" s="79">
        <f t="shared" si="29"/>
        <v>1178</v>
      </c>
      <c r="G142" s="79">
        <f t="shared" si="29"/>
        <v>1181</v>
      </c>
      <c r="H142" s="79">
        <f t="shared" si="29"/>
        <v>1184</v>
      </c>
      <c r="I142" s="79">
        <f t="shared" si="29"/>
        <v>1186</v>
      </c>
      <c r="J142" s="79">
        <f t="shared" si="29"/>
        <v>1189</v>
      </c>
      <c r="K142" s="79">
        <f t="shared" si="29"/>
        <v>1192</v>
      </c>
      <c r="L142" s="79">
        <f t="shared" si="29"/>
        <v>1195</v>
      </c>
      <c r="M142" s="79">
        <f t="shared" si="29"/>
        <v>1197</v>
      </c>
      <c r="N142" s="79">
        <f t="shared" si="29"/>
        <v>1200</v>
      </c>
      <c r="O142" s="79">
        <f t="shared" si="29"/>
        <v>1202</v>
      </c>
    </row>
    <row r="143" spans="1:16" x14ac:dyDescent="0.25">
      <c r="A143" s="76" t="s">
        <v>95</v>
      </c>
    </row>
    <row r="144" spans="1:16" x14ac:dyDescent="0.25">
      <c r="A144" s="77" t="s">
        <v>94</v>
      </c>
      <c r="B144" s="77" t="s">
        <v>30</v>
      </c>
      <c r="D144" s="79">
        <f t="shared" ref="D144:O144" si="30">D119+D120+D121</f>
        <v>34.348000000000006</v>
      </c>
      <c r="E144" s="79">
        <f t="shared" si="30"/>
        <v>35.390999999999998</v>
      </c>
      <c r="F144" s="79">
        <f t="shared" si="30"/>
        <v>39.532000000000004</v>
      </c>
      <c r="G144" s="79">
        <f t="shared" si="30"/>
        <v>40.6</v>
      </c>
      <c r="H144" s="79">
        <f t="shared" si="30"/>
        <v>41.617000000000004</v>
      </c>
      <c r="I144" s="79">
        <f t="shared" si="30"/>
        <v>42.601999999999997</v>
      </c>
      <c r="J144" s="79">
        <f t="shared" si="30"/>
        <v>41.555</v>
      </c>
      <c r="K144" s="79">
        <f t="shared" si="30"/>
        <v>42.514999999999993</v>
      </c>
      <c r="L144" s="79">
        <f t="shared" si="30"/>
        <v>46.665000000000006</v>
      </c>
      <c r="M144" s="79">
        <f t="shared" si="30"/>
        <v>50.744999999999997</v>
      </c>
      <c r="N144" s="79">
        <f t="shared" si="30"/>
        <v>54.074999999999996</v>
      </c>
      <c r="O144" s="79">
        <f t="shared" si="30"/>
        <v>49.886000000000003</v>
      </c>
      <c r="P144" s="79">
        <f t="shared" ref="P144:P154" si="31">SUM(D144:O144)</f>
        <v>519.53099999999995</v>
      </c>
    </row>
    <row r="145" spans="1:16" x14ac:dyDescent="0.25">
      <c r="A145" s="77" t="s">
        <v>94</v>
      </c>
      <c r="B145" s="77" t="s">
        <v>31</v>
      </c>
      <c r="D145" s="79">
        <f t="shared" ref="D145:O145" si="32">D122+D123+D124</f>
        <v>-15.082000000000001</v>
      </c>
      <c r="E145" s="79">
        <f t="shared" si="32"/>
        <v>-15.545</v>
      </c>
      <c r="F145" s="79">
        <f t="shared" si="32"/>
        <v>-17.350999999999999</v>
      </c>
      <c r="G145" s="79">
        <f t="shared" si="32"/>
        <v>-17.841999999999999</v>
      </c>
      <c r="H145" s="79">
        <f t="shared" si="32"/>
        <v>-18.273999999999997</v>
      </c>
      <c r="I145" s="79">
        <f t="shared" si="32"/>
        <v>-18.711000000000002</v>
      </c>
      <c r="J145" s="79">
        <f t="shared" si="32"/>
        <v>-18.245000000000001</v>
      </c>
      <c r="K145" s="79">
        <f t="shared" si="32"/>
        <v>-18.667999999999999</v>
      </c>
      <c r="L145" s="79">
        <f t="shared" si="32"/>
        <v>-20.495999999999999</v>
      </c>
      <c r="M145" s="79">
        <f t="shared" si="32"/>
        <v>-22.28</v>
      </c>
      <c r="N145" s="79">
        <f t="shared" si="32"/>
        <v>-23.727</v>
      </c>
      <c r="O145" s="79">
        <f t="shared" si="32"/>
        <v>-21.894000000000002</v>
      </c>
      <c r="P145" s="79">
        <f t="shared" si="31"/>
        <v>-228.11500000000001</v>
      </c>
    </row>
    <row r="146" spans="1:16" x14ac:dyDescent="0.25">
      <c r="A146" s="77" t="s">
        <v>94</v>
      </c>
      <c r="B146" s="77" t="s">
        <v>32</v>
      </c>
      <c r="D146" s="79">
        <f t="shared" ref="D146:O146" si="33">D144+D145</f>
        <v>19.266000000000005</v>
      </c>
      <c r="E146" s="79">
        <f t="shared" si="33"/>
        <v>19.845999999999997</v>
      </c>
      <c r="F146" s="79">
        <f t="shared" si="33"/>
        <v>22.181000000000004</v>
      </c>
      <c r="G146" s="79">
        <f t="shared" si="33"/>
        <v>22.758000000000003</v>
      </c>
      <c r="H146" s="79">
        <f t="shared" si="33"/>
        <v>23.343000000000007</v>
      </c>
      <c r="I146" s="79">
        <f t="shared" si="33"/>
        <v>23.890999999999995</v>
      </c>
      <c r="J146" s="79">
        <f t="shared" si="33"/>
        <v>23.31</v>
      </c>
      <c r="K146" s="79">
        <f t="shared" si="33"/>
        <v>23.846999999999994</v>
      </c>
      <c r="L146" s="79">
        <f t="shared" si="33"/>
        <v>26.169000000000008</v>
      </c>
      <c r="M146" s="79">
        <f t="shared" si="33"/>
        <v>28.464999999999996</v>
      </c>
      <c r="N146" s="79">
        <f t="shared" si="33"/>
        <v>30.347999999999995</v>
      </c>
      <c r="O146" s="79">
        <f t="shared" si="33"/>
        <v>27.992000000000001</v>
      </c>
      <c r="P146" s="79">
        <f t="shared" si="31"/>
        <v>291.41600000000005</v>
      </c>
    </row>
    <row r="147" spans="1:16" x14ac:dyDescent="0.25">
      <c r="A147" s="77" t="s">
        <v>94</v>
      </c>
      <c r="B147" s="77" t="s">
        <v>33</v>
      </c>
      <c r="D147" s="79">
        <f t="shared" ref="D147:O147" si="34">D125+D126</f>
        <v>-2.9420000000000002</v>
      </c>
      <c r="E147" s="79">
        <f t="shared" si="34"/>
        <v>-3.0350000000000001</v>
      </c>
      <c r="F147" s="79">
        <f t="shared" si="34"/>
        <v>-3.387</v>
      </c>
      <c r="G147" s="79">
        <f t="shared" si="34"/>
        <v>-3.4779999999999998</v>
      </c>
      <c r="H147" s="79">
        <f t="shared" si="34"/>
        <v>-3.5659999999999998</v>
      </c>
      <c r="I147" s="79">
        <f t="shared" si="34"/>
        <v>-3.6520000000000001</v>
      </c>
      <c r="J147" s="79">
        <f t="shared" si="34"/>
        <v>-3.5659999999999998</v>
      </c>
      <c r="K147" s="79">
        <f t="shared" si="34"/>
        <v>-3.6520000000000001</v>
      </c>
      <c r="L147" s="79">
        <f t="shared" si="34"/>
        <v>-4.0120000000000005</v>
      </c>
      <c r="M147" s="79">
        <f t="shared" si="34"/>
        <v>-4.3689999999999998</v>
      </c>
      <c r="N147" s="79">
        <f t="shared" si="34"/>
        <v>-4.641</v>
      </c>
      <c r="O147" s="79">
        <f t="shared" si="34"/>
        <v>-4.2839999999999998</v>
      </c>
      <c r="P147" s="79">
        <f t="shared" si="31"/>
        <v>-44.584000000000003</v>
      </c>
    </row>
    <row r="148" spans="1:16" x14ac:dyDescent="0.25">
      <c r="A148" s="77" t="s">
        <v>94</v>
      </c>
      <c r="B148" s="77" t="s">
        <v>34</v>
      </c>
      <c r="D148" s="79">
        <f t="shared" ref="D148:O148" si="35">D127+D128</f>
        <v>-3.21</v>
      </c>
      <c r="E148" s="79">
        <f t="shared" si="35"/>
        <v>-3.3040000000000003</v>
      </c>
      <c r="F148" s="79">
        <f t="shared" si="35"/>
        <v>-3.6880000000000002</v>
      </c>
      <c r="G148" s="79">
        <f t="shared" si="35"/>
        <v>-3.7970000000000002</v>
      </c>
      <c r="H148" s="79">
        <f t="shared" si="35"/>
        <v>-3.8870000000000005</v>
      </c>
      <c r="I148" s="79">
        <f t="shared" si="35"/>
        <v>-3.9750000000000001</v>
      </c>
      <c r="J148" s="79">
        <f t="shared" si="35"/>
        <v>-3.8810000000000002</v>
      </c>
      <c r="K148" s="79">
        <f t="shared" si="35"/>
        <v>-3.9790000000000001</v>
      </c>
      <c r="L148" s="79">
        <f t="shared" si="35"/>
        <v>-4.359</v>
      </c>
      <c r="M148" s="79">
        <f t="shared" si="35"/>
        <v>-4.742</v>
      </c>
      <c r="N148" s="79">
        <f t="shared" si="35"/>
        <v>-5.0460000000000003</v>
      </c>
      <c r="O148" s="79">
        <f t="shared" si="35"/>
        <v>-4.6589999999999998</v>
      </c>
      <c r="P148" s="79">
        <f t="shared" si="31"/>
        <v>-48.527000000000001</v>
      </c>
    </row>
    <row r="149" spans="1:16" x14ac:dyDescent="0.25">
      <c r="A149" s="77" t="s">
        <v>94</v>
      </c>
      <c r="B149" s="77" t="s">
        <v>96</v>
      </c>
      <c r="D149" s="79">
        <f t="shared" ref="D149:O149" si="36">D146+D147+D148</f>
        <v>13.114000000000004</v>
      </c>
      <c r="E149" s="79">
        <f t="shared" si="36"/>
        <v>13.506999999999996</v>
      </c>
      <c r="F149" s="79">
        <f t="shared" si="36"/>
        <v>15.106000000000003</v>
      </c>
      <c r="G149" s="79">
        <f t="shared" si="36"/>
        <v>15.483000000000001</v>
      </c>
      <c r="H149" s="79">
        <f t="shared" si="36"/>
        <v>15.890000000000008</v>
      </c>
      <c r="I149" s="79">
        <f t="shared" si="36"/>
        <v>16.263999999999992</v>
      </c>
      <c r="J149" s="79">
        <f t="shared" si="36"/>
        <v>15.863</v>
      </c>
      <c r="K149" s="79">
        <f t="shared" si="36"/>
        <v>16.215999999999994</v>
      </c>
      <c r="L149" s="79">
        <f t="shared" si="36"/>
        <v>17.798000000000009</v>
      </c>
      <c r="M149" s="79">
        <f t="shared" si="36"/>
        <v>19.353999999999996</v>
      </c>
      <c r="N149" s="79">
        <f t="shared" si="36"/>
        <v>20.660999999999994</v>
      </c>
      <c r="O149" s="79">
        <f t="shared" si="36"/>
        <v>19.049000000000003</v>
      </c>
      <c r="P149" s="79">
        <f t="shared" si="31"/>
        <v>198.30500000000001</v>
      </c>
    </row>
    <row r="150" spans="1:16" x14ac:dyDescent="0.25">
      <c r="A150" s="77" t="s">
        <v>94</v>
      </c>
      <c r="B150" s="77" t="s">
        <v>97</v>
      </c>
      <c r="D150" s="79">
        <f t="shared" ref="D150:O150" si="37">D129+D130+D131+D132</f>
        <v>-7.6020000000000003</v>
      </c>
      <c r="E150" s="79">
        <f t="shared" si="37"/>
        <v>-7.6189999999999998</v>
      </c>
      <c r="F150" s="79">
        <f t="shared" si="37"/>
        <v>-7.6360000000000001</v>
      </c>
      <c r="G150" s="79">
        <f t="shared" si="37"/>
        <v>-7.6530000000000005</v>
      </c>
      <c r="H150" s="79">
        <f t="shared" si="37"/>
        <v>-7.67</v>
      </c>
      <c r="I150" s="79">
        <f t="shared" si="37"/>
        <v>-7.6870000000000003</v>
      </c>
      <c r="J150" s="79">
        <f t="shared" si="37"/>
        <v>-7.7040000000000006</v>
      </c>
      <c r="K150" s="79">
        <f t="shared" si="37"/>
        <v>-7.7210000000000001</v>
      </c>
      <c r="L150" s="79">
        <f t="shared" si="37"/>
        <v>-7.7380000000000004</v>
      </c>
      <c r="M150" s="79">
        <f t="shared" si="37"/>
        <v>-7.7549999999999999</v>
      </c>
      <c r="N150" s="79">
        <f t="shared" si="37"/>
        <v>-7.7750000000000012</v>
      </c>
      <c r="O150" s="79">
        <f t="shared" si="37"/>
        <v>-7.7910000000000013</v>
      </c>
      <c r="P150" s="79">
        <f t="shared" si="31"/>
        <v>-92.350999999999999</v>
      </c>
    </row>
    <row r="151" spans="1:16" x14ac:dyDescent="0.25">
      <c r="A151" s="77" t="s">
        <v>94</v>
      </c>
      <c r="B151" s="77" t="s">
        <v>98</v>
      </c>
      <c r="D151" s="79">
        <f t="shared" ref="D151:O151" si="38">D149+D150</f>
        <v>5.512000000000004</v>
      </c>
      <c r="E151" s="79">
        <f t="shared" si="38"/>
        <v>5.8879999999999963</v>
      </c>
      <c r="F151" s="79">
        <f t="shared" si="38"/>
        <v>7.4700000000000033</v>
      </c>
      <c r="G151" s="79">
        <f t="shared" si="38"/>
        <v>7.83</v>
      </c>
      <c r="H151" s="79">
        <f t="shared" si="38"/>
        <v>8.2200000000000077</v>
      </c>
      <c r="I151" s="79">
        <f t="shared" si="38"/>
        <v>8.5769999999999911</v>
      </c>
      <c r="J151" s="79">
        <f t="shared" si="38"/>
        <v>8.1589999999999989</v>
      </c>
      <c r="K151" s="79">
        <f t="shared" si="38"/>
        <v>8.4949999999999939</v>
      </c>
      <c r="L151" s="79">
        <f t="shared" si="38"/>
        <v>10.060000000000009</v>
      </c>
      <c r="M151" s="79">
        <f t="shared" si="38"/>
        <v>11.598999999999997</v>
      </c>
      <c r="N151" s="79">
        <f t="shared" si="38"/>
        <v>12.885999999999992</v>
      </c>
      <c r="O151" s="79">
        <f t="shared" si="38"/>
        <v>11.258000000000003</v>
      </c>
      <c r="P151" s="79">
        <f t="shared" si="31"/>
        <v>105.95400000000001</v>
      </c>
    </row>
    <row r="152" spans="1:16" x14ac:dyDescent="0.25">
      <c r="A152" s="77" t="s">
        <v>94</v>
      </c>
      <c r="B152" s="77" t="s">
        <v>99</v>
      </c>
      <c r="D152" s="79">
        <f t="shared" ref="D152:O154" si="39">D151+D133</f>
        <v>4.0320000000000036</v>
      </c>
      <c r="E152" s="79">
        <f t="shared" si="39"/>
        <v>4.4079999999999959</v>
      </c>
      <c r="F152" s="79">
        <f t="shared" si="39"/>
        <v>5.9900000000000038</v>
      </c>
      <c r="G152" s="79">
        <f t="shared" si="39"/>
        <v>6.35</v>
      </c>
      <c r="H152" s="79">
        <f t="shared" si="39"/>
        <v>6.7400000000000073</v>
      </c>
      <c r="I152" s="79">
        <f t="shared" si="39"/>
        <v>7.0969999999999906</v>
      </c>
      <c r="J152" s="79">
        <f t="shared" si="39"/>
        <v>6.6789999999999985</v>
      </c>
      <c r="K152" s="79">
        <f t="shared" si="39"/>
        <v>7.0149999999999935</v>
      </c>
      <c r="L152" s="79">
        <f t="shared" si="39"/>
        <v>8.580000000000009</v>
      </c>
      <c r="M152" s="79">
        <f t="shared" si="39"/>
        <v>10.118999999999996</v>
      </c>
      <c r="N152" s="79">
        <f t="shared" si="39"/>
        <v>11.405999999999992</v>
      </c>
      <c r="O152" s="79">
        <f t="shared" si="39"/>
        <v>9.7780000000000022</v>
      </c>
      <c r="P152" s="79">
        <f t="shared" si="31"/>
        <v>88.194000000000003</v>
      </c>
    </row>
    <row r="153" spans="1:16" x14ac:dyDescent="0.25">
      <c r="A153" s="77" t="s">
        <v>94</v>
      </c>
      <c r="B153" s="77" t="s">
        <v>100</v>
      </c>
      <c r="D153" s="79">
        <f t="shared" si="39"/>
        <v>3.3200000000000038</v>
      </c>
      <c r="E153" s="79">
        <f t="shared" si="39"/>
        <v>3.6959999999999962</v>
      </c>
      <c r="F153" s="79">
        <f t="shared" si="39"/>
        <v>5.278000000000004</v>
      </c>
      <c r="G153" s="79">
        <f t="shared" si="39"/>
        <v>5.6469999999999994</v>
      </c>
      <c r="H153" s="79">
        <f t="shared" si="39"/>
        <v>6.037000000000007</v>
      </c>
      <c r="I153" s="79">
        <f t="shared" si="39"/>
        <v>6.3939999999999904</v>
      </c>
      <c r="J153" s="79">
        <f t="shared" si="39"/>
        <v>5.9849999999999985</v>
      </c>
      <c r="K153" s="79">
        <f t="shared" si="39"/>
        <v>6.3209999999999935</v>
      </c>
      <c r="L153" s="79">
        <f t="shared" si="39"/>
        <v>7.886000000000009</v>
      </c>
      <c r="M153" s="79">
        <f t="shared" si="39"/>
        <v>9.4349999999999969</v>
      </c>
      <c r="N153" s="79">
        <f t="shared" si="39"/>
        <v>10.721999999999992</v>
      </c>
      <c r="O153" s="79">
        <f t="shared" si="39"/>
        <v>9.094000000000003</v>
      </c>
      <c r="P153" s="79">
        <f t="shared" si="31"/>
        <v>79.814999999999998</v>
      </c>
    </row>
    <row r="154" spans="1:16" x14ac:dyDescent="0.25">
      <c r="A154" s="77" t="s">
        <v>94</v>
      </c>
      <c r="B154" s="77" t="s">
        <v>101</v>
      </c>
      <c r="D154" s="79">
        <f t="shared" si="39"/>
        <v>2.4910000000000041</v>
      </c>
      <c r="E154" s="79">
        <f t="shared" si="39"/>
        <v>2.7709999999999964</v>
      </c>
      <c r="F154" s="79">
        <f t="shared" si="39"/>
        <v>3.9590000000000041</v>
      </c>
      <c r="G154" s="79">
        <f t="shared" si="39"/>
        <v>4.2329999999999997</v>
      </c>
      <c r="H154" s="79">
        <f t="shared" si="39"/>
        <v>4.5270000000000072</v>
      </c>
      <c r="I154" s="79">
        <f t="shared" si="39"/>
        <v>4.7959999999999905</v>
      </c>
      <c r="J154" s="79">
        <f t="shared" si="39"/>
        <v>4.4869999999999983</v>
      </c>
      <c r="K154" s="79">
        <f t="shared" si="39"/>
        <v>4.7409999999999934</v>
      </c>
      <c r="L154" s="79">
        <f t="shared" si="39"/>
        <v>5.9140000000000086</v>
      </c>
      <c r="M154" s="79">
        <f t="shared" si="39"/>
        <v>7.075999999999997</v>
      </c>
      <c r="N154" s="79">
        <f t="shared" si="39"/>
        <v>8.0429999999999922</v>
      </c>
      <c r="O154" s="79">
        <f t="shared" si="39"/>
        <v>6.8190000000000026</v>
      </c>
      <c r="P154" s="79">
        <f t="shared" si="31"/>
        <v>59.856999999999999</v>
      </c>
    </row>
    <row r="155" spans="1:16" x14ac:dyDescent="0.25">
      <c r="A155" s="77" t="s">
        <v>94</v>
      </c>
      <c r="B155" s="77" t="s">
        <v>102</v>
      </c>
      <c r="C155" s="79">
        <f t="shared" ref="C155:O155" si="40">C137+C138-C139</f>
        <v>94.787999999999997</v>
      </c>
      <c r="D155" s="79">
        <f t="shared" si="40"/>
        <v>74.692000000000007</v>
      </c>
      <c r="E155" s="79">
        <f t="shared" si="40"/>
        <v>75.343999999999994</v>
      </c>
      <c r="F155" s="79">
        <f t="shared" si="40"/>
        <v>76.652999999999992</v>
      </c>
      <c r="G155" s="79">
        <f t="shared" si="40"/>
        <v>81.933999999999997</v>
      </c>
      <c r="H155" s="79">
        <f t="shared" si="40"/>
        <v>87.34899999999999</v>
      </c>
      <c r="I155" s="79">
        <f t="shared" si="40"/>
        <v>89.596999999999994</v>
      </c>
      <c r="J155" s="79">
        <f t="shared" si="40"/>
        <v>91.421000000000006</v>
      </c>
      <c r="K155" s="79">
        <f t="shared" si="40"/>
        <v>91.522000000000006</v>
      </c>
      <c r="L155" s="79">
        <f t="shared" si="40"/>
        <v>92.225999999999985</v>
      </c>
      <c r="M155" s="79">
        <f t="shared" si="40"/>
        <v>98.070999999999998</v>
      </c>
      <c r="N155" s="79">
        <f t="shared" si="40"/>
        <v>106.78900000000002</v>
      </c>
      <c r="O155" s="79">
        <f t="shared" si="40"/>
        <v>113.30799999999998</v>
      </c>
    </row>
    <row r="156" spans="1:16" x14ac:dyDescent="0.25">
      <c r="A156" s="77" t="s">
        <v>91</v>
      </c>
      <c r="B156" s="77" t="s">
        <v>30</v>
      </c>
      <c r="D156" s="79">
        <f t="shared" ref="D156:O156" si="41">D44+D45+D46</f>
        <v>34.355000000000004</v>
      </c>
      <c r="E156" s="79">
        <f t="shared" si="41"/>
        <v>35.391000000000005</v>
      </c>
      <c r="F156" s="79">
        <f t="shared" si="41"/>
        <v>39.558999999999997</v>
      </c>
      <c r="G156" s="79">
        <f t="shared" si="41"/>
        <v>40.602000000000004</v>
      </c>
      <c r="H156" s="79">
        <f t="shared" si="41"/>
        <v>41.644999999999996</v>
      </c>
      <c r="I156" s="79">
        <f t="shared" si="41"/>
        <v>42.689000000000007</v>
      </c>
      <c r="J156" s="79">
        <f t="shared" si="41"/>
        <v>41.644999999999996</v>
      </c>
      <c r="K156" s="79">
        <f t="shared" si="41"/>
        <v>42.689000000000007</v>
      </c>
      <c r="L156" s="79">
        <f t="shared" si="41"/>
        <v>46.842999999999996</v>
      </c>
      <c r="M156" s="79">
        <f t="shared" si="41"/>
        <v>51.003999999999998</v>
      </c>
      <c r="N156" s="79">
        <f t="shared" si="41"/>
        <v>54.128</v>
      </c>
      <c r="O156" s="79">
        <f t="shared" si="41"/>
        <v>49.975999999999999</v>
      </c>
      <c r="P156" s="79">
        <f t="shared" ref="P156:P166" si="42">SUM(D156:O156)</f>
        <v>520.52600000000007</v>
      </c>
    </row>
    <row r="157" spans="1:16" x14ac:dyDescent="0.25">
      <c r="A157" s="77" t="s">
        <v>91</v>
      </c>
      <c r="B157" s="77" t="s">
        <v>31</v>
      </c>
      <c r="D157" s="79">
        <f t="shared" ref="D157:O157" si="43">D47+D48+D49</f>
        <v>-14.780000000000001</v>
      </c>
      <c r="E157" s="79">
        <f t="shared" si="43"/>
        <v>-15.23</v>
      </c>
      <c r="F157" s="79">
        <f t="shared" si="43"/>
        <v>-17.017000000000003</v>
      </c>
      <c r="G157" s="79">
        <f t="shared" si="43"/>
        <v>-17.463000000000001</v>
      </c>
      <c r="H157" s="79">
        <f t="shared" si="43"/>
        <v>-17.917000000000002</v>
      </c>
      <c r="I157" s="79">
        <f t="shared" si="43"/>
        <v>-18.358000000000001</v>
      </c>
      <c r="J157" s="79">
        <f t="shared" si="43"/>
        <v>-17.917000000000002</v>
      </c>
      <c r="K157" s="79">
        <f t="shared" si="43"/>
        <v>-18.358000000000001</v>
      </c>
      <c r="L157" s="79">
        <f t="shared" si="43"/>
        <v>-20.152999999999999</v>
      </c>
      <c r="M157" s="79">
        <f t="shared" si="43"/>
        <v>-21.937000000000001</v>
      </c>
      <c r="N157" s="79">
        <f t="shared" si="43"/>
        <v>-23.292999999999999</v>
      </c>
      <c r="O157" s="79">
        <f t="shared" si="43"/>
        <v>-21.495999999999999</v>
      </c>
      <c r="P157" s="79">
        <f t="shared" si="42"/>
        <v>-223.91900000000004</v>
      </c>
    </row>
    <row r="158" spans="1:16" x14ac:dyDescent="0.25">
      <c r="A158" s="77" t="s">
        <v>91</v>
      </c>
      <c r="B158" s="77" t="s">
        <v>32</v>
      </c>
      <c r="D158" s="79">
        <f t="shared" ref="D158:O158" si="44">D156+D157</f>
        <v>19.575000000000003</v>
      </c>
      <c r="E158" s="79">
        <f t="shared" si="44"/>
        <v>20.161000000000005</v>
      </c>
      <c r="F158" s="79">
        <f t="shared" si="44"/>
        <v>22.541999999999994</v>
      </c>
      <c r="G158" s="79">
        <f t="shared" si="44"/>
        <v>23.139000000000003</v>
      </c>
      <c r="H158" s="79">
        <f t="shared" si="44"/>
        <v>23.727999999999994</v>
      </c>
      <c r="I158" s="79">
        <f t="shared" si="44"/>
        <v>24.331000000000007</v>
      </c>
      <c r="J158" s="79">
        <f t="shared" si="44"/>
        <v>23.727999999999994</v>
      </c>
      <c r="K158" s="79">
        <f t="shared" si="44"/>
        <v>24.331000000000007</v>
      </c>
      <c r="L158" s="79">
        <f t="shared" si="44"/>
        <v>26.689999999999998</v>
      </c>
      <c r="M158" s="79">
        <f t="shared" si="44"/>
        <v>29.066999999999997</v>
      </c>
      <c r="N158" s="79">
        <f t="shared" si="44"/>
        <v>30.835000000000001</v>
      </c>
      <c r="O158" s="79">
        <f t="shared" si="44"/>
        <v>28.48</v>
      </c>
      <c r="P158" s="79">
        <f t="shared" si="42"/>
        <v>296.60700000000003</v>
      </c>
    </row>
    <row r="159" spans="1:16" x14ac:dyDescent="0.25">
      <c r="A159" s="77" t="s">
        <v>91</v>
      </c>
      <c r="B159" s="77" t="s">
        <v>33</v>
      </c>
      <c r="D159" s="79">
        <f t="shared" ref="D159:O159" si="45">D50+D51</f>
        <v>-3.0549999999999997</v>
      </c>
      <c r="E159" s="79">
        <f t="shared" si="45"/>
        <v>-3.1500000000000004</v>
      </c>
      <c r="F159" s="79">
        <f t="shared" si="45"/>
        <v>-3.5209999999999999</v>
      </c>
      <c r="G159" s="79">
        <f t="shared" si="45"/>
        <v>-3.613</v>
      </c>
      <c r="H159" s="79">
        <f t="shared" si="45"/>
        <v>-3.7110000000000003</v>
      </c>
      <c r="I159" s="79">
        <f t="shared" si="45"/>
        <v>-3.802</v>
      </c>
      <c r="J159" s="79">
        <f t="shared" si="45"/>
        <v>-3.7110000000000003</v>
      </c>
      <c r="K159" s="79">
        <f t="shared" si="45"/>
        <v>-3.802</v>
      </c>
      <c r="L159" s="79">
        <f t="shared" si="45"/>
        <v>-4.1769999999999996</v>
      </c>
      <c r="M159" s="79">
        <f t="shared" si="45"/>
        <v>-4.5430000000000001</v>
      </c>
      <c r="N159" s="79">
        <f t="shared" si="45"/>
        <v>-4.8239999999999998</v>
      </c>
      <c r="O159" s="79">
        <f t="shared" si="45"/>
        <v>-4.452</v>
      </c>
      <c r="P159" s="79">
        <f t="shared" si="42"/>
        <v>-46.36099999999999</v>
      </c>
    </row>
    <row r="160" spans="1:16" x14ac:dyDescent="0.25">
      <c r="A160" s="77" t="s">
        <v>91</v>
      </c>
      <c r="B160" s="77" t="s">
        <v>34</v>
      </c>
      <c r="D160" s="79">
        <f t="shared" ref="D160:O160" si="46">D52+D53</f>
        <v>-3.1120000000000001</v>
      </c>
      <c r="E160" s="79">
        <f t="shared" si="46"/>
        <v>-3.2080000000000002</v>
      </c>
      <c r="F160" s="79">
        <f t="shared" si="46"/>
        <v>-3.577</v>
      </c>
      <c r="G160" s="79">
        <f t="shared" si="46"/>
        <v>-3.6759999999999997</v>
      </c>
      <c r="H160" s="79">
        <f t="shared" si="46"/>
        <v>-3.7690000000000001</v>
      </c>
      <c r="I160" s="79">
        <f t="shared" si="46"/>
        <v>-3.8650000000000002</v>
      </c>
      <c r="J160" s="79">
        <f t="shared" si="46"/>
        <v>-3.7690000000000001</v>
      </c>
      <c r="K160" s="79">
        <f t="shared" si="46"/>
        <v>-3.8650000000000002</v>
      </c>
      <c r="L160" s="79">
        <f t="shared" si="46"/>
        <v>-4.24</v>
      </c>
      <c r="M160" s="79">
        <f t="shared" si="46"/>
        <v>-4.6150000000000002</v>
      </c>
      <c r="N160" s="79">
        <f t="shared" si="46"/>
        <v>-4.9030000000000005</v>
      </c>
      <c r="O160" s="79">
        <f t="shared" si="46"/>
        <v>-4.5270000000000001</v>
      </c>
      <c r="P160" s="79">
        <f t="shared" si="42"/>
        <v>-47.126000000000005</v>
      </c>
    </row>
    <row r="161" spans="1:16" x14ac:dyDescent="0.25">
      <c r="A161" s="77" t="s">
        <v>91</v>
      </c>
      <c r="B161" s="77" t="s">
        <v>96</v>
      </c>
      <c r="D161" s="79">
        <f t="shared" ref="D161:O161" si="47">D158+D159+D160</f>
        <v>13.408000000000003</v>
      </c>
      <c r="E161" s="79">
        <f t="shared" si="47"/>
        <v>13.803000000000003</v>
      </c>
      <c r="F161" s="79">
        <f t="shared" si="47"/>
        <v>15.443999999999994</v>
      </c>
      <c r="G161" s="79">
        <f t="shared" si="47"/>
        <v>15.850000000000003</v>
      </c>
      <c r="H161" s="79">
        <f t="shared" si="47"/>
        <v>16.247999999999998</v>
      </c>
      <c r="I161" s="79">
        <f t="shared" si="47"/>
        <v>16.664000000000009</v>
      </c>
      <c r="J161" s="79">
        <f t="shared" si="47"/>
        <v>16.247999999999998</v>
      </c>
      <c r="K161" s="79">
        <f t="shared" si="47"/>
        <v>16.664000000000009</v>
      </c>
      <c r="L161" s="79">
        <f t="shared" si="47"/>
        <v>18.272999999999996</v>
      </c>
      <c r="M161" s="79">
        <f t="shared" si="47"/>
        <v>19.908999999999999</v>
      </c>
      <c r="N161" s="79">
        <f t="shared" si="47"/>
        <v>21.108000000000004</v>
      </c>
      <c r="O161" s="79">
        <f t="shared" si="47"/>
        <v>19.500999999999998</v>
      </c>
      <c r="P161" s="79">
        <f t="shared" si="42"/>
        <v>203.12</v>
      </c>
    </row>
    <row r="162" spans="1:16" x14ac:dyDescent="0.25">
      <c r="A162" s="77" t="s">
        <v>91</v>
      </c>
      <c r="B162" s="77" t="s">
        <v>97</v>
      </c>
      <c r="D162" s="79">
        <f t="shared" ref="D162:O162" si="48">D54+D55+D56+D57</f>
        <v>-7.62</v>
      </c>
      <c r="E162" s="79">
        <f t="shared" si="48"/>
        <v>-7.6369999999999996</v>
      </c>
      <c r="F162" s="79">
        <f t="shared" si="48"/>
        <v>-7.6529999999999996</v>
      </c>
      <c r="G162" s="79">
        <f t="shared" si="48"/>
        <v>-7.6700000000000008</v>
      </c>
      <c r="H162" s="79">
        <f t="shared" si="48"/>
        <v>-7.6860000000000008</v>
      </c>
      <c r="I162" s="79">
        <f t="shared" si="48"/>
        <v>-7.7030000000000003</v>
      </c>
      <c r="J162" s="79">
        <f t="shared" si="48"/>
        <v>-7.72</v>
      </c>
      <c r="K162" s="79">
        <f t="shared" si="48"/>
        <v>-7.7359999999999998</v>
      </c>
      <c r="L162" s="79">
        <f t="shared" si="48"/>
        <v>-7.753000000000001</v>
      </c>
      <c r="M162" s="79">
        <f t="shared" si="48"/>
        <v>-7.769000000000001</v>
      </c>
      <c r="N162" s="79">
        <f t="shared" si="48"/>
        <v>-7.7860000000000005</v>
      </c>
      <c r="O162" s="79">
        <f t="shared" si="48"/>
        <v>-7.8029999999999999</v>
      </c>
      <c r="P162" s="79">
        <f t="shared" si="42"/>
        <v>-92.536000000000016</v>
      </c>
    </row>
    <row r="163" spans="1:16" x14ac:dyDescent="0.25">
      <c r="A163" s="77" t="s">
        <v>91</v>
      </c>
      <c r="B163" s="77" t="s">
        <v>98</v>
      </c>
      <c r="D163" s="79">
        <f t="shared" ref="D163:O163" si="49">D161+D162</f>
        <v>5.7880000000000029</v>
      </c>
      <c r="E163" s="79">
        <f t="shared" si="49"/>
        <v>6.166000000000003</v>
      </c>
      <c r="F163" s="79">
        <f t="shared" si="49"/>
        <v>7.7909999999999942</v>
      </c>
      <c r="G163" s="79">
        <f t="shared" si="49"/>
        <v>8.1800000000000033</v>
      </c>
      <c r="H163" s="79">
        <f t="shared" si="49"/>
        <v>8.5619999999999976</v>
      </c>
      <c r="I163" s="79">
        <f t="shared" si="49"/>
        <v>8.9610000000000092</v>
      </c>
      <c r="J163" s="79">
        <f t="shared" si="49"/>
        <v>8.5279999999999987</v>
      </c>
      <c r="K163" s="79">
        <f t="shared" si="49"/>
        <v>8.9280000000000079</v>
      </c>
      <c r="L163" s="79">
        <f t="shared" si="49"/>
        <v>10.519999999999996</v>
      </c>
      <c r="M163" s="79">
        <f t="shared" si="49"/>
        <v>12.139999999999997</v>
      </c>
      <c r="N163" s="79">
        <f t="shared" si="49"/>
        <v>13.322000000000003</v>
      </c>
      <c r="O163" s="79">
        <f t="shared" si="49"/>
        <v>11.697999999999997</v>
      </c>
      <c r="P163" s="79">
        <f t="shared" si="42"/>
        <v>110.584</v>
      </c>
    </row>
    <row r="164" spans="1:16" x14ac:dyDescent="0.25">
      <c r="A164" s="77" t="s">
        <v>91</v>
      </c>
      <c r="B164" s="77" t="s">
        <v>99</v>
      </c>
      <c r="D164" s="79">
        <f t="shared" ref="D164:O166" si="50">D163+D58</f>
        <v>4.3080000000000034</v>
      </c>
      <c r="E164" s="79">
        <f t="shared" si="50"/>
        <v>4.6860000000000035</v>
      </c>
      <c r="F164" s="79">
        <f t="shared" si="50"/>
        <v>6.3109999999999946</v>
      </c>
      <c r="G164" s="79">
        <f t="shared" si="50"/>
        <v>6.7000000000000028</v>
      </c>
      <c r="H164" s="79">
        <f t="shared" si="50"/>
        <v>7.0819999999999972</v>
      </c>
      <c r="I164" s="79">
        <f t="shared" si="50"/>
        <v>7.4810000000000088</v>
      </c>
      <c r="J164" s="79">
        <f t="shared" si="50"/>
        <v>7.0479999999999983</v>
      </c>
      <c r="K164" s="79">
        <f t="shared" si="50"/>
        <v>7.4480000000000075</v>
      </c>
      <c r="L164" s="79">
        <f t="shared" si="50"/>
        <v>9.0399999999999956</v>
      </c>
      <c r="M164" s="79">
        <f t="shared" si="50"/>
        <v>10.659999999999997</v>
      </c>
      <c r="N164" s="79">
        <f t="shared" si="50"/>
        <v>11.842000000000002</v>
      </c>
      <c r="O164" s="79">
        <f t="shared" si="50"/>
        <v>10.217999999999996</v>
      </c>
      <c r="P164" s="79">
        <f t="shared" si="42"/>
        <v>92.824000000000012</v>
      </c>
    </row>
    <row r="165" spans="1:16" x14ac:dyDescent="0.25">
      <c r="A165" s="77" t="s">
        <v>91</v>
      </c>
      <c r="B165" s="77" t="s">
        <v>100</v>
      </c>
      <c r="D165" s="79">
        <f t="shared" si="50"/>
        <v>3.5960000000000036</v>
      </c>
      <c r="E165" s="79">
        <f t="shared" si="50"/>
        <v>3.9740000000000038</v>
      </c>
      <c r="F165" s="79">
        <f t="shared" si="50"/>
        <v>5.5989999999999949</v>
      </c>
      <c r="G165" s="79">
        <f t="shared" si="50"/>
        <v>5.9970000000000026</v>
      </c>
      <c r="H165" s="79">
        <f t="shared" si="50"/>
        <v>6.3789999999999969</v>
      </c>
      <c r="I165" s="79">
        <f t="shared" si="50"/>
        <v>6.7780000000000085</v>
      </c>
      <c r="J165" s="79">
        <f t="shared" si="50"/>
        <v>6.3539999999999983</v>
      </c>
      <c r="K165" s="79">
        <f t="shared" si="50"/>
        <v>6.7540000000000076</v>
      </c>
      <c r="L165" s="79">
        <f t="shared" si="50"/>
        <v>8.3459999999999965</v>
      </c>
      <c r="M165" s="79">
        <f t="shared" si="50"/>
        <v>9.9759999999999973</v>
      </c>
      <c r="N165" s="79">
        <f t="shared" si="50"/>
        <v>11.158000000000003</v>
      </c>
      <c r="O165" s="79">
        <f t="shared" si="50"/>
        <v>9.5339999999999971</v>
      </c>
      <c r="P165" s="79">
        <f t="shared" si="42"/>
        <v>84.445000000000007</v>
      </c>
    </row>
    <row r="166" spans="1:16" x14ac:dyDescent="0.25">
      <c r="A166" s="77" t="s">
        <v>91</v>
      </c>
      <c r="B166" s="77" t="s">
        <v>101</v>
      </c>
      <c r="D166" s="79">
        <f t="shared" si="50"/>
        <v>2.6980000000000035</v>
      </c>
      <c r="E166" s="79">
        <f t="shared" si="50"/>
        <v>2.9780000000000038</v>
      </c>
      <c r="F166" s="79">
        <f t="shared" si="50"/>
        <v>4.2009999999999952</v>
      </c>
      <c r="G166" s="79">
        <f t="shared" si="50"/>
        <v>4.4990000000000023</v>
      </c>
      <c r="H166" s="79">
        <f t="shared" si="50"/>
        <v>4.7839999999999971</v>
      </c>
      <c r="I166" s="79">
        <f t="shared" si="50"/>
        <v>5.085000000000008</v>
      </c>
      <c r="J166" s="79">
        <f t="shared" si="50"/>
        <v>4.7649999999999988</v>
      </c>
      <c r="K166" s="79">
        <f t="shared" si="50"/>
        <v>5.0670000000000073</v>
      </c>
      <c r="L166" s="79">
        <f t="shared" si="50"/>
        <v>6.2569999999999961</v>
      </c>
      <c r="M166" s="79">
        <f t="shared" si="50"/>
        <v>7.482999999999997</v>
      </c>
      <c r="N166" s="79">
        <f t="shared" si="50"/>
        <v>8.3640000000000025</v>
      </c>
      <c r="O166" s="79">
        <f t="shared" si="50"/>
        <v>7.1509999999999971</v>
      </c>
      <c r="P166" s="79">
        <f t="shared" si="42"/>
        <v>63.332000000000015</v>
      </c>
    </row>
    <row r="167" spans="1:16" x14ac:dyDescent="0.25">
      <c r="A167" s="77" t="s">
        <v>91</v>
      </c>
      <c r="B167" s="77" t="s">
        <v>102</v>
      </c>
      <c r="C167" s="79">
        <f t="shared" ref="C167:O167" si="51">C62+C63-C64</f>
        <v>94.787999999999997</v>
      </c>
      <c r="D167" s="79">
        <f t="shared" si="51"/>
        <v>67.271000000000001</v>
      </c>
      <c r="E167" s="79">
        <f t="shared" si="51"/>
        <v>67.864000000000004</v>
      </c>
      <c r="F167" s="79">
        <f t="shared" si="51"/>
        <v>68.782999999999987</v>
      </c>
      <c r="G167" s="79">
        <f t="shared" si="51"/>
        <v>73.713999999999999</v>
      </c>
      <c r="H167" s="79">
        <f t="shared" si="51"/>
        <v>78.644999999999996</v>
      </c>
      <c r="I167" s="79">
        <f t="shared" si="51"/>
        <v>80.681999999999988</v>
      </c>
      <c r="J167" s="79">
        <f t="shared" si="51"/>
        <v>82.503</v>
      </c>
      <c r="K167" s="79">
        <f t="shared" si="51"/>
        <v>82.614000000000004</v>
      </c>
      <c r="L167" s="79">
        <f t="shared" si="51"/>
        <v>83.052999999999997</v>
      </c>
      <c r="M167" s="79">
        <f t="shared" si="51"/>
        <v>88.314999999999998</v>
      </c>
      <c r="N167" s="79">
        <f t="shared" si="51"/>
        <v>96.361000000000018</v>
      </c>
      <c r="O167" s="79">
        <f t="shared" si="51"/>
        <v>102.67399999999999</v>
      </c>
    </row>
    <row r="168" spans="1:16" x14ac:dyDescent="0.25">
      <c r="A168" s="77" t="s">
        <v>92</v>
      </c>
      <c r="B168" s="77" t="s">
        <v>30</v>
      </c>
      <c r="D168" s="79">
        <f t="shared" ref="D168:O168" si="52">D69+D70+D71</f>
        <v>34.327999999999996</v>
      </c>
      <c r="E168" s="79">
        <f t="shared" si="52"/>
        <v>35.392000000000003</v>
      </c>
      <c r="F168" s="79">
        <f t="shared" si="52"/>
        <v>39.512999999999991</v>
      </c>
      <c r="G168" s="79">
        <f t="shared" si="52"/>
        <v>40.594999999999999</v>
      </c>
      <c r="H168" s="79">
        <f t="shared" si="52"/>
        <v>41.616000000000007</v>
      </c>
      <c r="I168" s="79">
        <f t="shared" si="52"/>
        <v>42.674999999999997</v>
      </c>
      <c r="J168" s="79">
        <f t="shared" si="52"/>
        <v>41.578000000000003</v>
      </c>
      <c r="K168" s="79">
        <f t="shared" si="52"/>
        <v>42.613</v>
      </c>
      <c r="L168" s="79">
        <f t="shared" si="52"/>
        <v>46.754999999999995</v>
      </c>
      <c r="M168" s="79">
        <f t="shared" si="52"/>
        <v>50.942</v>
      </c>
      <c r="N168" s="79">
        <f t="shared" si="52"/>
        <v>54.074999999999996</v>
      </c>
      <c r="O168" s="79">
        <f t="shared" si="52"/>
        <v>49.886000000000003</v>
      </c>
      <c r="P168" s="79">
        <f t="shared" ref="P168:P178" si="53">SUM(D168:O168)</f>
        <v>519.96799999999996</v>
      </c>
    </row>
    <row r="169" spans="1:16" x14ac:dyDescent="0.25">
      <c r="A169" s="77" t="s">
        <v>92</v>
      </c>
      <c r="B169" s="77" t="s">
        <v>31</v>
      </c>
      <c r="D169" s="79">
        <f t="shared" ref="D169:O169" si="54">D72+D73+D74</f>
        <v>-14.992999999999999</v>
      </c>
      <c r="E169" s="79">
        <f t="shared" si="54"/>
        <v>-15.45</v>
      </c>
      <c r="F169" s="79">
        <f t="shared" si="54"/>
        <v>-17.248999999999999</v>
      </c>
      <c r="G169" s="79">
        <f t="shared" si="54"/>
        <v>-17.733000000000001</v>
      </c>
      <c r="H169" s="79">
        <f t="shared" si="54"/>
        <v>-18.172000000000001</v>
      </c>
      <c r="I169" s="79">
        <f t="shared" si="54"/>
        <v>-18.633999999999997</v>
      </c>
      <c r="J169" s="79">
        <f t="shared" si="54"/>
        <v>-18.155000000000001</v>
      </c>
      <c r="K169" s="79">
        <f t="shared" si="54"/>
        <v>-18.605</v>
      </c>
      <c r="L169" s="79">
        <f t="shared" si="54"/>
        <v>-20.416</v>
      </c>
      <c r="M169" s="79">
        <f t="shared" si="54"/>
        <v>-22.244999999999997</v>
      </c>
      <c r="N169" s="79">
        <f t="shared" si="54"/>
        <v>-23.727</v>
      </c>
      <c r="O169" s="79">
        <f t="shared" si="54"/>
        <v>-21.894000000000002</v>
      </c>
      <c r="P169" s="79">
        <f t="shared" si="53"/>
        <v>-227.273</v>
      </c>
    </row>
    <row r="170" spans="1:16" x14ac:dyDescent="0.25">
      <c r="A170" s="77" t="s">
        <v>92</v>
      </c>
      <c r="B170" s="77" t="s">
        <v>32</v>
      </c>
      <c r="D170" s="79">
        <f t="shared" ref="D170:O170" si="55">D168+D169</f>
        <v>19.334999999999997</v>
      </c>
      <c r="E170" s="79">
        <f t="shared" si="55"/>
        <v>19.942000000000004</v>
      </c>
      <c r="F170" s="79">
        <f t="shared" si="55"/>
        <v>22.263999999999992</v>
      </c>
      <c r="G170" s="79">
        <f t="shared" si="55"/>
        <v>22.861999999999998</v>
      </c>
      <c r="H170" s="79">
        <f t="shared" si="55"/>
        <v>23.444000000000006</v>
      </c>
      <c r="I170" s="79">
        <f t="shared" si="55"/>
        <v>24.041</v>
      </c>
      <c r="J170" s="79">
        <f t="shared" si="55"/>
        <v>23.423000000000002</v>
      </c>
      <c r="K170" s="79">
        <f t="shared" si="55"/>
        <v>24.007999999999999</v>
      </c>
      <c r="L170" s="79">
        <f t="shared" si="55"/>
        <v>26.338999999999995</v>
      </c>
      <c r="M170" s="79">
        <f t="shared" si="55"/>
        <v>28.697000000000003</v>
      </c>
      <c r="N170" s="79">
        <f t="shared" si="55"/>
        <v>30.347999999999995</v>
      </c>
      <c r="O170" s="79">
        <f t="shared" si="55"/>
        <v>27.992000000000001</v>
      </c>
      <c r="P170" s="79">
        <f t="shared" si="53"/>
        <v>292.69500000000005</v>
      </c>
    </row>
    <row r="171" spans="1:16" x14ac:dyDescent="0.25">
      <c r="A171" s="77" t="s">
        <v>92</v>
      </c>
      <c r="B171" s="77" t="s">
        <v>33</v>
      </c>
      <c r="D171" s="79">
        <f t="shared" ref="D171:O171" si="56">D75+D76</f>
        <v>-2.9769999999999999</v>
      </c>
      <c r="E171" s="79">
        <f t="shared" si="56"/>
        <v>-3.0659999999999998</v>
      </c>
      <c r="F171" s="79">
        <f t="shared" si="56"/>
        <v>-3.4290000000000003</v>
      </c>
      <c r="G171" s="79">
        <f t="shared" si="56"/>
        <v>-3.516</v>
      </c>
      <c r="H171" s="79">
        <f t="shared" si="56"/>
        <v>-3.6080000000000001</v>
      </c>
      <c r="I171" s="79">
        <f t="shared" si="56"/>
        <v>-3.6970000000000001</v>
      </c>
      <c r="J171" s="79">
        <f t="shared" si="56"/>
        <v>-3.6080000000000001</v>
      </c>
      <c r="K171" s="79">
        <f t="shared" si="56"/>
        <v>-3.6970000000000001</v>
      </c>
      <c r="L171" s="79">
        <f t="shared" si="56"/>
        <v>-4.0540000000000003</v>
      </c>
      <c r="M171" s="79">
        <f t="shared" si="56"/>
        <v>-4.4160000000000004</v>
      </c>
      <c r="N171" s="79">
        <f t="shared" si="56"/>
        <v>-4.641</v>
      </c>
      <c r="O171" s="79">
        <f t="shared" si="56"/>
        <v>-4.2839999999999998</v>
      </c>
      <c r="P171" s="79">
        <f t="shared" si="53"/>
        <v>-44.992999999999995</v>
      </c>
    </row>
    <row r="172" spans="1:16" x14ac:dyDescent="0.25">
      <c r="A172" s="77" t="s">
        <v>92</v>
      </c>
      <c r="B172" s="77" t="s">
        <v>34</v>
      </c>
      <c r="D172" s="79">
        <f t="shared" ref="D172:O172" si="57">D77+D78</f>
        <v>-3.1760000000000002</v>
      </c>
      <c r="E172" s="79">
        <f t="shared" si="57"/>
        <v>-3.2800000000000002</v>
      </c>
      <c r="F172" s="79">
        <f t="shared" si="57"/>
        <v>-3.6609999999999996</v>
      </c>
      <c r="G172" s="79">
        <f t="shared" si="57"/>
        <v>-3.762</v>
      </c>
      <c r="H172" s="79">
        <f t="shared" si="57"/>
        <v>-3.8550000000000004</v>
      </c>
      <c r="I172" s="79">
        <f t="shared" si="57"/>
        <v>-3.952</v>
      </c>
      <c r="J172" s="79">
        <f t="shared" si="57"/>
        <v>-3.85</v>
      </c>
      <c r="K172" s="79">
        <f t="shared" si="57"/>
        <v>-3.9470000000000001</v>
      </c>
      <c r="L172" s="79">
        <f t="shared" si="57"/>
        <v>-4.33</v>
      </c>
      <c r="M172" s="79">
        <f t="shared" si="57"/>
        <v>-4.718</v>
      </c>
      <c r="N172" s="79">
        <f t="shared" si="57"/>
        <v>-5.0460000000000003</v>
      </c>
      <c r="O172" s="79">
        <f t="shared" si="57"/>
        <v>-4.6589999999999998</v>
      </c>
      <c r="P172" s="79">
        <f t="shared" si="53"/>
        <v>-48.236000000000004</v>
      </c>
    </row>
    <row r="173" spans="1:16" x14ac:dyDescent="0.25">
      <c r="A173" s="77" t="s">
        <v>92</v>
      </c>
      <c r="B173" s="77" t="s">
        <v>96</v>
      </c>
      <c r="D173" s="79">
        <f t="shared" ref="D173:O173" si="58">D170+D171+D172</f>
        <v>13.181999999999997</v>
      </c>
      <c r="E173" s="79">
        <f t="shared" si="58"/>
        <v>13.596000000000004</v>
      </c>
      <c r="F173" s="79">
        <f t="shared" si="58"/>
        <v>15.173999999999994</v>
      </c>
      <c r="G173" s="79">
        <f t="shared" si="58"/>
        <v>15.583999999999996</v>
      </c>
      <c r="H173" s="79">
        <f t="shared" si="58"/>
        <v>15.981000000000005</v>
      </c>
      <c r="I173" s="79">
        <f t="shared" si="58"/>
        <v>16.392000000000003</v>
      </c>
      <c r="J173" s="79">
        <f t="shared" si="58"/>
        <v>15.965000000000002</v>
      </c>
      <c r="K173" s="79">
        <f t="shared" si="58"/>
        <v>16.364000000000001</v>
      </c>
      <c r="L173" s="79">
        <f t="shared" si="58"/>
        <v>17.954999999999998</v>
      </c>
      <c r="M173" s="79">
        <f t="shared" si="58"/>
        <v>19.563000000000002</v>
      </c>
      <c r="N173" s="79">
        <f t="shared" si="58"/>
        <v>20.660999999999994</v>
      </c>
      <c r="O173" s="79">
        <f t="shared" si="58"/>
        <v>19.049000000000003</v>
      </c>
      <c r="P173" s="79">
        <f t="shared" si="53"/>
        <v>199.46599999999998</v>
      </c>
    </row>
    <row r="174" spans="1:16" x14ac:dyDescent="0.25">
      <c r="A174" s="77" t="s">
        <v>92</v>
      </c>
      <c r="B174" s="77" t="s">
        <v>97</v>
      </c>
      <c r="D174" s="79">
        <f t="shared" ref="D174:O174" si="59">D79+D80+D81+D82</f>
        <v>-7.6060000000000008</v>
      </c>
      <c r="E174" s="79">
        <f t="shared" si="59"/>
        <v>-7.6230000000000002</v>
      </c>
      <c r="F174" s="79">
        <f t="shared" si="59"/>
        <v>-7.6390000000000002</v>
      </c>
      <c r="G174" s="79">
        <f t="shared" si="59"/>
        <v>-7.6559999999999997</v>
      </c>
      <c r="H174" s="79">
        <f t="shared" si="59"/>
        <v>-7.6730000000000009</v>
      </c>
      <c r="I174" s="79">
        <f t="shared" si="59"/>
        <v>-7.69</v>
      </c>
      <c r="J174" s="79">
        <f t="shared" si="59"/>
        <v>-7.7069999999999999</v>
      </c>
      <c r="K174" s="79">
        <f t="shared" si="59"/>
        <v>-7.7240000000000011</v>
      </c>
      <c r="L174" s="79">
        <f t="shared" si="59"/>
        <v>-7.7410000000000005</v>
      </c>
      <c r="M174" s="79">
        <f t="shared" si="59"/>
        <v>-7.758</v>
      </c>
      <c r="N174" s="79">
        <f t="shared" si="59"/>
        <v>-7.7750000000000012</v>
      </c>
      <c r="O174" s="79">
        <f t="shared" si="59"/>
        <v>-7.7910000000000013</v>
      </c>
      <c r="P174" s="79">
        <f t="shared" si="53"/>
        <v>-92.38300000000001</v>
      </c>
    </row>
    <row r="175" spans="1:16" x14ac:dyDescent="0.25">
      <c r="A175" s="77" t="s">
        <v>92</v>
      </c>
      <c r="B175" s="77" t="s">
        <v>98</v>
      </c>
      <c r="D175" s="79">
        <f t="shared" ref="D175:O175" si="60">D173+D174</f>
        <v>5.5759999999999961</v>
      </c>
      <c r="E175" s="79">
        <f t="shared" si="60"/>
        <v>5.9730000000000034</v>
      </c>
      <c r="F175" s="79">
        <f t="shared" si="60"/>
        <v>7.5349999999999939</v>
      </c>
      <c r="G175" s="79">
        <f t="shared" si="60"/>
        <v>7.9279999999999964</v>
      </c>
      <c r="H175" s="79">
        <f t="shared" si="60"/>
        <v>8.3080000000000034</v>
      </c>
      <c r="I175" s="79">
        <f t="shared" si="60"/>
        <v>8.7020000000000017</v>
      </c>
      <c r="J175" s="79">
        <f t="shared" si="60"/>
        <v>8.2580000000000027</v>
      </c>
      <c r="K175" s="79">
        <f t="shared" si="60"/>
        <v>8.64</v>
      </c>
      <c r="L175" s="79">
        <f t="shared" si="60"/>
        <v>10.213999999999999</v>
      </c>
      <c r="M175" s="79">
        <f t="shared" si="60"/>
        <v>11.805000000000003</v>
      </c>
      <c r="N175" s="79">
        <f t="shared" si="60"/>
        <v>12.885999999999992</v>
      </c>
      <c r="O175" s="79">
        <f t="shared" si="60"/>
        <v>11.258000000000003</v>
      </c>
      <c r="P175" s="79">
        <f t="shared" si="53"/>
        <v>107.083</v>
      </c>
    </row>
    <row r="176" spans="1:16" x14ac:dyDescent="0.25">
      <c r="A176" s="77" t="s">
        <v>92</v>
      </c>
      <c r="B176" s="77" t="s">
        <v>99</v>
      </c>
      <c r="D176" s="79">
        <f t="shared" ref="D176:O178" si="61">D175+D83</f>
        <v>4.0959999999999965</v>
      </c>
      <c r="E176" s="79">
        <f t="shared" si="61"/>
        <v>4.4930000000000039</v>
      </c>
      <c r="F176" s="79">
        <f t="shared" si="61"/>
        <v>6.0549999999999944</v>
      </c>
      <c r="G176" s="79">
        <f t="shared" si="61"/>
        <v>6.4479999999999968</v>
      </c>
      <c r="H176" s="79">
        <f t="shared" si="61"/>
        <v>6.828000000000003</v>
      </c>
      <c r="I176" s="79">
        <f t="shared" si="61"/>
        <v>7.2220000000000013</v>
      </c>
      <c r="J176" s="79">
        <f t="shared" si="61"/>
        <v>6.7780000000000022</v>
      </c>
      <c r="K176" s="79">
        <f t="shared" si="61"/>
        <v>7.16</v>
      </c>
      <c r="L176" s="79">
        <f t="shared" si="61"/>
        <v>8.7339999999999982</v>
      </c>
      <c r="M176" s="79">
        <f t="shared" si="61"/>
        <v>10.325000000000003</v>
      </c>
      <c r="N176" s="79">
        <f t="shared" si="61"/>
        <v>11.405999999999992</v>
      </c>
      <c r="O176" s="79">
        <f t="shared" si="61"/>
        <v>9.7780000000000022</v>
      </c>
      <c r="P176" s="79">
        <f t="shared" si="53"/>
        <v>89.322999999999993</v>
      </c>
    </row>
    <row r="177" spans="1:16" x14ac:dyDescent="0.25">
      <c r="A177" s="77" t="s">
        <v>92</v>
      </c>
      <c r="B177" s="77" t="s">
        <v>100</v>
      </c>
      <c r="D177" s="79">
        <f t="shared" si="61"/>
        <v>3.3839999999999968</v>
      </c>
      <c r="E177" s="79">
        <f t="shared" si="61"/>
        <v>3.7810000000000041</v>
      </c>
      <c r="F177" s="79">
        <f t="shared" si="61"/>
        <v>5.3429999999999946</v>
      </c>
      <c r="G177" s="79">
        <f t="shared" si="61"/>
        <v>5.7449999999999966</v>
      </c>
      <c r="H177" s="79">
        <f t="shared" si="61"/>
        <v>6.1250000000000027</v>
      </c>
      <c r="I177" s="79">
        <f t="shared" si="61"/>
        <v>6.519000000000001</v>
      </c>
      <c r="J177" s="79">
        <f t="shared" si="61"/>
        <v>6.0840000000000023</v>
      </c>
      <c r="K177" s="79">
        <f t="shared" si="61"/>
        <v>6.4660000000000002</v>
      </c>
      <c r="L177" s="79">
        <f t="shared" si="61"/>
        <v>8.0399999999999991</v>
      </c>
      <c r="M177" s="79">
        <f t="shared" si="61"/>
        <v>9.6410000000000036</v>
      </c>
      <c r="N177" s="79">
        <f t="shared" si="61"/>
        <v>10.721999999999992</v>
      </c>
      <c r="O177" s="79">
        <f t="shared" si="61"/>
        <v>9.094000000000003</v>
      </c>
      <c r="P177" s="79">
        <f t="shared" si="53"/>
        <v>80.944000000000003</v>
      </c>
    </row>
    <row r="178" spans="1:16" x14ac:dyDescent="0.25">
      <c r="A178" s="77" t="s">
        <v>92</v>
      </c>
      <c r="B178" s="77" t="s">
        <v>101</v>
      </c>
      <c r="D178" s="79">
        <f t="shared" si="61"/>
        <v>2.5379999999999967</v>
      </c>
      <c r="E178" s="79">
        <f t="shared" si="61"/>
        <v>2.8360000000000043</v>
      </c>
      <c r="F178" s="79">
        <f t="shared" si="61"/>
        <v>4.0069999999999943</v>
      </c>
      <c r="G178" s="79">
        <f t="shared" si="61"/>
        <v>4.3079999999999963</v>
      </c>
      <c r="H178" s="79">
        <f t="shared" si="61"/>
        <v>4.5930000000000026</v>
      </c>
      <c r="I178" s="79">
        <f t="shared" si="61"/>
        <v>4.8900000000000006</v>
      </c>
      <c r="J178" s="79">
        <f t="shared" si="61"/>
        <v>4.5630000000000024</v>
      </c>
      <c r="K178" s="79">
        <f t="shared" si="61"/>
        <v>4.8490000000000002</v>
      </c>
      <c r="L178" s="79">
        <f t="shared" si="61"/>
        <v>6.0299999999999994</v>
      </c>
      <c r="M178" s="79">
        <f t="shared" si="61"/>
        <v>7.230000000000004</v>
      </c>
      <c r="N178" s="79">
        <f t="shared" si="61"/>
        <v>8.0429999999999922</v>
      </c>
      <c r="O178" s="79">
        <f t="shared" si="61"/>
        <v>6.8190000000000026</v>
      </c>
      <c r="P178" s="79">
        <f t="shared" si="53"/>
        <v>60.705999999999996</v>
      </c>
    </row>
    <row r="179" spans="1:16" x14ac:dyDescent="0.25">
      <c r="A179" s="77" t="s">
        <v>92</v>
      </c>
      <c r="B179" s="77" t="s">
        <v>102</v>
      </c>
      <c r="C179" s="79">
        <f t="shared" ref="C179:O179" si="62">C87+C88-C89</f>
        <v>94.787999999999997</v>
      </c>
      <c r="D179" s="79">
        <f t="shared" si="62"/>
        <v>72.388000000000005</v>
      </c>
      <c r="E179" s="79">
        <f t="shared" si="62"/>
        <v>73.074999999999989</v>
      </c>
      <c r="F179" s="79">
        <f t="shared" si="62"/>
        <v>74.260999999999996</v>
      </c>
      <c r="G179" s="79">
        <f t="shared" si="62"/>
        <v>79.48</v>
      </c>
      <c r="H179" s="79">
        <f t="shared" si="62"/>
        <v>84.72</v>
      </c>
      <c r="I179" s="79">
        <f t="shared" si="62"/>
        <v>86.936999999999998</v>
      </c>
      <c r="J179" s="79">
        <f t="shared" si="62"/>
        <v>88.774000000000001</v>
      </c>
      <c r="K179" s="79">
        <f t="shared" si="62"/>
        <v>88.924000000000007</v>
      </c>
      <c r="L179" s="79">
        <f t="shared" si="62"/>
        <v>89.540999999999997</v>
      </c>
      <c r="M179" s="79">
        <f t="shared" si="62"/>
        <v>95.25500000000001</v>
      </c>
      <c r="N179" s="79">
        <f t="shared" si="62"/>
        <v>106.78900000000002</v>
      </c>
      <c r="O179" s="79">
        <f t="shared" si="62"/>
        <v>113.30799999999998</v>
      </c>
    </row>
    <row r="180" spans="1:16" x14ac:dyDescent="0.25">
      <c r="A180" s="77" t="s">
        <v>93</v>
      </c>
      <c r="B180" s="77" t="s">
        <v>30</v>
      </c>
      <c r="D180" s="79">
        <f t="shared" ref="D180:O180" si="63">D94+D95+D96</f>
        <v>31.712999999999994</v>
      </c>
      <c r="E180" s="79">
        <f t="shared" si="63"/>
        <v>32.561</v>
      </c>
      <c r="F180" s="79">
        <f t="shared" si="63"/>
        <v>36.454000000000001</v>
      </c>
      <c r="G180" s="79">
        <f t="shared" si="63"/>
        <v>37.622</v>
      </c>
      <c r="H180" s="79">
        <f t="shared" si="63"/>
        <v>38.406999999999996</v>
      </c>
      <c r="I180" s="79">
        <f t="shared" si="63"/>
        <v>39.566000000000003</v>
      </c>
      <c r="J180" s="79">
        <f t="shared" si="63"/>
        <v>38.491999999999997</v>
      </c>
      <c r="K180" s="79">
        <f t="shared" si="63"/>
        <v>39.417999999999992</v>
      </c>
      <c r="L180" s="79">
        <f t="shared" si="63"/>
        <v>43.092999999999996</v>
      </c>
      <c r="M180" s="79">
        <f t="shared" si="63"/>
        <v>47.191999999999993</v>
      </c>
      <c r="N180" s="79">
        <f t="shared" si="63"/>
        <v>49.885999999999996</v>
      </c>
      <c r="O180" s="79">
        <f t="shared" si="63"/>
        <v>45.911999999999999</v>
      </c>
      <c r="P180" s="79">
        <f t="shared" ref="P180:P190" si="64">SUM(D180:O180)</f>
        <v>480.31599999999997</v>
      </c>
    </row>
    <row r="181" spans="1:16" x14ac:dyDescent="0.25">
      <c r="A181" s="77" t="s">
        <v>93</v>
      </c>
      <c r="B181" s="77" t="s">
        <v>31</v>
      </c>
      <c r="D181" s="79">
        <f t="shared" ref="D181:O181" si="65">D97+D98+D99</f>
        <v>-13.372</v>
      </c>
      <c r="E181" s="79">
        <f t="shared" si="65"/>
        <v>-13.734000000000002</v>
      </c>
      <c r="F181" s="79">
        <f t="shared" si="65"/>
        <v>-15.374000000000001</v>
      </c>
      <c r="G181" s="79">
        <f t="shared" si="65"/>
        <v>-15.856</v>
      </c>
      <c r="H181" s="79">
        <f t="shared" si="65"/>
        <v>-16.179000000000002</v>
      </c>
      <c r="I181" s="79">
        <f t="shared" si="65"/>
        <v>-16.679000000000002</v>
      </c>
      <c r="J181" s="79">
        <f t="shared" si="65"/>
        <v>-16.213999999999999</v>
      </c>
      <c r="K181" s="79">
        <f t="shared" si="65"/>
        <v>-16.617000000000001</v>
      </c>
      <c r="L181" s="79">
        <f t="shared" si="65"/>
        <v>-18.181999999999999</v>
      </c>
      <c r="M181" s="79">
        <f t="shared" si="65"/>
        <v>-19.884</v>
      </c>
      <c r="N181" s="79">
        <f t="shared" si="65"/>
        <v>-21.035</v>
      </c>
      <c r="O181" s="79">
        <f t="shared" si="65"/>
        <v>-19.332999999999998</v>
      </c>
      <c r="P181" s="79">
        <f t="shared" si="64"/>
        <v>-202.459</v>
      </c>
    </row>
    <row r="182" spans="1:16" x14ac:dyDescent="0.25">
      <c r="A182" s="77" t="s">
        <v>93</v>
      </c>
      <c r="B182" s="77" t="s">
        <v>32</v>
      </c>
      <c r="D182" s="79">
        <f t="shared" ref="D182:O182" si="66">D180+D181</f>
        <v>18.340999999999994</v>
      </c>
      <c r="E182" s="79">
        <f t="shared" si="66"/>
        <v>18.826999999999998</v>
      </c>
      <c r="F182" s="79">
        <f t="shared" si="66"/>
        <v>21.08</v>
      </c>
      <c r="G182" s="79">
        <f t="shared" si="66"/>
        <v>21.765999999999998</v>
      </c>
      <c r="H182" s="79">
        <f t="shared" si="66"/>
        <v>22.227999999999994</v>
      </c>
      <c r="I182" s="79">
        <f t="shared" si="66"/>
        <v>22.887</v>
      </c>
      <c r="J182" s="79">
        <f t="shared" si="66"/>
        <v>22.277999999999999</v>
      </c>
      <c r="K182" s="79">
        <f t="shared" si="66"/>
        <v>22.800999999999991</v>
      </c>
      <c r="L182" s="79">
        <f t="shared" si="66"/>
        <v>24.910999999999998</v>
      </c>
      <c r="M182" s="79">
        <f t="shared" si="66"/>
        <v>27.307999999999993</v>
      </c>
      <c r="N182" s="79">
        <f t="shared" si="66"/>
        <v>28.850999999999996</v>
      </c>
      <c r="O182" s="79">
        <f t="shared" si="66"/>
        <v>26.579000000000001</v>
      </c>
      <c r="P182" s="79">
        <f t="shared" si="64"/>
        <v>277.85699999999997</v>
      </c>
    </row>
    <row r="183" spans="1:16" x14ac:dyDescent="0.25">
      <c r="A183" s="77" t="s">
        <v>93</v>
      </c>
      <c r="B183" s="77" t="s">
        <v>33</v>
      </c>
      <c r="D183" s="79">
        <f t="shared" ref="D183:O183" si="67">D100+D101</f>
        <v>-3.0549999999999997</v>
      </c>
      <c r="E183" s="79">
        <f t="shared" si="67"/>
        <v>-3.1500000000000004</v>
      </c>
      <c r="F183" s="79">
        <f t="shared" si="67"/>
        <v>-3.5209999999999999</v>
      </c>
      <c r="G183" s="79">
        <f t="shared" si="67"/>
        <v>-3.613</v>
      </c>
      <c r="H183" s="79">
        <f t="shared" si="67"/>
        <v>-3.7110000000000003</v>
      </c>
      <c r="I183" s="79">
        <f t="shared" si="67"/>
        <v>-3.802</v>
      </c>
      <c r="J183" s="79">
        <f t="shared" si="67"/>
        <v>-3.7110000000000003</v>
      </c>
      <c r="K183" s="79">
        <f t="shared" si="67"/>
        <v>-3.802</v>
      </c>
      <c r="L183" s="79">
        <f t="shared" si="67"/>
        <v>-4.1769999999999996</v>
      </c>
      <c r="M183" s="79">
        <f t="shared" si="67"/>
        <v>-4.5430000000000001</v>
      </c>
      <c r="N183" s="79">
        <f t="shared" si="67"/>
        <v>-4.8239999999999998</v>
      </c>
      <c r="O183" s="79">
        <f t="shared" si="67"/>
        <v>-4.452</v>
      </c>
      <c r="P183" s="79">
        <f t="shared" si="64"/>
        <v>-46.36099999999999</v>
      </c>
    </row>
    <row r="184" spans="1:16" x14ac:dyDescent="0.25">
      <c r="A184" s="77" t="s">
        <v>93</v>
      </c>
      <c r="B184" s="77" t="s">
        <v>34</v>
      </c>
      <c r="D184" s="79">
        <f t="shared" ref="D184:O184" si="68">D102+D103</f>
        <v>-2.8479999999999999</v>
      </c>
      <c r="E184" s="79">
        <f t="shared" si="68"/>
        <v>-2.9279999999999999</v>
      </c>
      <c r="F184" s="79">
        <f t="shared" si="68"/>
        <v>-3.2759999999999998</v>
      </c>
      <c r="G184" s="79">
        <f t="shared" si="68"/>
        <v>-3.375</v>
      </c>
      <c r="H184" s="79">
        <f t="shared" si="68"/>
        <v>-3.4550000000000001</v>
      </c>
      <c r="I184" s="79">
        <f t="shared" si="68"/>
        <v>-3.5529999999999999</v>
      </c>
      <c r="J184" s="79">
        <f t="shared" si="68"/>
        <v>-3.456</v>
      </c>
      <c r="K184" s="79">
        <f t="shared" si="68"/>
        <v>-3.5410000000000004</v>
      </c>
      <c r="L184" s="79">
        <f t="shared" si="68"/>
        <v>-3.8659999999999997</v>
      </c>
      <c r="M184" s="79">
        <f t="shared" si="68"/>
        <v>-4.2370000000000001</v>
      </c>
      <c r="N184" s="79">
        <f t="shared" si="68"/>
        <v>-4.4819999999999993</v>
      </c>
      <c r="O184" s="79">
        <f t="shared" si="68"/>
        <v>-4.1280000000000001</v>
      </c>
      <c r="P184" s="79">
        <f t="shared" si="64"/>
        <v>-43.144999999999996</v>
      </c>
    </row>
    <row r="185" spans="1:16" x14ac:dyDescent="0.25">
      <c r="A185" s="77" t="s">
        <v>93</v>
      </c>
      <c r="B185" s="77" t="s">
        <v>96</v>
      </c>
      <c r="D185" s="79">
        <f t="shared" ref="D185:O185" si="69">D182+D183+D184</f>
        <v>12.437999999999995</v>
      </c>
      <c r="E185" s="79">
        <f t="shared" si="69"/>
        <v>12.748999999999999</v>
      </c>
      <c r="F185" s="79">
        <f t="shared" si="69"/>
        <v>14.282999999999998</v>
      </c>
      <c r="G185" s="79">
        <f t="shared" si="69"/>
        <v>14.777999999999999</v>
      </c>
      <c r="H185" s="79">
        <f t="shared" si="69"/>
        <v>15.061999999999996</v>
      </c>
      <c r="I185" s="79">
        <f t="shared" si="69"/>
        <v>15.532</v>
      </c>
      <c r="J185" s="79">
        <f t="shared" si="69"/>
        <v>15.111000000000001</v>
      </c>
      <c r="K185" s="79">
        <f t="shared" si="69"/>
        <v>15.457999999999991</v>
      </c>
      <c r="L185" s="79">
        <f t="shared" si="69"/>
        <v>16.867999999999999</v>
      </c>
      <c r="M185" s="79">
        <f t="shared" si="69"/>
        <v>18.527999999999992</v>
      </c>
      <c r="N185" s="79">
        <f t="shared" si="69"/>
        <v>19.544999999999995</v>
      </c>
      <c r="O185" s="79">
        <f t="shared" si="69"/>
        <v>17.999000000000002</v>
      </c>
      <c r="P185" s="79">
        <f t="shared" si="64"/>
        <v>188.35099999999994</v>
      </c>
    </row>
    <row r="186" spans="1:16" x14ac:dyDescent="0.25">
      <c r="A186" s="77" t="s">
        <v>93</v>
      </c>
      <c r="B186" s="77" t="s">
        <v>97</v>
      </c>
      <c r="D186" s="79">
        <f t="shared" ref="D186:O186" si="70">D104+D105+D106+D107</f>
        <v>-7.2770000000000001</v>
      </c>
      <c r="E186" s="79">
        <f t="shared" si="70"/>
        <v>-7.2930000000000001</v>
      </c>
      <c r="F186" s="79">
        <f t="shared" si="70"/>
        <v>-7.3090000000000002</v>
      </c>
      <c r="G186" s="79">
        <f t="shared" si="70"/>
        <v>-7.3250000000000002</v>
      </c>
      <c r="H186" s="79">
        <f t="shared" si="70"/>
        <v>-7.3410000000000002</v>
      </c>
      <c r="I186" s="79">
        <f t="shared" si="70"/>
        <v>-7.3570000000000002</v>
      </c>
      <c r="J186" s="79">
        <f t="shared" si="70"/>
        <v>-7.3719999999999999</v>
      </c>
      <c r="K186" s="79">
        <f t="shared" si="70"/>
        <v>-7.3879999999999999</v>
      </c>
      <c r="L186" s="79">
        <f t="shared" si="70"/>
        <v>-7.4039999999999999</v>
      </c>
      <c r="M186" s="79">
        <f t="shared" si="70"/>
        <v>-7.42</v>
      </c>
      <c r="N186" s="79">
        <f t="shared" si="70"/>
        <v>-7.4359999999999999</v>
      </c>
      <c r="O186" s="79">
        <f t="shared" si="70"/>
        <v>-7.452</v>
      </c>
      <c r="P186" s="79">
        <f t="shared" si="64"/>
        <v>-88.373999999999995</v>
      </c>
    </row>
    <row r="187" spans="1:16" x14ac:dyDescent="0.25">
      <c r="A187" s="77" t="s">
        <v>93</v>
      </c>
      <c r="B187" s="77" t="s">
        <v>98</v>
      </c>
      <c r="D187" s="79">
        <f t="shared" ref="D187:O187" si="71">D185+D186</f>
        <v>5.1609999999999951</v>
      </c>
      <c r="E187" s="79">
        <f t="shared" si="71"/>
        <v>5.4559999999999986</v>
      </c>
      <c r="F187" s="79">
        <f t="shared" si="71"/>
        <v>6.9739999999999975</v>
      </c>
      <c r="G187" s="79">
        <f t="shared" si="71"/>
        <v>7.4529999999999985</v>
      </c>
      <c r="H187" s="79">
        <f t="shared" si="71"/>
        <v>7.7209999999999956</v>
      </c>
      <c r="I187" s="79">
        <f t="shared" si="71"/>
        <v>8.1750000000000007</v>
      </c>
      <c r="J187" s="79">
        <f t="shared" si="71"/>
        <v>7.7390000000000008</v>
      </c>
      <c r="K187" s="79">
        <f t="shared" si="71"/>
        <v>8.0699999999999914</v>
      </c>
      <c r="L187" s="79">
        <f t="shared" si="71"/>
        <v>9.4639999999999986</v>
      </c>
      <c r="M187" s="79">
        <f t="shared" si="71"/>
        <v>11.107999999999992</v>
      </c>
      <c r="N187" s="79">
        <f t="shared" si="71"/>
        <v>12.108999999999995</v>
      </c>
      <c r="O187" s="79">
        <f t="shared" si="71"/>
        <v>10.547000000000002</v>
      </c>
      <c r="P187" s="79">
        <f t="shared" si="64"/>
        <v>99.976999999999961</v>
      </c>
    </row>
    <row r="188" spans="1:16" x14ac:dyDescent="0.25">
      <c r="A188" s="77" t="s">
        <v>93</v>
      </c>
      <c r="B188" s="77" t="s">
        <v>99</v>
      </c>
      <c r="D188" s="79">
        <f t="shared" ref="D188:O190" si="72">D187+D108</f>
        <v>3.7479999999999949</v>
      </c>
      <c r="E188" s="79">
        <f t="shared" si="72"/>
        <v>4.0429999999999984</v>
      </c>
      <c r="F188" s="79">
        <f t="shared" si="72"/>
        <v>5.5609999999999973</v>
      </c>
      <c r="G188" s="79">
        <f t="shared" si="72"/>
        <v>6.0399999999999983</v>
      </c>
      <c r="H188" s="79">
        <f t="shared" si="72"/>
        <v>6.3079999999999954</v>
      </c>
      <c r="I188" s="79">
        <f t="shared" si="72"/>
        <v>6.7620000000000005</v>
      </c>
      <c r="J188" s="79">
        <f t="shared" si="72"/>
        <v>6.3260000000000005</v>
      </c>
      <c r="K188" s="79">
        <f t="shared" si="72"/>
        <v>6.6569999999999911</v>
      </c>
      <c r="L188" s="79">
        <f t="shared" si="72"/>
        <v>8.0509999999999984</v>
      </c>
      <c r="M188" s="79">
        <f t="shared" si="72"/>
        <v>9.6949999999999914</v>
      </c>
      <c r="N188" s="79">
        <f t="shared" si="72"/>
        <v>10.695999999999994</v>
      </c>
      <c r="O188" s="79">
        <f t="shared" si="72"/>
        <v>9.1340000000000021</v>
      </c>
      <c r="P188" s="79">
        <f t="shared" si="64"/>
        <v>83.020999999999972</v>
      </c>
    </row>
    <row r="189" spans="1:16" x14ac:dyDescent="0.25">
      <c r="A189" s="77" t="s">
        <v>93</v>
      </c>
      <c r="B189" s="77" t="s">
        <v>100</v>
      </c>
      <c r="D189" s="79">
        <f t="shared" si="72"/>
        <v>2.9979999999999949</v>
      </c>
      <c r="E189" s="79">
        <f t="shared" si="72"/>
        <v>3.2929999999999984</v>
      </c>
      <c r="F189" s="79">
        <f t="shared" si="72"/>
        <v>4.8109999999999973</v>
      </c>
      <c r="G189" s="79">
        <f t="shared" si="72"/>
        <v>5.2989999999999986</v>
      </c>
      <c r="H189" s="79">
        <f t="shared" si="72"/>
        <v>5.5669999999999957</v>
      </c>
      <c r="I189" s="79">
        <f t="shared" si="72"/>
        <v>6.0210000000000008</v>
      </c>
      <c r="J189" s="79">
        <f t="shared" si="72"/>
        <v>5.5950000000000006</v>
      </c>
      <c r="K189" s="79">
        <f t="shared" si="72"/>
        <v>5.9259999999999913</v>
      </c>
      <c r="L189" s="79">
        <f t="shared" si="72"/>
        <v>7.3199999999999985</v>
      </c>
      <c r="M189" s="79">
        <f t="shared" si="72"/>
        <v>8.9729999999999919</v>
      </c>
      <c r="N189" s="79">
        <f t="shared" si="72"/>
        <v>9.9739999999999949</v>
      </c>
      <c r="O189" s="79">
        <f t="shared" si="72"/>
        <v>8.4120000000000026</v>
      </c>
      <c r="P189" s="79">
        <f t="shared" si="64"/>
        <v>74.188999999999965</v>
      </c>
    </row>
    <row r="190" spans="1:16" x14ac:dyDescent="0.25">
      <c r="A190" s="77" t="s">
        <v>93</v>
      </c>
      <c r="B190" s="77" t="s">
        <v>101</v>
      </c>
      <c r="D190" s="79">
        <f t="shared" si="72"/>
        <v>2.2489999999999948</v>
      </c>
      <c r="E190" s="79">
        <f t="shared" si="72"/>
        <v>2.4689999999999985</v>
      </c>
      <c r="F190" s="79">
        <f t="shared" si="72"/>
        <v>3.6089999999999973</v>
      </c>
      <c r="G190" s="79">
        <f t="shared" si="72"/>
        <v>3.9759999999999986</v>
      </c>
      <c r="H190" s="79">
        <f t="shared" si="72"/>
        <v>4.1729999999999956</v>
      </c>
      <c r="I190" s="79">
        <f t="shared" si="72"/>
        <v>4.5160000000000009</v>
      </c>
      <c r="J190" s="79">
        <f t="shared" si="72"/>
        <v>4.1990000000000007</v>
      </c>
      <c r="K190" s="79">
        <f t="shared" si="72"/>
        <v>4.4449999999999914</v>
      </c>
      <c r="L190" s="79">
        <f t="shared" si="72"/>
        <v>5.4879999999999987</v>
      </c>
      <c r="M190" s="79">
        <f t="shared" si="72"/>
        <v>6.7289999999999921</v>
      </c>
      <c r="N190" s="79">
        <f t="shared" si="72"/>
        <v>7.4809999999999945</v>
      </c>
      <c r="O190" s="79">
        <f t="shared" si="72"/>
        <v>6.3080000000000025</v>
      </c>
      <c r="P190" s="79">
        <f t="shared" si="64"/>
        <v>55.641999999999967</v>
      </c>
    </row>
    <row r="191" spans="1:16" x14ac:dyDescent="0.25">
      <c r="A191" s="77" t="s">
        <v>93</v>
      </c>
      <c r="B191" s="77" t="s">
        <v>102</v>
      </c>
      <c r="C191" s="79">
        <f t="shared" ref="C191:O191" si="73">C112+C113-C114</f>
        <v>58.220999999999997</v>
      </c>
      <c r="D191" s="79">
        <f t="shared" si="73"/>
        <v>62.17</v>
      </c>
      <c r="E191" s="79">
        <f t="shared" si="73"/>
        <v>62.619</v>
      </c>
      <c r="F191" s="79">
        <f t="shared" si="73"/>
        <v>63.444999999999993</v>
      </c>
      <c r="G191" s="79">
        <f t="shared" si="73"/>
        <v>67.991</v>
      </c>
      <c r="H191" s="79">
        <f t="shared" si="73"/>
        <v>72.73599999999999</v>
      </c>
      <c r="I191" s="79">
        <f t="shared" si="73"/>
        <v>74.634</v>
      </c>
      <c r="J191" s="79">
        <f t="shared" si="73"/>
        <v>76.271000000000001</v>
      </c>
      <c r="K191" s="79">
        <f t="shared" si="73"/>
        <v>76.454999999999998</v>
      </c>
      <c r="L191" s="79">
        <f t="shared" si="73"/>
        <v>76.775999999999996</v>
      </c>
      <c r="M191" s="79">
        <f t="shared" si="73"/>
        <v>81.562999999999988</v>
      </c>
      <c r="N191" s="79">
        <f t="shared" si="73"/>
        <v>89.009000000000015</v>
      </c>
      <c r="O191" s="79">
        <f t="shared" si="73"/>
        <v>94.787999999999997</v>
      </c>
    </row>
    <row r="192" spans="1:16" x14ac:dyDescent="0.25">
      <c r="A192" s="77" t="s">
        <v>94</v>
      </c>
      <c r="B192" s="77" t="s">
        <v>103</v>
      </c>
      <c r="D192" s="79">
        <f t="shared" ref="D192:O192" si="74">D151+D134+D135-(D155-C155)+D136</f>
        <v>22.932999999999993</v>
      </c>
      <c r="E192" s="79">
        <f t="shared" si="74"/>
        <v>2.4310000000000098</v>
      </c>
      <c r="F192" s="79">
        <f t="shared" si="74"/>
        <v>2.8250000000000064</v>
      </c>
      <c r="G192" s="79">
        <f t="shared" si="74"/>
        <v>-0.90800000000000591</v>
      </c>
      <c r="H192" s="79">
        <f t="shared" si="74"/>
        <v>-0.78099999999998437</v>
      </c>
      <c r="I192" s="79">
        <f t="shared" si="74"/>
        <v>2.6219999999999866</v>
      </c>
      <c r="J192" s="79">
        <f t="shared" si="74"/>
        <v>2.8549999999999862</v>
      </c>
      <c r="K192" s="79">
        <f t="shared" si="74"/>
        <v>4.8019999999999943</v>
      </c>
      <c r="L192" s="79">
        <f t="shared" si="74"/>
        <v>5.2430000000000314</v>
      </c>
      <c r="M192" s="79">
        <f t="shared" si="74"/>
        <v>1.1379999999999844</v>
      </c>
      <c r="N192" s="79">
        <f t="shared" si="74"/>
        <v>-0.87100000000002509</v>
      </c>
      <c r="O192" s="79">
        <f t="shared" si="74"/>
        <v>0.23300000000004029</v>
      </c>
      <c r="P192" s="79">
        <f>SUM(D192:O192)</f>
        <v>42.52200000000002</v>
      </c>
    </row>
    <row r="193" spans="1:15" x14ac:dyDescent="0.25">
      <c r="A193" s="77" t="s">
        <v>94</v>
      </c>
      <c r="B193" s="77" t="s">
        <v>104</v>
      </c>
      <c r="D193" s="79">
        <f t="shared" ref="D193:O193" si="75">D141-D140</f>
        <v>127.922</v>
      </c>
      <c r="E193" s="79">
        <f t="shared" si="75"/>
        <v>125.48699999999999</v>
      </c>
      <c r="F193" s="79">
        <f t="shared" si="75"/>
        <v>122.664</v>
      </c>
      <c r="G193" s="79">
        <f t="shared" si="75"/>
        <v>123.562</v>
      </c>
      <c r="H193" s="79">
        <f t="shared" si="75"/>
        <v>142.33799999999999</v>
      </c>
      <c r="I193" s="79">
        <f t="shared" si="75"/>
        <v>139.72499999999999</v>
      </c>
      <c r="J193" s="79">
        <f t="shared" si="75"/>
        <v>136.85900000000001</v>
      </c>
      <c r="K193" s="79">
        <f t="shared" si="75"/>
        <v>132.06100000000001</v>
      </c>
      <c r="L193" s="79">
        <f t="shared" si="75"/>
        <v>126.813</v>
      </c>
      <c r="M193" s="79">
        <f t="shared" si="75"/>
        <v>125.675</v>
      </c>
      <c r="N193" s="79">
        <f t="shared" si="75"/>
        <v>125.63200000000001</v>
      </c>
      <c r="O193" s="79">
        <f t="shared" si="75"/>
        <v>125.396</v>
      </c>
    </row>
    <row r="194" spans="1:15" x14ac:dyDescent="0.25">
      <c r="A194" s="77" t="s">
        <v>94</v>
      </c>
      <c r="B194" s="77" t="s">
        <v>105</v>
      </c>
      <c r="D194" s="79">
        <f>SUM($D151:D151)+SUM(E187:$O187)</f>
        <v>100.32799999999997</v>
      </c>
      <c r="E194" s="79">
        <f>SUM($D151:E151)+SUM(F187:$O187)</f>
        <v>100.75999999999998</v>
      </c>
      <c r="F194" s="79">
        <f>SUM($D151:F151)+SUM(G187:$O187)</f>
        <v>101.25599999999997</v>
      </c>
      <c r="G194" s="79">
        <f>SUM($D151:G151)+SUM(H187:$O187)</f>
        <v>101.63299999999997</v>
      </c>
      <c r="H194" s="79">
        <f>SUM($D151:H151)+SUM(I187:$O187)</f>
        <v>102.13199999999998</v>
      </c>
      <c r="I194" s="79">
        <f>SUM($D151:I151)+SUM(J187:$O187)</f>
        <v>102.53399999999998</v>
      </c>
      <c r="J194" s="79">
        <f>SUM($D151:J151)+SUM(K187:$O187)</f>
        <v>102.95399999999998</v>
      </c>
      <c r="K194" s="79">
        <f>SUM($D151:K151)+SUM(L187:$O187)</f>
        <v>103.37899999999999</v>
      </c>
      <c r="L194" s="79">
        <f>SUM($D151:L151)+SUM(M187:$O187)</f>
        <v>103.97499999999999</v>
      </c>
      <c r="M194" s="79">
        <f>SUM($D151:M151)+SUM(N187:$O187)</f>
        <v>104.46600000000001</v>
      </c>
      <c r="N194" s="79">
        <f>SUM($D151:N151)+SUM(O187:$O187)</f>
        <v>105.24299999999999</v>
      </c>
      <c r="O194" s="79">
        <f>SUM($D151:O151)</f>
        <v>105.95400000000001</v>
      </c>
    </row>
    <row r="195" spans="1:15" x14ac:dyDescent="0.25">
      <c r="A195" s="77" t="s">
        <v>94</v>
      </c>
      <c r="B195" s="77" t="s">
        <v>106</v>
      </c>
      <c r="D195" s="79">
        <f>SUM($D144:D144)+SUM(E180:$O180)</f>
        <v>482.95100000000002</v>
      </c>
      <c r="E195" s="79">
        <f>SUM($D144:E144)+SUM(F180:$O180)</f>
        <v>485.78099999999995</v>
      </c>
      <c r="F195" s="79">
        <f>SUM($D144:F144)+SUM(G180:$O180)</f>
        <v>488.85899999999992</v>
      </c>
      <c r="G195" s="79">
        <f>SUM($D144:G144)+SUM(H180:$O180)</f>
        <v>491.83699999999999</v>
      </c>
      <c r="H195" s="79">
        <f>SUM($D144:H144)+SUM(I180:$O180)</f>
        <v>495.04699999999991</v>
      </c>
      <c r="I195" s="79">
        <f>SUM($D144:I144)+SUM(J180:$O180)</f>
        <v>498.08299999999997</v>
      </c>
      <c r="J195" s="79">
        <f>SUM($D144:J144)+SUM(K180:$O180)</f>
        <v>501.14599999999996</v>
      </c>
      <c r="K195" s="79">
        <f>SUM($D144:K144)+SUM(L180:$O180)</f>
        <v>504.24299999999994</v>
      </c>
      <c r="L195" s="79">
        <f>SUM($D144:L144)+SUM(M180:$O180)</f>
        <v>507.81499999999994</v>
      </c>
      <c r="M195" s="79">
        <f>SUM($D144:M144)+SUM(N180:$O180)</f>
        <v>511.36799999999999</v>
      </c>
      <c r="N195" s="79">
        <f>SUM($D144:N144)+SUM(O180:$O180)</f>
        <v>515.55700000000002</v>
      </c>
      <c r="O195" s="79">
        <f>SUM($D144:O144)</f>
        <v>519.53099999999995</v>
      </c>
    </row>
    <row r="196" spans="1:15" x14ac:dyDescent="0.25">
      <c r="A196" s="77" t="s">
        <v>94</v>
      </c>
      <c r="B196" s="77" t="s">
        <v>107</v>
      </c>
      <c r="D196" s="79">
        <f>IFERROR(D137/(SUM(D144:D144))*30.4*1,0)</f>
        <v>48.132153254920219</v>
      </c>
      <c r="E196" s="79">
        <f>IFERROR(E137/(SUM(D144:E144))*30.4*2,0)</f>
        <v>48.131553363254412</v>
      </c>
      <c r="F196" s="79">
        <f t="shared" ref="F196:O196" si="76">IFERROR(F137/(SUM(D144:F144))*30.4*3,0)</f>
        <v>48.148518820181003</v>
      </c>
      <c r="G196" s="79">
        <f t="shared" si="76"/>
        <v>48.147170693281865</v>
      </c>
      <c r="H196" s="79">
        <f t="shared" si="76"/>
        <v>48.152497351107598</v>
      </c>
      <c r="I196" s="79">
        <f t="shared" si="76"/>
        <v>48.156206987718221</v>
      </c>
      <c r="J196" s="79">
        <f t="shared" si="76"/>
        <v>48.176316249781351</v>
      </c>
      <c r="K196" s="79">
        <f t="shared" si="76"/>
        <v>48.168851837817357</v>
      </c>
      <c r="L196" s="79">
        <f t="shared" si="76"/>
        <v>48.166798485485899</v>
      </c>
      <c r="M196" s="79">
        <f t="shared" si="76"/>
        <v>48.148776844738244</v>
      </c>
      <c r="N196" s="79">
        <f t="shared" si="76"/>
        <v>48.338980097039311</v>
      </c>
      <c r="O196" s="79">
        <f t="shared" si="76"/>
        <v>48.25984771114242</v>
      </c>
    </row>
    <row r="197" spans="1:15" x14ac:dyDescent="0.25">
      <c r="A197" s="77" t="s">
        <v>94</v>
      </c>
      <c r="B197" s="77" t="s">
        <v>108</v>
      </c>
      <c r="D197" s="79">
        <f>IFERROR(D138/(-SUM(D145:D145))*30.4*1,0)</f>
        <v>96.938549264023337</v>
      </c>
      <c r="E197" s="79">
        <f>IFERROR(E138/(-SUM(D145:E145))*30.4*2,0)</f>
        <v>96.809116139354146</v>
      </c>
      <c r="F197" s="79">
        <f t="shared" ref="F197:O197" si="77">IFERROR(F138/(-SUM(D145:F145))*30.4*3,0)</f>
        <v>96.794264037683917</v>
      </c>
      <c r="G197" s="79">
        <f t="shared" si="77"/>
        <v>96.720028381095034</v>
      </c>
      <c r="H197" s="79">
        <f t="shared" si="77"/>
        <v>96.758957861858732</v>
      </c>
      <c r="I197" s="79">
        <f t="shared" si="77"/>
        <v>96.729188173710043</v>
      </c>
      <c r="J197" s="79">
        <f t="shared" si="77"/>
        <v>96.749940249864196</v>
      </c>
      <c r="K197" s="79">
        <f t="shared" si="77"/>
        <v>96.74833884654106</v>
      </c>
      <c r="L197" s="79">
        <f t="shared" si="77"/>
        <v>96.796641641554473</v>
      </c>
      <c r="M197" s="79">
        <f t="shared" si="77"/>
        <v>96.834320682247238</v>
      </c>
      <c r="N197" s="79">
        <f t="shared" si="77"/>
        <v>96.701923221508821</v>
      </c>
      <c r="O197" s="79">
        <f t="shared" si="77"/>
        <v>96.784742492746773</v>
      </c>
    </row>
    <row r="198" spans="1:15" x14ac:dyDescent="0.25">
      <c r="A198" s="77" t="s">
        <v>94</v>
      </c>
      <c r="B198" s="77" t="s">
        <v>109</v>
      </c>
      <c r="D198" s="79">
        <f>IFERROR(D139/(-SUM(D145:D145))*30.4*1,0)</f>
        <v>56.002758254873349</v>
      </c>
      <c r="E198" s="79">
        <f>IFERROR(E139/(-SUM(D145:E145))*30.4*2,0)</f>
        <v>56.835602572893187</v>
      </c>
      <c r="F198" s="79">
        <f t="shared" ref="F198:O198" si="78">IFERROR(F139/(-SUM(D145:F145))*30.4*3,0)</f>
        <v>60.74614198174163</v>
      </c>
      <c r="G198" s="79">
        <f t="shared" si="78"/>
        <v>59.070235326579677</v>
      </c>
      <c r="H198" s="79">
        <f t="shared" si="78"/>
        <v>57.412998672078089</v>
      </c>
      <c r="I198" s="79">
        <f t="shared" si="78"/>
        <v>57.324573658963658</v>
      </c>
      <c r="J198" s="79">
        <f t="shared" si="78"/>
        <v>55.499402498642027</v>
      </c>
      <c r="K198" s="79">
        <f t="shared" si="78"/>
        <v>56.385157485977274</v>
      </c>
      <c r="L198" s="79">
        <f t="shared" si="78"/>
        <v>59.974456966677707</v>
      </c>
      <c r="M198" s="79">
        <f t="shared" si="78"/>
        <v>60.917752750471976</v>
      </c>
      <c r="N198" s="79">
        <f t="shared" si="78"/>
        <v>60.36481963219704</v>
      </c>
      <c r="O198" s="79">
        <f t="shared" si="78"/>
        <v>54.552645763685355</v>
      </c>
    </row>
    <row r="199" spans="1:15" x14ac:dyDescent="0.25">
      <c r="A199" s="77" t="s">
        <v>94</v>
      </c>
      <c r="B199" s="77" t="s">
        <v>110</v>
      </c>
      <c r="D199" s="79">
        <f t="shared" ref="D199:O199" si="79">D196+D197-D198</f>
        <v>89.067944264070206</v>
      </c>
      <c r="E199" s="79">
        <f t="shared" si="79"/>
        <v>88.105066929715377</v>
      </c>
      <c r="F199" s="79">
        <f t="shared" si="79"/>
        <v>84.196640876123297</v>
      </c>
      <c r="G199" s="79">
        <f t="shared" si="79"/>
        <v>85.796963747797236</v>
      </c>
      <c r="H199" s="79">
        <f t="shared" si="79"/>
        <v>87.498456540888242</v>
      </c>
      <c r="I199" s="79">
        <f t="shared" si="79"/>
        <v>87.56082150246462</v>
      </c>
      <c r="J199" s="79">
        <f t="shared" si="79"/>
        <v>89.42685400100352</v>
      </c>
      <c r="K199" s="79">
        <f t="shared" si="79"/>
        <v>88.532033198381143</v>
      </c>
      <c r="L199" s="79">
        <f t="shared" si="79"/>
        <v>84.988983160362665</v>
      </c>
      <c r="M199" s="79">
        <f t="shared" si="79"/>
        <v>84.065344776513513</v>
      </c>
      <c r="N199" s="79">
        <f t="shared" si="79"/>
        <v>84.676083686351106</v>
      </c>
      <c r="O199" s="79">
        <f t="shared" si="79"/>
        <v>90.491944440203838</v>
      </c>
    </row>
    <row r="200" spans="1:15" x14ac:dyDescent="0.25">
      <c r="A200" s="77" t="s">
        <v>94</v>
      </c>
      <c r="B200" s="77" t="s">
        <v>111</v>
      </c>
      <c r="D200" s="80">
        <f t="shared" ref="D200:O200" si="80">IFERROR(D146/D144,0)</f>
        <v>0.56090602072900897</v>
      </c>
      <c r="E200" s="80">
        <f t="shared" si="80"/>
        <v>0.56076403605436398</v>
      </c>
      <c r="F200" s="80">
        <f t="shared" si="80"/>
        <v>0.56108975007588791</v>
      </c>
      <c r="G200" s="80">
        <f t="shared" si="80"/>
        <v>0.56054187192118232</v>
      </c>
      <c r="H200" s="80">
        <f t="shared" si="80"/>
        <v>0.56090059350746102</v>
      </c>
      <c r="I200" s="80">
        <f t="shared" si="80"/>
        <v>0.56079526782780142</v>
      </c>
      <c r="J200" s="80">
        <f t="shared" si="80"/>
        <v>0.56094332811935987</v>
      </c>
      <c r="K200" s="80">
        <f t="shared" si="80"/>
        <v>0.56090791485358105</v>
      </c>
      <c r="L200" s="80">
        <f t="shared" si="80"/>
        <v>0.56078431372549031</v>
      </c>
      <c r="M200" s="80">
        <f t="shared" si="80"/>
        <v>0.56094196472558866</v>
      </c>
      <c r="N200" s="80">
        <f t="shared" si="80"/>
        <v>0.56122052704576975</v>
      </c>
      <c r="O200" s="80">
        <f t="shared" si="80"/>
        <v>0.56111935212284003</v>
      </c>
    </row>
    <row r="201" spans="1:15" x14ac:dyDescent="0.25">
      <c r="A201" s="77" t="s">
        <v>94</v>
      </c>
      <c r="B201" s="77" t="s">
        <v>112</v>
      </c>
      <c r="D201" s="80">
        <f t="shared" ref="D201:O201" si="81">IFERROR(D149/D144,0)</f>
        <v>0.38179806684523121</v>
      </c>
      <c r="E201" s="80">
        <f t="shared" si="81"/>
        <v>0.38165070215591523</v>
      </c>
      <c r="F201" s="80">
        <f t="shared" si="81"/>
        <v>0.38212081351816257</v>
      </c>
      <c r="G201" s="80">
        <f t="shared" si="81"/>
        <v>0.38135467980295568</v>
      </c>
      <c r="H201" s="80">
        <f t="shared" si="81"/>
        <v>0.38181512362736397</v>
      </c>
      <c r="I201" s="80">
        <f t="shared" si="81"/>
        <v>0.38176611426693569</v>
      </c>
      <c r="J201" s="80">
        <f t="shared" si="81"/>
        <v>0.38173504993382262</v>
      </c>
      <c r="K201" s="80">
        <f t="shared" si="81"/>
        <v>0.3814183229448429</v>
      </c>
      <c r="L201" s="80">
        <f t="shared" si="81"/>
        <v>0.3813993356905605</v>
      </c>
      <c r="M201" s="80">
        <f t="shared" si="81"/>
        <v>0.38139718198837319</v>
      </c>
      <c r="N201" s="80">
        <f t="shared" si="81"/>
        <v>0.38208044382801659</v>
      </c>
      <c r="O201" s="80">
        <f t="shared" si="81"/>
        <v>0.38185061941226001</v>
      </c>
    </row>
    <row r="202" spans="1:15" x14ac:dyDescent="0.25">
      <c r="A202" s="77" t="s">
        <v>94</v>
      </c>
      <c r="B202" s="77" t="s">
        <v>113</v>
      </c>
      <c r="D202" s="80">
        <f t="shared" ref="D202:O202" si="82">IFERROR(D151/D144,0)</f>
        <v>0.16047513683475029</v>
      </c>
      <c r="E202" s="80">
        <f t="shared" si="82"/>
        <v>0.16636998106863318</v>
      </c>
      <c r="F202" s="80">
        <f t="shared" si="82"/>
        <v>0.18896084184964088</v>
      </c>
      <c r="G202" s="80">
        <f t="shared" si="82"/>
        <v>0.19285714285714287</v>
      </c>
      <c r="H202" s="80">
        <f t="shared" si="82"/>
        <v>0.19751543840257604</v>
      </c>
      <c r="I202" s="80">
        <f t="shared" si="82"/>
        <v>0.2013285761231865</v>
      </c>
      <c r="J202" s="80">
        <f t="shared" si="82"/>
        <v>0.19634219708819634</v>
      </c>
      <c r="K202" s="80">
        <f t="shared" si="82"/>
        <v>0.19981183111842868</v>
      </c>
      <c r="L202" s="80">
        <f t="shared" si="82"/>
        <v>0.21557912782599395</v>
      </c>
      <c r="M202" s="80">
        <f t="shared" si="82"/>
        <v>0.22857424376785884</v>
      </c>
      <c r="N202" s="80">
        <f t="shared" si="82"/>
        <v>0.23829865926953292</v>
      </c>
      <c r="O202" s="80">
        <f t="shared" si="82"/>
        <v>0.22567453794651809</v>
      </c>
    </row>
    <row r="203" spans="1:15" x14ac:dyDescent="0.25">
      <c r="A203" s="77" t="s">
        <v>94</v>
      </c>
      <c r="B203" s="77" t="s">
        <v>114</v>
      </c>
      <c r="D203" s="80">
        <f t="shared" ref="D203:O203" si="83">IFERROR(D152/D144,0)</f>
        <v>0.11738674740887396</v>
      </c>
      <c r="E203" s="80">
        <f t="shared" si="83"/>
        <v>0.12455143963154464</v>
      </c>
      <c r="F203" s="80">
        <f t="shared" si="83"/>
        <v>0.15152281695841352</v>
      </c>
      <c r="G203" s="80">
        <f t="shared" si="83"/>
        <v>0.15640394088669948</v>
      </c>
      <c r="H203" s="80">
        <f t="shared" si="83"/>
        <v>0.1619530480332558</v>
      </c>
      <c r="I203" s="80">
        <f t="shared" si="83"/>
        <v>0.16658842307872848</v>
      </c>
      <c r="J203" s="80">
        <f t="shared" si="83"/>
        <v>0.16072674768379253</v>
      </c>
      <c r="K203" s="80">
        <f t="shared" si="83"/>
        <v>0.16500058802775477</v>
      </c>
      <c r="L203" s="80">
        <f t="shared" si="83"/>
        <v>0.18386370941819366</v>
      </c>
      <c r="M203" s="80">
        <f t="shared" si="83"/>
        <v>0.19940880874963043</v>
      </c>
      <c r="N203" s="80">
        <f t="shared" si="83"/>
        <v>0.21092926490984729</v>
      </c>
      <c r="O203" s="80">
        <f t="shared" si="83"/>
        <v>0.19600689572224675</v>
      </c>
    </row>
    <row r="204" spans="1:15" x14ac:dyDescent="0.25">
      <c r="A204" s="77" t="s">
        <v>94</v>
      </c>
      <c r="B204" s="77" t="s">
        <v>115</v>
      </c>
      <c r="D204" s="80">
        <f t="shared" ref="D204:O204" si="84">IFERROR(D154/D144,0)</f>
        <v>7.2522417608012216E-2</v>
      </c>
      <c r="E204" s="80">
        <f t="shared" si="84"/>
        <v>7.8296742109575782E-2</v>
      </c>
      <c r="F204" s="80">
        <f t="shared" si="84"/>
        <v>0.10014671658403328</v>
      </c>
      <c r="G204" s="80">
        <f t="shared" si="84"/>
        <v>0.10426108374384235</v>
      </c>
      <c r="H204" s="80">
        <f t="shared" si="84"/>
        <v>0.10877766297426548</v>
      </c>
      <c r="I204" s="80">
        <f t="shared" si="84"/>
        <v>0.11257687432514885</v>
      </c>
      <c r="J204" s="80">
        <f t="shared" si="84"/>
        <v>0.10797737937672959</v>
      </c>
      <c r="K204" s="80">
        <f t="shared" si="84"/>
        <v>0.11151358344113828</v>
      </c>
      <c r="L204" s="80">
        <f t="shared" si="84"/>
        <v>0.12673309761062912</v>
      </c>
      <c r="M204" s="80">
        <f t="shared" si="84"/>
        <v>0.1394423095871514</v>
      </c>
      <c r="N204" s="80">
        <f t="shared" si="84"/>
        <v>0.14873786407766976</v>
      </c>
      <c r="O204" s="80">
        <f t="shared" si="84"/>
        <v>0.13669165697790969</v>
      </c>
    </row>
    <row r="205" spans="1:15" x14ac:dyDescent="0.25">
      <c r="A205" s="77" t="s">
        <v>94</v>
      </c>
      <c r="B205" s="77" t="s">
        <v>116</v>
      </c>
      <c r="D205" s="80">
        <f t="shared" ref="D205:O205" si="85">IFERROR(-D147/D144,0)</f>
        <v>8.5652730872248742E-2</v>
      </c>
      <c r="E205" s="80">
        <f t="shared" si="85"/>
        <v>8.5756265717272767E-2</v>
      </c>
      <c r="F205" s="80">
        <f t="shared" si="85"/>
        <v>8.5677425882829089E-2</v>
      </c>
      <c r="G205" s="80">
        <f t="shared" si="85"/>
        <v>8.5665024630541861E-2</v>
      </c>
      <c r="H205" s="80">
        <f t="shared" si="85"/>
        <v>8.56861378763486E-2</v>
      </c>
      <c r="I205" s="80">
        <f t="shared" si="85"/>
        <v>8.5723674944838277E-2</v>
      </c>
      <c r="J205" s="80">
        <f t="shared" si="85"/>
        <v>8.5813981470340514E-2</v>
      </c>
      <c r="K205" s="80">
        <f t="shared" si="85"/>
        <v>8.5899094437257462E-2</v>
      </c>
      <c r="L205" s="80">
        <f t="shared" si="85"/>
        <v>8.5974499089253184E-2</v>
      </c>
      <c r="M205" s="80">
        <f t="shared" si="85"/>
        <v>8.6097152428810719E-2</v>
      </c>
      <c r="N205" s="80">
        <f t="shared" si="85"/>
        <v>8.5825242718446604E-2</v>
      </c>
      <c r="O205" s="80">
        <f t="shared" si="85"/>
        <v>8.5875796816742164E-2</v>
      </c>
    </row>
    <row r="206" spans="1:15" x14ac:dyDescent="0.25">
      <c r="A206" s="77" t="s">
        <v>94</v>
      </c>
      <c r="B206" s="77" t="s">
        <v>117</v>
      </c>
      <c r="D206" s="80">
        <f t="shared" ref="D206:O206" si="86">IFERROR(-D148/D144,0)</f>
        <v>9.3455223011529032E-2</v>
      </c>
      <c r="E206" s="80">
        <f t="shared" si="86"/>
        <v>9.335706818117602E-2</v>
      </c>
      <c r="F206" s="80">
        <f t="shared" si="86"/>
        <v>9.3291510674896286E-2</v>
      </c>
      <c r="G206" s="80">
        <f t="shared" si="86"/>
        <v>9.3522167487684729E-2</v>
      </c>
      <c r="H206" s="80">
        <f t="shared" si="86"/>
        <v>9.3399332003748475E-2</v>
      </c>
      <c r="I206" s="80">
        <f t="shared" si="86"/>
        <v>9.3305478616027421E-2</v>
      </c>
      <c r="J206" s="80">
        <f t="shared" si="86"/>
        <v>9.3394296715196737E-2</v>
      </c>
      <c r="K206" s="80">
        <f t="shared" si="86"/>
        <v>9.3590497471480669E-2</v>
      </c>
      <c r="L206" s="80">
        <f t="shared" si="86"/>
        <v>9.3410478945676612E-2</v>
      </c>
      <c r="M206" s="80">
        <f t="shared" si="86"/>
        <v>9.3447630308404778E-2</v>
      </c>
      <c r="N206" s="80">
        <f t="shared" si="86"/>
        <v>9.3314840499306537E-2</v>
      </c>
      <c r="O206" s="80">
        <f t="shared" si="86"/>
        <v>9.3392935893837944E-2</v>
      </c>
    </row>
    <row r="207" spans="1:15" x14ac:dyDescent="0.25">
      <c r="A207" s="77" t="s">
        <v>94</v>
      </c>
      <c r="B207" s="77" t="s">
        <v>118</v>
      </c>
      <c r="D207" s="80">
        <f t="shared" ref="D207:O207" si="87">IFERROR(-D150/D144,0)</f>
        <v>0.22132293001048092</v>
      </c>
      <c r="E207" s="80">
        <f t="shared" si="87"/>
        <v>0.21528072108728208</v>
      </c>
      <c r="F207" s="80">
        <f t="shared" si="87"/>
        <v>0.1931599716685217</v>
      </c>
      <c r="G207" s="80">
        <f t="shared" si="87"/>
        <v>0.18849753694581281</v>
      </c>
      <c r="H207" s="80">
        <f t="shared" si="87"/>
        <v>0.18429968522478793</v>
      </c>
      <c r="I207" s="80">
        <f t="shared" si="87"/>
        <v>0.18043753814374913</v>
      </c>
      <c r="J207" s="80">
        <f t="shared" si="87"/>
        <v>0.18539285284562629</v>
      </c>
      <c r="K207" s="80">
        <f t="shared" si="87"/>
        <v>0.18160649182641422</v>
      </c>
      <c r="L207" s="80">
        <f t="shared" si="87"/>
        <v>0.16582020786456658</v>
      </c>
      <c r="M207" s="80">
        <f t="shared" si="87"/>
        <v>0.15282293822051435</v>
      </c>
      <c r="N207" s="80">
        <f t="shared" si="87"/>
        <v>0.14378178455848362</v>
      </c>
      <c r="O207" s="80">
        <f t="shared" si="87"/>
        <v>0.15617608146574191</v>
      </c>
    </row>
    <row r="208" spans="1:15" x14ac:dyDescent="0.25">
      <c r="A208" s="77" t="s">
        <v>94</v>
      </c>
      <c r="B208" s="77" t="s">
        <v>119</v>
      </c>
      <c r="D208" s="80">
        <f t="shared" ref="D208:O208" si="88">IFERROR(-D136/D144,0)</f>
        <v>3.3015022708745768E-2</v>
      </c>
      <c r="E208" s="80">
        <f t="shared" si="88"/>
        <v>3.3002740809810402E-2</v>
      </c>
      <c r="F208" s="80">
        <f t="shared" si="88"/>
        <v>3.301123140746736E-2</v>
      </c>
      <c r="G208" s="80">
        <f t="shared" si="88"/>
        <v>3.3004926108374383E-2</v>
      </c>
      <c r="H208" s="80">
        <f t="shared" si="88"/>
        <v>3.2991325660186942E-2</v>
      </c>
      <c r="I208" s="80">
        <f t="shared" si="88"/>
        <v>3.300314539223511E-2</v>
      </c>
      <c r="J208" s="80">
        <f t="shared" si="88"/>
        <v>3.0995066778967635E-2</v>
      </c>
      <c r="K208" s="80">
        <f t="shared" si="88"/>
        <v>3.1000823238856879E-2</v>
      </c>
      <c r="L208" s="80">
        <f t="shared" si="88"/>
        <v>3.1008250294653379E-2</v>
      </c>
      <c r="M208" s="80">
        <f t="shared" si="88"/>
        <v>3.0998127894373832E-2</v>
      </c>
      <c r="N208" s="80">
        <f t="shared" si="88"/>
        <v>3.0993989828941287E-2</v>
      </c>
      <c r="O208" s="80">
        <f t="shared" si="88"/>
        <v>3.101070440604578E-2</v>
      </c>
    </row>
    <row r="209" spans="1:16" x14ac:dyDescent="0.25">
      <c r="A209" s="77" t="s">
        <v>94</v>
      </c>
      <c r="B209" s="77" t="s">
        <v>120</v>
      </c>
      <c r="D209" s="80">
        <f t="shared" ref="D209:O209" si="89">IFERROR(-(D120+D121)/D119,0)</f>
        <v>0.17571394288456924</v>
      </c>
      <c r="E209" s="80">
        <f t="shared" si="89"/>
        <v>0.17599534342258438</v>
      </c>
      <c r="F209" s="80">
        <f t="shared" si="89"/>
        <v>0.17581569894714894</v>
      </c>
      <c r="G209" s="80">
        <f t="shared" si="89"/>
        <v>0.17581859889161811</v>
      </c>
      <c r="H209" s="80">
        <f t="shared" si="89"/>
        <v>0.17578674271681222</v>
      </c>
      <c r="I209" s="80">
        <f t="shared" si="89"/>
        <v>0.17581737279938092</v>
      </c>
      <c r="J209" s="80">
        <f t="shared" si="89"/>
        <v>0.17572499702463601</v>
      </c>
      <c r="K209" s="80">
        <f t="shared" si="89"/>
        <v>0.17589020915311404</v>
      </c>
      <c r="L209" s="80">
        <f t="shared" si="89"/>
        <v>0.17561742571458858</v>
      </c>
      <c r="M209" s="80">
        <f t="shared" si="89"/>
        <v>0.17585630065125946</v>
      </c>
      <c r="N209" s="80">
        <f t="shared" si="89"/>
        <v>0.17564827659801516</v>
      </c>
      <c r="O209" s="80">
        <f t="shared" si="89"/>
        <v>0.17572412881479155</v>
      </c>
    </row>
    <row r="210" spans="1:16" x14ac:dyDescent="0.25">
      <c r="A210" s="77" t="s">
        <v>94</v>
      </c>
      <c r="B210" s="77" t="s">
        <v>121</v>
      </c>
      <c r="D210" s="79">
        <f t="shared" ref="D210:O210" si="90">IFERROR(D144*Unit/D118,0)</f>
        <v>7.9064521326796049</v>
      </c>
      <c r="E210" s="79">
        <f t="shared" si="90"/>
        <v>7.8930817610062887</v>
      </c>
      <c r="F210" s="79">
        <f t="shared" si="90"/>
        <v>7.9079815963192654</v>
      </c>
      <c r="G210" s="79">
        <f t="shared" si="90"/>
        <v>7.8854856565735041</v>
      </c>
      <c r="H210" s="79">
        <f t="shared" si="90"/>
        <v>7.9028123279087028</v>
      </c>
      <c r="I210" s="79">
        <f t="shared" si="90"/>
        <v>7.8971564156749334</v>
      </c>
      <c r="J210" s="79">
        <f t="shared" si="90"/>
        <v>7.9019928500798642</v>
      </c>
      <c r="K210" s="79">
        <f t="shared" si="90"/>
        <v>7.9034446861115786</v>
      </c>
      <c r="L210" s="79">
        <f t="shared" si="90"/>
        <v>7.8954047103410963</v>
      </c>
      <c r="M210" s="79">
        <f t="shared" si="90"/>
        <v>7.9046981120319026</v>
      </c>
      <c r="N210" s="79">
        <f t="shared" si="90"/>
        <v>7.9002732040849137</v>
      </c>
      <c r="O210" s="79">
        <f t="shared" si="90"/>
        <v>7.8982283371067581</v>
      </c>
    </row>
    <row r="211" spans="1:16" x14ac:dyDescent="0.25">
      <c r="A211" s="77" t="s">
        <v>94</v>
      </c>
      <c r="B211" s="77" t="s">
        <v>122</v>
      </c>
      <c r="D211" s="80">
        <f t="shared" ref="D211:O211" si="91">IFERROR(D155/D195,0)</f>
        <v>0.15465751183867515</v>
      </c>
      <c r="E211" s="80">
        <f t="shared" si="91"/>
        <v>0.15509869673783042</v>
      </c>
      <c r="F211" s="80">
        <f t="shared" si="91"/>
        <v>0.15679981344314006</v>
      </c>
      <c r="G211" s="80">
        <f t="shared" si="91"/>
        <v>0.16658771096928454</v>
      </c>
      <c r="H211" s="80">
        <f t="shared" si="91"/>
        <v>0.17644587281611646</v>
      </c>
      <c r="I211" s="80">
        <f t="shared" si="91"/>
        <v>0.17988367400613953</v>
      </c>
      <c r="J211" s="80">
        <f t="shared" si="91"/>
        <v>0.18242388445682498</v>
      </c>
      <c r="K211" s="80">
        <f t="shared" si="91"/>
        <v>0.18150375910027511</v>
      </c>
      <c r="L211" s="80">
        <f t="shared" si="91"/>
        <v>0.181613382826423</v>
      </c>
      <c r="M211" s="80">
        <f t="shared" si="91"/>
        <v>0.19178165235212216</v>
      </c>
      <c r="N211" s="80">
        <f t="shared" si="91"/>
        <v>0.20713325587665382</v>
      </c>
      <c r="O211" s="80">
        <f t="shared" si="91"/>
        <v>0.21809670645255044</v>
      </c>
    </row>
    <row r="212" spans="1:16" x14ac:dyDescent="0.25">
      <c r="A212" s="77" t="s">
        <v>94</v>
      </c>
      <c r="B212" s="77" t="s">
        <v>123</v>
      </c>
      <c r="D212" s="79">
        <f t="shared" ref="D212:O212" si="92">IFERROR(D193/D194,0)</f>
        <v>1.275037875767483</v>
      </c>
      <c r="E212" s="79">
        <f t="shared" si="92"/>
        <v>1.245404922588329</v>
      </c>
      <c r="F212" s="79">
        <f t="shared" si="92"/>
        <v>1.2114245081772936</v>
      </c>
      <c r="G212" s="79">
        <f t="shared" si="92"/>
        <v>1.2157665325238853</v>
      </c>
      <c r="H212" s="79">
        <f t="shared" si="92"/>
        <v>1.3936670191516862</v>
      </c>
      <c r="I212" s="79">
        <f t="shared" si="92"/>
        <v>1.3627187079407808</v>
      </c>
      <c r="J212" s="79">
        <f t="shared" si="92"/>
        <v>1.3293218330516545</v>
      </c>
      <c r="K212" s="79">
        <f t="shared" si="92"/>
        <v>1.2774451290881128</v>
      </c>
      <c r="L212" s="79">
        <f t="shared" si="92"/>
        <v>1.2196489540754991</v>
      </c>
      <c r="M212" s="79">
        <f t="shared" si="92"/>
        <v>1.2030229931269503</v>
      </c>
      <c r="N212" s="79">
        <f t="shared" si="92"/>
        <v>1.1937325997928605</v>
      </c>
      <c r="O212" s="79">
        <f t="shared" si="92"/>
        <v>1.1834947241255638</v>
      </c>
    </row>
    <row r="213" spans="1:16" x14ac:dyDescent="0.25">
      <c r="A213" s="77" t="s">
        <v>94</v>
      </c>
      <c r="B213" s="77" t="s">
        <v>124</v>
      </c>
      <c r="D213" s="79">
        <f t="shared" ref="D213:O213" si="93">IFERROR(D195*Unit/D142,0)</f>
        <v>411.7229326513214</v>
      </c>
      <c r="E213" s="79">
        <f t="shared" si="93"/>
        <v>413.07908163265301</v>
      </c>
      <c r="F213" s="79">
        <f t="shared" si="93"/>
        <v>414.99066213921895</v>
      </c>
      <c r="G213" s="79">
        <f t="shared" si="93"/>
        <v>416.45808636748518</v>
      </c>
      <c r="H213" s="79">
        <f t="shared" si="93"/>
        <v>418.11402027027015</v>
      </c>
      <c r="I213" s="79">
        <f t="shared" si="93"/>
        <v>419.968802698145</v>
      </c>
      <c r="J213" s="79">
        <f t="shared" si="93"/>
        <v>421.48528174936916</v>
      </c>
      <c r="K213" s="79">
        <f t="shared" si="93"/>
        <v>423.02265100671138</v>
      </c>
      <c r="L213" s="79">
        <f t="shared" si="93"/>
        <v>424.94979079497904</v>
      </c>
      <c r="M213" s="79">
        <f t="shared" si="93"/>
        <v>427.2080200501253</v>
      </c>
      <c r="N213" s="79">
        <f t="shared" si="93"/>
        <v>429.63083333333333</v>
      </c>
      <c r="O213" s="79">
        <f t="shared" si="93"/>
        <v>432.22212978369379</v>
      </c>
    </row>
    <row r="214" spans="1:16" x14ac:dyDescent="0.25">
      <c r="A214" s="77" t="s">
        <v>94</v>
      </c>
      <c r="B214" s="77" t="s">
        <v>125</v>
      </c>
      <c r="D214" s="79">
        <f>SUM($D144:D144)</f>
        <v>34.348000000000006</v>
      </c>
      <c r="E214" s="79">
        <f>SUM($D144:E144)</f>
        <v>69.739000000000004</v>
      </c>
      <c r="F214" s="79">
        <f>SUM($D144:F144)</f>
        <v>109.27100000000002</v>
      </c>
      <c r="G214" s="79">
        <f>SUM($D144:G144)</f>
        <v>149.87100000000001</v>
      </c>
      <c r="H214" s="79">
        <f>SUM($D144:H144)</f>
        <v>191.488</v>
      </c>
      <c r="I214" s="79">
        <f>SUM($D144:I144)</f>
        <v>234.09</v>
      </c>
      <c r="J214" s="79">
        <f>SUM($D144:J144)</f>
        <v>275.64499999999998</v>
      </c>
      <c r="K214" s="79">
        <f>SUM($D144:K144)</f>
        <v>318.15999999999997</v>
      </c>
      <c r="L214" s="79">
        <f>SUM($D144:L144)</f>
        <v>364.82499999999999</v>
      </c>
      <c r="M214" s="79">
        <f>SUM($D144:M144)</f>
        <v>415.57</v>
      </c>
      <c r="N214" s="79">
        <f>SUM($D144:N144)</f>
        <v>469.64499999999998</v>
      </c>
      <c r="O214" s="79">
        <f>SUM($D144:O144)</f>
        <v>519.53099999999995</v>
      </c>
    </row>
    <row r="215" spans="1:16" x14ac:dyDescent="0.25">
      <c r="A215" s="77" t="s">
        <v>94</v>
      </c>
      <c r="B215" s="77" t="s">
        <v>126</v>
      </c>
      <c r="D215" s="79">
        <f>SUM($D151:D151)</f>
        <v>5.512000000000004</v>
      </c>
      <c r="E215" s="79">
        <f>SUM($D151:E151)</f>
        <v>11.4</v>
      </c>
      <c r="F215" s="79">
        <f>SUM($D151:F151)</f>
        <v>18.870000000000005</v>
      </c>
      <c r="G215" s="79">
        <f>SUM($D151:G151)</f>
        <v>26.700000000000003</v>
      </c>
      <c r="H215" s="79">
        <f>SUM($D151:H151)</f>
        <v>34.920000000000009</v>
      </c>
      <c r="I215" s="79">
        <f>SUM($D151:I151)</f>
        <v>43.497</v>
      </c>
      <c r="J215" s="79">
        <f>SUM($D151:J151)</f>
        <v>51.655999999999999</v>
      </c>
      <c r="K215" s="79">
        <f>SUM($D151:K151)</f>
        <v>60.150999999999996</v>
      </c>
      <c r="L215" s="79">
        <f>SUM($D151:L151)</f>
        <v>70.211000000000013</v>
      </c>
      <c r="M215" s="79">
        <f>SUM($D151:M151)</f>
        <v>81.81</v>
      </c>
      <c r="N215" s="79">
        <f>SUM($D151:N151)</f>
        <v>94.695999999999998</v>
      </c>
      <c r="O215" s="79">
        <f>SUM($D151:O151)</f>
        <v>105.95400000000001</v>
      </c>
    </row>
    <row r="216" spans="1:16" x14ac:dyDescent="0.25">
      <c r="A216" s="77" t="s">
        <v>94</v>
      </c>
      <c r="B216" s="77" t="s">
        <v>127</v>
      </c>
      <c r="D216" s="79">
        <f>SUM($D192:D192)</f>
        <v>22.932999999999993</v>
      </c>
      <c r="E216" s="79">
        <f>SUM($D192:E192)</f>
        <v>25.364000000000004</v>
      </c>
      <c r="F216" s="79">
        <f>SUM($D192:F192)</f>
        <v>28.189000000000011</v>
      </c>
      <c r="G216" s="79">
        <f>SUM($D192:G192)</f>
        <v>27.281000000000006</v>
      </c>
      <c r="H216" s="79">
        <f>SUM($D192:H192)</f>
        <v>26.500000000000021</v>
      </c>
      <c r="I216" s="79">
        <f>SUM($D192:I192)</f>
        <v>29.122000000000007</v>
      </c>
      <c r="J216" s="79">
        <f>SUM($D192:J192)</f>
        <v>31.976999999999993</v>
      </c>
      <c r="K216" s="79">
        <f>SUM($D192:K192)</f>
        <v>36.778999999999989</v>
      </c>
      <c r="L216" s="79">
        <f>SUM($D192:L192)</f>
        <v>42.02200000000002</v>
      </c>
      <c r="M216" s="79">
        <f>SUM($D192:M192)</f>
        <v>43.160000000000004</v>
      </c>
      <c r="N216" s="79">
        <f>SUM($D192:N192)</f>
        <v>42.28899999999998</v>
      </c>
      <c r="O216" s="79">
        <f>SUM($D192:O192)</f>
        <v>42.52200000000002</v>
      </c>
    </row>
    <row r="217" spans="1:16" x14ac:dyDescent="0.25">
      <c r="A217" s="77" t="s">
        <v>91</v>
      </c>
      <c r="B217" s="77" t="s">
        <v>103</v>
      </c>
      <c r="D217" s="79">
        <f t="shared" ref="D217:O217" si="94">D163+D59+D60-(D167-C167)+D61</f>
        <v>30.63</v>
      </c>
      <c r="E217" s="79">
        <f t="shared" si="94"/>
        <v>2.7680000000000002</v>
      </c>
      <c r="F217" s="79">
        <f t="shared" si="94"/>
        <v>3.536000000000012</v>
      </c>
      <c r="G217" s="79">
        <f t="shared" si="94"/>
        <v>-0.21100000000000874</v>
      </c>
      <c r="H217" s="79">
        <f t="shared" si="94"/>
        <v>4.2000000000000259E-2</v>
      </c>
      <c r="I217" s="79">
        <f t="shared" si="94"/>
        <v>3.2050000000000183</v>
      </c>
      <c r="J217" s="79">
        <f t="shared" si="94"/>
        <v>3.1329999999999871</v>
      </c>
      <c r="K217" s="79">
        <f t="shared" si="94"/>
        <v>5.1130000000000049</v>
      </c>
      <c r="L217" s="79">
        <f t="shared" si="94"/>
        <v>5.8460000000000036</v>
      </c>
      <c r="M217" s="79">
        <f t="shared" si="94"/>
        <v>2.119999999999997</v>
      </c>
      <c r="N217" s="79">
        <f t="shared" si="94"/>
        <v>0.11999999999998234</v>
      </c>
      <c r="O217" s="79">
        <f t="shared" si="94"/>
        <v>0.76900000000002278</v>
      </c>
      <c r="P217" s="79">
        <f>SUM(D217:O217)</f>
        <v>57.071000000000026</v>
      </c>
    </row>
    <row r="218" spans="1:16" x14ac:dyDescent="0.25">
      <c r="A218" s="77" t="s">
        <v>91</v>
      </c>
      <c r="B218" s="77" t="s">
        <v>104</v>
      </c>
      <c r="D218" s="79">
        <f t="shared" ref="D218:O218" si="95">D66-D65</f>
        <v>120.226</v>
      </c>
      <c r="E218" s="79">
        <f t="shared" si="95"/>
        <v>117.44799999999999</v>
      </c>
      <c r="F218" s="79">
        <f t="shared" si="95"/>
        <v>113.923</v>
      </c>
      <c r="G218" s="79">
        <f t="shared" si="95"/>
        <v>114.139</v>
      </c>
      <c r="H218" s="79">
        <f t="shared" si="95"/>
        <v>132.096</v>
      </c>
      <c r="I218" s="79">
        <f t="shared" si="95"/>
        <v>128.9</v>
      </c>
      <c r="J218" s="79">
        <f t="shared" si="95"/>
        <v>125.76300000000001</v>
      </c>
      <c r="K218" s="79">
        <f t="shared" si="95"/>
        <v>120.65600000000001</v>
      </c>
      <c r="L218" s="79">
        <f t="shared" si="95"/>
        <v>114.80200000000001</v>
      </c>
      <c r="M218" s="79">
        <f t="shared" si="95"/>
        <v>112.685</v>
      </c>
      <c r="N218" s="79">
        <f t="shared" si="95"/>
        <v>112.54600000000001</v>
      </c>
      <c r="O218" s="79">
        <f t="shared" si="95"/>
        <v>111.776</v>
      </c>
    </row>
    <row r="219" spans="1:16" x14ac:dyDescent="0.25">
      <c r="A219" s="77" t="s">
        <v>91</v>
      </c>
      <c r="B219" s="77" t="s">
        <v>105</v>
      </c>
      <c r="D219" s="79">
        <f>SUM($D163:D163)+SUM(E187:$O187)</f>
        <v>100.60399999999997</v>
      </c>
      <c r="E219" s="79">
        <f>SUM($D163:E163)+SUM(F187:$O187)</f>
        <v>101.31399999999998</v>
      </c>
      <c r="F219" s="79">
        <f>SUM($D163:F163)+SUM(G187:$O187)</f>
        <v>102.13099999999997</v>
      </c>
      <c r="G219" s="79">
        <f>SUM($D163:G163)+SUM(H187:$O187)</f>
        <v>102.85799999999998</v>
      </c>
      <c r="H219" s="79">
        <f>SUM($D163:H163)+SUM(I187:$O187)</f>
        <v>103.69899999999998</v>
      </c>
      <c r="I219" s="79">
        <f>SUM($D163:I163)+SUM(J187:$O187)</f>
        <v>104.48499999999999</v>
      </c>
      <c r="J219" s="79">
        <f>SUM($D163:J163)+SUM(K187:$O187)</f>
        <v>105.27399999999999</v>
      </c>
      <c r="K219" s="79">
        <f>SUM($D163:K163)+SUM(L187:$O187)</f>
        <v>106.13200000000001</v>
      </c>
      <c r="L219" s="79">
        <f>SUM($D163:L163)+SUM(M187:$O187)</f>
        <v>107.18799999999999</v>
      </c>
      <c r="M219" s="79">
        <f>SUM($D163:M163)+SUM(N187:$O187)</f>
        <v>108.22</v>
      </c>
      <c r="N219" s="79">
        <f>SUM($D163:N163)+SUM(O187:$O187)</f>
        <v>109.43300000000001</v>
      </c>
      <c r="O219" s="79">
        <f>SUM($D163:O163)</f>
        <v>110.584</v>
      </c>
    </row>
    <row r="220" spans="1:16" x14ac:dyDescent="0.25">
      <c r="A220" s="77" t="s">
        <v>91</v>
      </c>
      <c r="B220" s="77" t="s">
        <v>106</v>
      </c>
      <c r="D220" s="79">
        <f>SUM($D156:D156)+SUM(E180:$O180)</f>
        <v>482.95800000000003</v>
      </c>
      <c r="E220" s="79">
        <f>SUM($D156:E156)+SUM(F180:$O180)</f>
        <v>485.78800000000001</v>
      </c>
      <c r="F220" s="79">
        <f>SUM($D156:F156)+SUM(G180:$O180)</f>
        <v>488.89299999999992</v>
      </c>
      <c r="G220" s="79">
        <f>SUM($D156:G156)+SUM(H180:$O180)</f>
        <v>491.87299999999993</v>
      </c>
      <c r="H220" s="79">
        <f>SUM($D156:H156)+SUM(I180:$O180)</f>
        <v>495.11099999999993</v>
      </c>
      <c r="I220" s="79">
        <f>SUM($D156:I156)+SUM(J180:$O180)</f>
        <v>498.23400000000004</v>
      </c>
      <c r="J220" s="79">
        <f>SUM($D156:J156)+SUM(K180:$O180)</f>
        <v>501.387</v>
      </c>
      <c r="K220" s="79">
        <f>SUM($D156:K156)+SUM(L180:$O180)</f>
        <v>504.65800000000002</v>
      </c>
      <c r="L220" s="79">
        <f>SUM($D156:L156)+SUM(M180:$O180)</f>
        <v>508.40800000000002</v>
      </c>
      <c r="M220" s="79">
        <f>SUM($D156:M156)+SUM(N180:$O180)</f>
        <v>512.22</v>
      </c>
      <c r="N220" s="79">
        <f>SUM($D156:N156)+SUM(O180:$O180)</f>
        <v>516.4620000000001</v>
      </c>
      <c r="O220" s="79">
        <f>SUM($D156:O156)</f>
        <v>520.52600000000007</v>
      </c>
    </row>
    <row r="221" spans="1:16" x14ac:dyDescent="0.25">
      <c r="A221" s="77" t="s">
        <v>91</v>
      </c>
      <c r="B221" s="77" t="s">
        <v>107</v>
      </c>
      <c r="D221" s="79">
        <f>IFERROR(D62/(SUM(D156:D156))*30.4*1,0)</f>
        <v>45.712822005530484</v>
      </c>
      <c r="E221" s="79">
        <f>IFERROR(E62/(SUM(D156:E156))*30.4*2,0)</f>
        <v>45.716376566398068</v>
      </c>
      <c r="F221" s="79">
        <f t="shared" ref="F221:O221" si="96">IFERROR(F62/(SUM(D156:F156))*30.4*3,0)</f>
        <v>45.714724852477005</v>
      </c>
      <c r="G221" s="79">
        <f t="shared" si="96"/>
        <v>45.71523123788424</v>
      </c>
      <c r="H221" s="79">
        <f t="shared" si="96"/>
        <v>45.712309738436531</v>
      </c>
      <c r="I221" s="79">
        <f t="shared" si="96"/>
        <v>45.708766088237169</v>
      </c>
      <c r="J221" s="79">
        <f t="shared" si="96"/>
        <v>45.710399352273001</v>
      </c>
      <c r="K221" s="79">
        <f t="shared" si="96"/>
        <v>45.70949198176708</v>
      </c>
      <c r="L221" s="79">
        <f t="shared" si="96"/>
        <v>45.710891391021292</v>
      </c>
      <c r="M221" s="79">
        <f t="shared" si="96"/>
        <v>45.715512039619739</v>
      </c>
      <c r="N221" s="79">
        <f t="shared" si="96"/>
        <v>45.718519493337723</v>
      </c>
      <c r="O221" s="79">
        <f t="shared" si="96"/>
        <v>45.716419527039221</v>
      </c>
    </row>
    <row r="222" spans="1:16" x14ac:dyDescent="0.25">
      <c r="A222" s="77" t="s">
        <v>91</v>
      </c>
      <c r="B222" s="77" t="s">
        <v>108</v>
      </c>
      <c r="D222" s="79">
        <f>IFERROR(D63/(-SUM(D157:D157))*30.4*1,0)</f>
        <v>90.099594046008107</v>
      </c>
      <c r="E222" s="79">
        <f>IFERROR(E63/(-SUM(D157:E157))*30.4*2,0)</f>
        <v>90.093808730423191</v>
      </c>
      <c r="F222" s="79">
        <f t="shared" ref="F222:O222" si="97">IFERROR(F63/(-SUM(D157:F157))*30.4*3,0)</f>
        <v>90.098471091075339</v>
      </c>
      <c r="G222" s="79">
        <f t="shared" si="97"/>
        <v>90.102884731442359</v>
      </c>
      <c r="H222" s="79">
        <f t="shared" si="97"/>
        <v>90.103448670725413</v>
      </c>
      <c r="I222" s="79">
        <f t="shared" si="97"/>
        <v>90.107052737355318</v>
      </c>
      <c r="J222" s="79">
        <f t="shared" si="97"/>
        <v>90.096014171833474</v>
      </c>
      <c r="K222" s="79">
        <f t="shared" si="97"/>
        <v>90.108264235901359</v>
      </c>
      <c r="L222" s="79">
        <f t="shared" si="97"/>
        <v>90.105819805770167</v>
      </c>
      <c r="M222" s="79">
        <f t="shared" si="97"/>
        <v>90.121254632080465</v>
      </c>
      <c r="N222" s="79">
        <f t="shared" si="97"/>
        <v>90.112010767324819</v>
      </c>
      <c r="O222" s="79">
        <f t="shared" si="97"/>
        <v>90.113407067709744</v>
      </c>
    </row>
    <row r="223" spans="1:16" x14ac:dyDescent="0.25">
      <c r="A223" s="77" t="s">
        <v>91</v>
      </c>
      <c r="B223" s="77" t="s">
        <v>109</v>
      </c>
      <c r="D223" s="79">
        <f>IFERROR(D64/(-SUM(D157:D157))*30.4*1,0)</f>
        <v>57.990365358592683</v>
      </c>
      <c r="E223" s="79">
        <f>IFERROR(E64/(-SUM(D157:E157))*30.4*2,0)</f>
        <v>58.850996334555141</v>
      </c>
      <c r="F223" s="79">
        <f t="shared" ref="F223:O223" si="98">IFERROR(F64/(-SUM(D157:F157))*30.4*3,0)</f>
        <v>62.961685840049334</v>
      </c>
      <c r="G223" s="79">
        <f t="shared" si="98"/>
        <v>61.130235365117684</v>
      </c>
      <c r="H223" s="79">
        <f t="shared" si="98"/>
        <v>59.48355821898199</v>
      </c>
      <c r="I223" s="79">
        <f t="shared" si="98"/>
        <v>59.44852432170903</v>
      </c>
      <c r="J223" s="79">
        <f t="shared" si="98"/>
        <v>57.513286093888375</v>
      </c>
      <c r="K223" s="79">
        <f t="shared" si="98"/>
        <v>58.474636208884732</v>
      </c>
      <c r="L223" s="79">
        <f t="shared" si="98"/>
        <v>62.137151768625486</v>
      </c>
      <c r="M223" s="79">
        <f t="shared" si="98"/>
        <v>63.16167284277396</v>
      </c>
      <c r="N223" s="79">
        <f t="shared" si="98"/>
        <v>61.969355948794011</v>
      </c>
      <c r="O223" s="79">
        <f t="shared" si="98"/>
        <v>56.050427119863315</v>
      </c>
    </row>
    <row r="224" spans="1:16" x14ac:dyDescent="0.25">
      <c r="A224" s="77" t="s">
        <v>91</v>
      </c>
      <c r="B224" s="77" t="s">
        <v>110</v>
      </c>
      <c r="D224" s="79">
        <f t="shared" ref="D224:O224" si="99">D221+D222-D223</f>
        <v>77.822050692945922</v>
      </c>
      <c r="E224" s="79">
        <f t="shared" si="99"/>
        <v>76.959188962266126</v>
      </c>
      <c r="F224" s="79">
        <f t="shared" si="99"/>
        <v>72.851510103502989</v>
      </c>
      <c r="G224" s="79">
        <f t="shared" si="99"/>
        <v>74.6878806042089</v>
      </c>
      <c r="H224" s="79">
        <f t="shared" si="99"/>
        <v>76.332200190179975</v>
      </c>
      <c r="I224" s="79">
        <f t="shared" si="99"/>
        <v>76.367294503883457</v>
      </c>
      <c r="J224" s="79">
        <f t="shared" si="99"/>
        <v>78.293127430218078</v>
      </c>
      <c r="K224" s="79">
        <f t="shared" si="99"/>
        <v>77.3431200087837</v>
      </c>
      <c r="L224" s="79">
        <f t="shared" si="99"/>
        <v>73.679559428165973</v>
      </c>
      <c r="M224" s="79">
        <f t="shared" si="99"/>
        <v>72.675093828926265</v>
      </c>
      <c r="N224" s="79">
        <f t="shared" si="99"/>
        <v>73.861174311868552</v>
      </c>
      <c r="O224" s="79">
        <f t="shared" si="99"/>
        <v>79.779399474885651</v>
      </c>
    </row>
    <row r="225" spans="1:15" x14ac:dyDescent="0.25">
      <c r="A225" s="77" t="s">
        <v>91</v>
      </c>
      <c r="B225" s="77" t="s">
        <v>111</v>
      </c>
      <c r="D225" s="80">
        <f t="shared" ref="D225:O225" si="100">IFERROR(D158/D156,0)</f>
        <v>0.5697860573424538</v>
      </c>
      <c r="E225" s="80">
        <f t="shared" si="100"/>
        <v>0.56966460399536611</v>
      </c>
      <c r="F225" s="80">
        <f t="shared" si="100"/>
        <v>0.56983240223463671</v>
      </c>
      <c r="G225" s="80">
        <f t="shared" si="100"/>
        <v>0.56989803457957733</v>
      </c>
      <c r="H225" s="80">
        <f t="shared" si="100"/>
        <v>0.5697682795053427</v>
      </c>
      <c r="I225" s="80">
        <f t="shared" si="100"/>
        <v>0.56995947433765148</v>
      </c>
      <c r="J225" s="80">
        <f t="shared" si="100"/>
        <v>0.5697682795053427</v>
      </c>
      <c r="K225" s="80">
        <f t="shared" si="100"/>
        <v>0.56995947433765148</v>
      </c>
      <c r="L225" s="80">
        <f t="shared" si="100"/>
        <v>0.5697756334991354</v>
      </c>
      <c r="M225" s="80">
        <f t="shared" si="100"/>
        <v>0.56989647870755233</v>
      </c>
      <c r="N225" s="80">
        <f t="shared" si="100"/>
        <v>0.56966819391073009</v>
      </c>
      <c r="O225" s="80">
        <f t="shared" si="100"/>
        <v>0.56987353929886342</v>
      </c>
    </row>
    <row r="226" spans="1:15" x14ac:dyDescent="0.25">
      <c r="A226" s="77" t="s">
        <v>91</v>
      </c>
      <c r="B226" s="77" t="s">
        <v>112</v>
      </c>
      <c r="D226" s="80">
        <f t="shared" ref="D226:O226" si="101">IFERROR(D161/D156,0)</f>
        <v>0.39027797991558727</v>
      </c>
      <c r="E226" s="80">
        <f t="shared" si="101"/>
        <v>0.39001441044333307</v>
      </c>
      <c r="F226" s="80">
        <f t="shared" si="101"/>
        <v>0.39040420637528739</v>
      </c>
      <c r="G226" s="80">
        <f t="shared" si="101"/>
        <v>0.39037485838136055</v>
      </c>
      <c r="H226" s="80">
        <f t="shared" si="101"/>
        <v>0.39015488053787967</v>
      </c>
      <c r="I226" s="80">
        <f t="shared" si="101"/>
        <v>0.39035817189439914</v>
      </c>
      <c r="J226" s="80">
        <f t="shared" si="101"/>
        <v>0.39015488053787967</v>
      </c>
      <c r="K226" s="80">
        <f t="shared" si="101"/>
        <v>0.39035817189439914</v>
      </c>
      <c r="L226" s="80">
        <f t="shared" si="101"/>
        <v>0.39009030164592357</v>
      </c>
      <c r="M226" s="80">
        <f t="shared" si="101"/>
        <v>0.39034193396596345</v>
      </c>
      <c r="N226" s="80">
        <f t="shared" si="101"/>
        <v>0.38996452852497793</v>
      </c>
      <c r="O226" s="80">
        <f t="shared" si="101"/>
        <v>0.39020729950376176</v>
      </c>
    </row>
    <row r="227" spans="1:15" x14ac:dyDescent="0.25">
      <c r="A227" s="77" t="s">
        <v>91</v>
      </c>
      <c r="B227" s="77" t="s">
        <v>113</v>
      </c>
      <c r="D227" s="80">
        <f t="shared" ref="D227:O227" si="102">IFERROR(D163/D156,0)</f>
        <v>0.16847620433706892</v>
      </c>
      <c r="E227" s="80">
        <f t="shared" si="102"/>
        <v>0.17422508547370807</v>
      </c>
      <c r="F227" s="80">
        <f t="shared" si="102"/>
        <v>0.19694633332490696</v>
      </c>
      <c r="G227" s="80">
        <f t="shared" si="102"/>
        <v>0.20146790798482839</v>
      </c>
      <c r="H227" s="80">
        <f t="shared" si="102"/>
        <v>0.20559490935286345</v>
      </c>
      <c r="I227" s="80">
        <f t="shared" si="102"/>
        <v>0.20991356087048205</v>
      </c>
      <c r="J227" s="80">
        <f t="shared" si="102"/>
        <v>0.20477848481210228</v>
      </c>
      <c r="K227" s="80">
        <f t="shared" si="102"/>
        <v>0.20914052800487259</v>
      </c>
      <c r="L227" s="80">
        <f t="shared" si="102"/>
        <v>0.22457997993296749</v>
      </c>
      <c r="M227" s="80">
        <f t="shared" si="102"/>
        <v>0.23802054740804637</v>
      </c>
      <c r="N227" s="80">
        <f t="shared" si="102"/>
        <v>0.24612030741945023</v>
      </c>
      <c r="O227" s="80">
        <f t="shared" si="102"/>
        <v>0.23407235473027047</v>
      </c>
    </row>
    <row r="228" spans="1:15" x14ac:dyDescent="0.25">
      <c r="A228" s="77" t="s">
        <v>91</v>
      </c>
      <c r="B228" s="77" t="s">
        <v>114</v>
      </c>
      <c r="D228" s="80">
        <f t="shared" ref="D228:O228" si="103">IFERROR(D164/D156,0)</f>
        <v>0.12539659438218609</v>
      </c>
      <c r="E228" s="80">
        <f t="shared" si="103"/>
        <v>0.13240654403661956</v>
      </c>
      <c r="F228" s="80">
        <f t="shared" si="103"/>
        <v>0.15953386081549065</v>
      </c>
      <c r="G228" s="80">
        <f t="shared" si="103"/>
        <v>0.16501650165016507</v>
      </c>
      <c r="H228" s="80">
        <f t="shared" si="103"/>
        <v>0.17005642934325843</v>
      </c>
      <c r="I228" s="80">
        <f t="shared" si="103"/>
        <v>0.1752442081098177</v>
      </c>
      <c r="J228" s="80">
        <f t="shared" si="103"/>
        <v>0.16924000480249726</v>
      </c>
      <c r="K228" s="80">
        <f t="shared" si="103"/>
        <v>0.17447117524420824</v>
      </c>
      <c r="L228" s="80">
        <f t="shared" si="103"/>
        <v>0.19298507781312035</v>
      </c>
      <c r="M228" s="80">
        <f t="shared" si="103"/>
        <v>0.20900321543408354</v>
      </c>
      <c r="N228" s="80">
        <f t="shared" si="103"/>
        <v>0.2187777120898611</v>
      </c>
      <c r="O228" s="80">
        <f t="shared" si="103"/>
        <v>0.20445813990715536</v>
      </c>
    </row>
    <row r="229" spans="1:15" x14ac:dyDescent="0.25">
      <c r="A229" s="77" t="s">
        <v>91</v>
      </c>
      <c r="B229" s="77" t="s">
        <v>115</v>
      </c>
      <c r="D229" s="80">
        <f t="shared" ref="D229:O229" si="104">IFERROR(D166/D156,0)</f>
        <v>7.8532964633968944E-2</v>
      </c>
      <c r="E229" s="80">
        <f t="shared" si="104"/>
        <v>8.4145686756520108E-2</v>
      </c>
      <c r="F229" s="80">
        <f t="shared" si="104"/>
        <v>0.10619580879193093</v>
      </c>
      <c r="G229" s="80">
        <f t="shared" si="104"/>
        <v>0.11080734939165562</v>
      </c>
      <c r="H229" s="80">
        <f t="shared" si="104"/>
        <v>0.11487573538239879</v>
      </c>
      <c r="I229" s="80">
        <f t="shared" si="104"/>
        <v>0.11911733701890434</v>
      </c>
      <c r="J229" s="80">
        <f t="shared" si="104"/>
        <v>0.11441949813903228</v>
      </c>
      <c r="K229" s="80">
        <f t="shared" si="104"/>
        <v>0.11869568272857191</v>
      </c>
      <c r="L229" s="80">
        <f t="shared" si="104"/>
        <v>0.13357385308370506</v>
      </c>
      <c r="M229" s="80">
        <f t="shared" si="104"/>
        <v>0.14671398321700255</v>
      </c>
      <c r="N229" s="80">
        <f t="shared" si="104"/>
        <v>0.15452261306532669</v>
      </c>
      <c r="O229" s="80">
        <f t="shared" si="104"/>
        <v>0.14308868256763241</v>
      </c>
    </row>
    <row r="230" spans="1:15" x14ac:dyDescent="0.25">
      <c r="A230" s="77" t="s">
        <v>91</v>
      </c>
      <c r="B230" s="77" t="s">
        <v>116</v>
      </c>
      <c r="D230" s="80">
        <f t="shared" ref="D230:O230" si="105">IFERROR(-D159/D156,0)</f>
        <v>8.8924465143356113E-2</v>
      </c>
      <c r="E230" s="80">
        <f t="shared" si="105"/>
        <v>8.9005679410019495E-2</v>
      </c>
      <c r="F230" s="80">
        <f t="shared" si="105"/>
        <v>8.900629439571274E-2</v>
      </c>
      <c r="G230" s="80">
        <f t="shared" si="105"/>
        <v>8.898576424806659E-2</v>
      </c>
      <c r="H230" s="80">
        <f t="shared" si="105"/>
        <v>8.9110337375435236E-2</v>
      </c>
      <c r="I230" s="80">
        <f t="shared" si="105"/>
        <v>8.9062756213544453E-2</v>
      </c>
      <c r="J230" s="80">
        <f t="shared" si="105"/>
        <v>8.9110337375435236E-2</v>
      </c>
      <c r="K230" s="80">
        <f t="shared" si="105"/>
        <v>8.9062756213544453E-2</v>
      </c>
      <c r="L230" s="80">
        <f t="shared" si="105"/>
        <v>8.9170206861217252E-2</v>
      </c>
      <c r="M230" s="80">
        <f t="shared" si="105"/>
        <v>8.9071445376833203E-2</v>
      </c>
      <c r="N230" s="80">
        <f t="shared" si="105"/>
        <v>8.9122080993201291E-2</v>
      </c>
      <c r="O230" s="80">
        <f t="shared" si="105"/>
        <v>8.9082759724667837E-2</v>
      </c>
    </row>
    <row r="231" spans="1:15" x14ac:dyDescent="0.25">
      <c r="A231" s="77" t="s">
        <v>91</v>
      </c>
      <c r="B231" s="77" t="s">
        <v>117</v>
      </c>
      <c r="D231" s="80">
        <f t="shared" ref="D231:O231" si="106">IFERROR(-D160/D156,0)</f>
        <v>9.0583612283510404E-2</v>
      </c>
      <c r="E231" s="80">
        <f t="shared" si="106"/>
        <v>9.0644514142013494E-2</v>
      </c>
      <c r="F231" s="80">
        <f t="shared" si="106"/>
        <v>9.04219014636366E-2</v>
      </c>
      <c r="G231" s="80">
        <f t="shared" si="106"/>
        <v>9.0537411950150221E-2</v>
      </c>
      <c r="H231" s="80">
        <f t="shared" si="106"/>
        <v>9.0503061592027867E-2</v>
      </c>
      <c r="I231" s="80">
        <f t="shared" si="106"/>
        <v>9.0538546229707875E-2</v>
      </c>
      <c r="J231" s="80">
        <f t="shared" si="106"/>
        <v>9.0503061592027867E-2</v>
      </c>
      <c r="K231" s="80">
        <f t="shared" si="106"/>
        <v>9.0538546229707875E-2</v>
      </c>
      <c r="L231" s="80">
        <f t="shared" si="106"/>
        <v>9.0515124991994544E-2</v>
      </c>
      <c r="M231" s="80">
        <f t="shared" si="106"/>
        <v>9.0483099364755709E-2</v>
      </c>
      <c r="N231" s="80">
        <f t="shared" si="106"/>
        <v>9.0581584392550998E-2</v>
      </c>
      <c r="O231" s="80">
        <f t="shared" si="106"/>
        <v>9.0583480070433819E-2</v>
      </c>
    </row>
    <row r="232" spans="1:15" x14ac:dyDescent="0.25">
      <c r="A232" s="77" t="s">
        <v>91</v>
      </c>
      <c r="B232" s="77" t="s">
        <v>118</v>
      </c>
      <c r="D232" s="80">
        <f t="shared" ref="D232:O232" si="107">IFERROR(-D162/D156,0)</f>
        <v>0.22180177557851838</v>
      </c>
      <c r="E232" s="80">
        <f t="shared" si="107"/>
        <v>0.215789324969625</v>
      </c>
      <c r="F232" s="80">
        <f t="shared" si="107"/>
        <v>0.19345787305038045</v>
      </c>
      <c r="G232" s="80">
        <f t="shared" si="107"/>
        <v>0.18890695039653219</v>
      </c>
      <c r="H232" s="80">
        <f t="shared" si="107"/>
        <v>0.18455997118501624</v>
      </c>
      <c r="I232" s="80">
        <f t="shared" si="107"/>
        <v>0.18044461102391715</v>
      </c>
      <c r="J232" s="80">
        <f t="shared" si="107"/>
        <v>0.18537639572577741</v>
      </c>
      <c r="K232" s="80">
        <f t="shared" si="107"/>
        <v>0.18121764388952655</v>
      </c>
      <c r="L232" s="80">
        <f t="shared" si="107"/>
        <v>0.16551032171295607</v>
      </c>
      <c r="M232" s="80">
        <f t="shared" si="107"/>
        <v>0.15232138655791705</v>
      </c>
      <c r="N232" s="80">
        <f t="shared" si="107"/>
        <v>0.14384422110552764</v>
      </c>
      <c r="O232" s="80">
        <f t="shared" si="107"/>
        <v>0.15613494477349127</v>
      </c>
    </row>
    <row r="233" spans="1:15" x14ac:dyDescent="0.25">
      <c r="A233" s="77" t="s">
        <v>91</v>
      </c>
      <c r="B233" s="77" t="s">
        <v>119</v>
      </c>
      <c r="D233" s="80">
        <f t="shared" ref="D233:O233" si="108">IFERROR(-D61/D156,0)</f>
        <v>3.0999854460777174E-2</v>
      </c>
      <c r="E233" s="80">
        <f t="shared" si="108"/>
        <v>3.0996581051679802E-2</v>
      </c>
      <c r="F233" s="80">
        <f t="shared" si="108"/>
        <v>3.0991683308475949E-2</v>
      </c>
      <c r="G233" s="80">
        <f t="shared" si="108"/>
        <v>3.1008324713068317E-2</v>
      </c>
      <c r="H233" s="80">
        <f t="shared" si="108"/>
        <v>3.1000120062432465E-2</v>
      </c>
      <c r="I233" s="80">
        <f t="shared" si="108"/>
        <v>3.0991590339431697E-2</v>
      </c>
      <c r="J233" s="80">
        <f t="shared" si="108"/>
        <v>3.1000120062432465E-2</v>
      </c>
      <c r="K233" s="80">
        <f t="shared" si="108"/>
        <v>3.0991590339431697E-2</v>
      </c>
      <c r="L233" s="80">
        <f t="shared" si="108"/>
        <v>3.0997160728390583E-2</v>
      </c>
      <c r="M233" s="80">
        <f t="shared" si="108"/>
        <v>3.0997568818131913E-2</v>
      </c>
      <c r="N233" s="80">
        <f t="shared" si="108"/>
        <v>3.1000591191250367E-2</v>
      </c>
      <c r="O233" s="80">
        <f t="shared" si="108"/>
        <v>3.0994877541219785E-2</v>
      </c>
    </row>
    <row r="234" spans="1:15" x14ac:dyDescent="0.25">
      <c r="A234" s="77" t="s">
        <v>91</v>
      </c>
      <c r="B234" s="77" t="s">
        <v>120</v>
      </c>
      <c r="D234" s="80">
        <f t="shared" ref="D234:O234" si="109">IFERROR(-(D45+D46)/D44,0)</f>
        <v>0.17372167973447494</v>
      </c>
      <c r="E234" s="80">
        <f t="shared" si="109"/>
        <v>0.17387955182072828</v>
      </c>
      <c r="F234" s="80">
        <f t="shared" si="109"/>
        <v>0.1737713820255227</v>
      </c>
      <c r="G234" s="80">
        <f t="shared" si="109"/>
        <v>0.17376528764168414</v>
      </c>
      <c r="H234" s="80">
        <f t="shared" si="109"/>
        <v>0.17371031746031745</v>
      </c>
      <c r="I234" s="80">
        <f t="shared" si="109"/>
        <v>0.17371864354289251</v>
      </c>
      <c r="J234" s="80">
        <f t="shared" si="109"/>
        <v>0.17371031746031745</v>
      </c>
      <c r="K234" s="80">
        <f t="shared" si="109"/>
        <v>0.17371864354289251</v>
      </c>
      <c r="L234" s="80">
        <f t="shared" si="109"/>
        <v>0.17381565487318779</v>
      </c>
      <c r="M234" s="80">
        <f t="shared" si="109"/>
        <v>0.1738503652590829</v>
      </c>
      <c r="N234" s="80">
        <f t="shared" si="109"/>
        <v>0.17380752499427612</v>
      </c>
      <c r="O234" s="80">
        <f t="shared" si="109"/>
        <v>0.17371823487591556</v>
      </c>
    </row>
    <row r="235" spans="1:15" x14ac:dyDescent="0.25">
      <c r="A235" s="77" t="s">
        <v>91</v>
      </c>
      <c r="B235" s="77" t="s">
        <v>121</v>
      </c>
      <c r="D235" s="79">
        <f t="shared" ref="D235:O235" si="110">IFERROR(D156*Unit/D43,0)</f>
        <v>7.8602969776008456</v>
      </c>
      <c r="E235" s="79">
        <f t="shared" si="110"/>
        <v>7.8597761392911094</v>
      </c>
      <c r="F235" s="79">
        <f t="shared" si="110"/>
        <v>7.8602368462883465</v>
      </c>
      <c r="G235" s="79">
        <f t="shared" si="110"/>
        <v>7.8609874152952584</v>
      </c>
      <c r="H235" s="79">
        <f t="shared" si="110"/>
        <v>7.8615521114530011</v>
      </c>
      <c r="I235" s="79">
        <f t="shared" si="110"/>
        <v>7.8621286627253815</v>
      </c>
      <c r="J235" s="79">
        <f t="shared" si="110"/>
        <v>7.8615521114530011</v>
      </c>
      <c r="K235" s="79">
        <f t="shared" si="110"/>
        <v>7.8621286627253815</v>
      </c>
      <c r="L235" s="79">
        <f t="shared" si="110"/>
        <v>7.859959393929226</v>
      </c>
      <c r="M235" s="79">
        <f t="shared" si="110"/>
        <v>7.8597075185305014</v>
      </c>
      <c r="N235" s="79">
        <f t="shared" si="110"/>
        <v>7.8599018383527426</v>
      </c>
      <c r="O235" s="79">
        <f t="shared" si="110"/>
        <v>7.8615699229196139</v>
      </c>
    </row>
    <row r="236" spans="1:15" x14ac:dyDescent="0.25">
      <c r="A236" s="77" t="s">
        <v>91</v>
      </c>
      <c r="B236" s="77" t="s">
        <v>122</v>
      </c>
      <c r="D236" s="80">
        <f t="shared" ref="D236:O236" si="111">IFERROR(D167/D220,0)</f>
        <v>0.13928954484654979</v>
      </c>
      <c r="E236" s="80">
        <f t="shared" si="111"/>
        <v>0.13969879865291032</v>
      </c>
      <c r="F236" s="80">
        <f t="shared" si="111"/>
        <v>0.14069131691392595</v>
      </c>
      <c r="G236" s="80">
        <f t="shared" si="111"/>
        <v>0.1498638876295304</v>
      </c>
      <c r="H236" s="80">
        <f t="shared" si="111"/>
        <v>0.15884316850160873</v>
      </c>
      <c r="I236" s="80">
        <f t="shared" si="111"/>
        <v>0.16193595780296002</v>
      </c>
      <c r="J236" s="80">
        <f t="shared" si="111"/>
        <v>0.1645495395772128</v>
      </c>
      <c r="K236" s="80">
        <f t="shared" si="111"/>
        <v>0.1637029433794768</v>
      </c>
      <c r="L236" s="80">
        <f t="shared" si="111"/>
        <v>0.16335895579927931</v>
      </c>
      <c r="M236" s="80">
        <f t="shared" si="111"/>
        <v>0.17241614931084298</v>
      </c>
      <c r="N236" s="80">
        <f t="shared" si="111"/>
        <v>0.18657907067702947</v>
      </c>
      <c r="O236" s="80">
        <f t="shared" si="111"/>
        <v>0.19725047355943792</v>
      </c>
    </row>
    <row r="237" spans="1:15" x14ac:dyDescent="0.25">
      <c r="A237" s="77" t="s">
        <v>91</v>
      </c>
      <c r="B237" s="77" t="s">
        <v>123</v>
      </c>
      <c r="D237" s="79">
        <f t="shared" ref="D237:O237" si="112">IFERROR(D218/D219,0)</f>
        <v>1.195041946642281</v>
      </c>
      <c r="E237" s="79">
        <f t="shared" si="112"/>
        <v>1.1592474880075805</v>
      </c>
      <c r="F237" s="79">
        <f t="shared" si="112"/>
        <v>1.1154595568436618</v>
      </c>
      <c r="G237" s="79">
        <f t="shared" si="112"/>
        <v>1.109675474926598</v>
      </c>
      <c r="H237" s="79">
        <f t="shared" si="112"/>
        <v>1.2738406349145124</v>
      </c>
      <c r="I237" s="79">
        <f t="shared" si="112"/>
        <v>1.23366990477102</v>
      </c>
      <c r="J237" s="79">
        <f t="shared" si="112"/>
        <v>1.1946254535782816</v>
      </c>
      <c r="K237" s="79">
        <f t="shared" si="112"/>
        <v>1.1368484528700109</v>
      </c>
      <c r="L237" s="79">
        <f t="shared" si="112"/>
        <v>1.0710340709780948</v>
      </c>
      <c r="M237" s="79">
        <f t="shared" si="112"/>
        <v>1.0412585474034375</v>
      </c>
      <c r="N237" s="79">
        <f t="shared" si="112"/>
        <v>1.0284466294445003</v>
      </c>
      <c r="O237" s="79">
        <f t="shared" si="112"/>
        <v>1.0107791362222383</v>
      </c>
    </row>
    <row r="238" spans="1:15" x14ac:dyDescent="0.25">
      <c r="A238" s="77" t="s">
        <v>91</v>
      </c>
      <c r="B238" s="77" t="s">
        <v>124</v>
      </c>
      <c r="D238" s="79">
        <f t="shared" ref="D238:O238" si="113">IFERROR(D220*Unit/D67,0)</f>
        <v>408.59390862944161</v>
      </c>
      <c r="E238" s="79">
        <f t="shared" si="113"/>
        <v>410.29391891891891</v>
      </c>
      <c r="F238" s="79">
        <f t="shared" si="113"/>
        <v>412.56793248945144</v>
      </c>
      <c r="G238" s="79">
        <f t="shared" si="113"/>
        <v>414.38331929233357</v>
      </c>
      <c r="H238" s="79">
        <f t="shared" si="113"/>
        <v>416.76010101010098</v>
      </c>
      <c r="I238" s="79">
        <f t="shared" si="113"/>
        <v>418.68403361344542</v>
      </c>
      <c r="J238" s="79">
        <f t="shared" si="113"/>
        <v>420.62667785234902</v>
      </c>
      <c r="K238" s="79">
        <f t="shared" si="113"/>
        <v>423.0159262363789</v>
      </c>
      <c r="L238" s="79">
        <f t="shared" si="113"/>
        <v>425.44602510460248</v>
      </c>
      <c r="M238" s="79">
        <f t="shared" si="113"/>
        <v>428.27759197324417</v>
      </c>
      <c r="N238" s="79">
        <f t="shared" si="113"/>
        <v>431.1035058430719</v>
      </c>
      <c r="O238" s="79">
        <f t="shared" si="113"/>
        <v>433.7716666666667</v>
      </c>
    </row>
    <row r="239" spans="1:15" x14ac:dyDescent="0.25">
      <c r="A239" s="77" t="s">
        <v>91</v>
      </c>
      <c r="B239" s="77" t="s">
        <v>125</v>
      </c>
      <c r="D239" s="79">
        <f>SUM($D156:D156)</f>
        <v>34.355000000000004</v>
      </c>
      <c r="E239" s="79">
        <f>SUM($D156:E156)</f>
        <v>69.746000000000009</v>
      </c>
      <c r="F239" s="79">
        <f>SUM($D156:F156)</f>
        <v>109.30500000000001</v>
      </c>
      <c r="G239" s="79">
        <f>SUM($D156:G156)</f>
        <v>149.90700000000001</v>
      </c>
      <c r="H239" s="79">
        <f>SUM($D156:H156)</f>
        <v>191.55200000000002</v>
      </c>
      <c r="I239" s="79">
        <f>SUM($D156:I156)</f>
        <v>234.24100000000004</v>
      </c>
      <c r="J239" s="79">
        <f>SUM($D156:J156)</f>
        <v>275.88600000000002</v>
      </c>
      <c r="K239" s="79">
        <f>SUM($D156:K156)</f>
        <v>318.57500000000005</v>
      </c>
      <c r="L239" s="79">
        <f>SUM($D156:L156)</f>
        <v>365.41800000000006</v>
      </c>
      <c r="M239" s="79">
        <f>SUM($D156:M156)</f>
        <v>416.42200000000008</v>
      </c>
      <c r="N239" s="79">
        <f>SUM($D156:N156)</f>
        <v>470.55000000000007</v>
      </c>
      <c r="O239" s="79">
        <f>SUM($D156:O156)</f>
        <v>520.52600000000007</v>
      </c>
    </row>
    <row r="240" spans="1:15" x14ac:dyDescent="0.25">
      <c r="A240" s="77" t="s">
        <v>91</v>
      </c>
      <c r="B240" s="77" t="s">
        <v>126</v>
      </c>
      <c r="D240" s="79">
        <f>SUM($D163:D163)</f>
        <v>5.7880000000000029</v>
      </c>
      <c r="E240" s="79">
        <f>SUM($D163:E163)</f>
        <v>11.954000000000006</v>
      </c>
      <c r="F240" s="79">
        <f>SUM($D163:F163)</f>
        <v>19.745000000000001</v>
      </c>
      <c r="G240" s="79">
        <f>SUM($D163:G163)</f>
        <v>27.925000000000004</v>
      </c>
      <c r="H240" s="79">
        <f>SUM($D163:H163)</f>
        <v>36.487000000000002</v>
      </c>
      <c r="I240" s="79">
        <f>SUM($D163:I163)</f>
        <v>45.448000000000008</v>
      </c>
      <c r="J240" s="79">
        <f>SUM($D163:J163)</f>
        <v>53.976000000000006</v>
      </c>
      <c r="K240" s="79">
        <f>SUM($D163:K163)</f>
        <v>62.904000000000011</v>
      </c>
      <c r="L240" s="79">
        <f>SUM($D163:L163)</f>
        <v>73.424000000000007</v>
      </c>
      <c r="M240" s="79">
        <f>SUM($D163:M163)</f>
        <v>85.564000000000007</v>
      </c>
      <c r="N240" s="79">
        <f>SUM($D163:N163)</f>
        <v>98.88600000000001</v>
      </c>
      <c r="O240" s="79">
        <f>SUM($D163:O163)</f>
        <v>110.584</v>
      </c>
    </row>
    <row r="241" spans="1:16" x14ac:dyDescent="0.25">
      <c r="A241" s="77" t="s">
        <v>91</v>
      </c>
      <c r="B241" s="77" t="s">
        <v>127</v>
      </c>
      <c r="D241" s="79">
        <f>SUM($D217:D217)</f>
        <v>30.63</v>
      </c>
      <c r="E241" s="79">
        <f>SUM($D217:E217)</f>
        <v>33.397999999999996</v>
      </c>
      <c r="F241" s="79">
        <f>SUM($D217:F217)</f>
        <v>36.934000000000012</v>
      </c>
      <c r="G241" s="79">
        <f>SUM($D217:G217)</f>
        <v>36.723000000000006</v>
      </c>
      <c r="H241" s="79">
        <f>SUM($D217:H217)</f>
        <v>36.765000000000008</v>
      </c>
      <c r="I241" s="79">
        <f>SUM($D217:I217)</f>
        <v>39.970000000000027</v>
      </c>
      <c r="J241" s="79">
        <f>SUM($D217:J217)</f>
        <v>43.103000000000016</v>
      </c>
      <c r="K241" s="79">
        <f>SUM($D217:K217)</f>
        <v>48.216000000000022</v>
      </c>
      <c r="L241" s="79">
        <f>SUM($D217:L217)</f>
        <v>54.062000000000026</v>
      </c>
      <c r="M241" s="79">
        <f>SUM($D217:M217)</f>
        <v>56.182000000000023</v>
      </c>
      <c r="N241" s="79">
        <f>SUM($D217:N217)</f>
        <v>56.302000000000007</v>
      </c>
      <c r="O241" s="79">
        <f>SUM($D217:O217)</f>
        <v>57.071000000000026</v>
      </c>
    </row>
    <row r="242" spans="1:16" x14ac:dyDescent="0.25">
      <c r="A242" s="77" t="s">
        <v>92</v>
      </c>
      <c r="B242" s="77" t="s">
        <v>103</v>
      </c>
      <c r="D242" s="79">
        <f t="shared" ref="D242:O242" si="114">D175+D84+D85-(D179-C179)+D86</f>
        <v>25.298999999999989</v>
      </c>
      <c r="E242" s="79">
        <f t="shared" si="114"/>
        <v>2.4750000000000201</v>
      </c>
      <c r="F242" s="79">
        <f t="shared" si="114"/>
        <v>3.0129999999999866</v>
      </c>
      <c r="G242" s="79">
        <f t="shared" si="114"/>
        <v>-0.75400000000001244</v>
      </c>
      <c r="H242" s="79">
        <f t="shared" si="114"/>
        <v>-0.52399999999999181</v>
      </c>
      <c r="I242" s="79">
        <f t="shared" si="114"/>
        <v>2.7620000000000022</v>
      </c>
      <c r="J242" s="79">
        <f t="shared" si="114"/>
        <v>2.9169999999999998</v>
      </c>
      <c r="K242" s="79">
        <f t="shared" si="114"/>
        <v>4.8579999999999952</v>
      </c>
      <c r="L242" s="79">
        <f t="shared" si="114"/>
        <v>5.4440000000000097</v>
      </c>
      <c r="M242" s="79">
        <f t="shared" si="114"/>
        <v>1.4169999999999916</v>
      </c>
      <c r="N242" s="79">
        <f t="shared" si="114"/>
        <v>-3.6870000000000136</v>
      </c>
      <c r="O242" s="79">
        <f t="shared" si="114"/>
        <v>0.23300000000004029</v>
      </c>
      <c r="P242" s="79">
        <f>SUM(D242:O242)</f>
        <v>43.453000000000024</v>
      </c>
    </row>
    <row r="243" spans="1:16" x14ac:dyDescent="0.25">
      <c r="A243" s="77" t="s">
        <v>92</v>
      </c>
      <c r="B243" s="77" t="s">
        <v>104</v>
      </c>
      <c r="D243" s="79">
        <f t="shared" ref="D243:O243" si="115">D91-D90</f>
        <v>125.559</v>
      </c>
      <c r="E243" s="79">
        <f t="shared" si="115"/>
        <v>123.08199999999999</v>
      </c>
      <c r="F243" s="79">
        <f t="shared" si="115"/>
        <v>120.069</v>
      </c>
      <c r="G243" s="79">
        <f t="shared" si="115"/>
        <v>120.82</v>
      </c>
      <c r="H243" s="79">
        <f t="shared" si="115"/>
        <v>139.33600000000001</v>
      </c>
      <c r="I243" s="79">
        <f t="shared" si="115"/>
        <v>136.577</v>
      </c>
      <c r="J243" s="79">
        <f t="shared" si="115"/>
        <v>133.666</v>
      </c>
      <c r="K243" s="79">
        <f t="shared" si="115"/>
        <v>128.804</v>
      </c>
      <c r="L243" s="79">
        <f t="shared" si="115"/>
        <v>123.35900000000001</v>
      </c>
      <c r="M243" s="79">
        <f t="shared" si="115"/>
        <v>121.944</v>
      </c>
      <c r="N243" s="79">
        <f t="shared" si="115"/>
        <v>125.63200000000001</v>
      </c>
      <c r="O243" s="79">
        <f t="shared" si="115"/>
        <v>125.396</v>
      </c>
    </row>
    <row r="244" spans="1:16" x14ac:dyDescent="0.25">
      <c r="A244" s="77" t="s">
        <v>92</v>
      </c>
      <c r="B244" s="77" t="s">
        <v>105</v>
      </c>
      <c r="D244" s="79">
        <f>SUM($D175:D175)+SUM(E187:$O187)</f>
        <v>100.39199999999997</v>
      </c>
      <c r="E244" s="79">
        <f>SUM($D175:E175)+SUM(F187:$O187)</f>
        <v>100.90899999999996</v>
      </c>
      <c r="F244" s="79">
        <f>SUM($D175:F175)+SUM(G187:$O187)</f>
        <v>101.46999999999996</v>
      </c>
      <c r="G244" s="79">
        <f>SUM($D175:G175)+SUM(H187:$O187)</f>
        <v>101.94499999999995</v>
      </c>
      <c r="H244" s="79">
        <f>SUM($D175:H175)+SUM(I187:$O187)</f>
        <v>102.53199999999997</v>
      </c>
      <c r="I244" s="79">
        <f>SUM($D175:I175)+SUM(J187:$O187)</f>
        <v>103.05899999999997</v>
      </c>
      <c r="J244" s="79">
        <f>SUM($D175:J175)+SUM(K187:$O187)</f>
        <v>103.57799999999997</v>
      </c>
      <c r="K244" s="79">
        <f>SUM($D175:K175)+SUM(L187:$O187)</f>
        <v>104.14799999999998</v>
      </c>
      <c r="L244" s="79">
        <f>SUM($D175:L175)+SUM(M187:$O187)</f>
        <v>104.89799999999997</v>
      </c>
      <c r="M244" s="79">
        <f>SUM($D175:M175)+SUM(N187:$O187)</f>
        <v>105.595</v>
      </c>
      <c r="N244" s="79">
        <f>SUM($D175:N175)+SUM(O187:$O187)</f>
        <v>106.37199999999999</v>
      </c>
      <c r="O244" s="79">
        <f>SUM($D175:O175)</f>
        <v>107.083</v>
      </c>
    </row>
    <row r="245" spans="1:16" x14ac:dyDescent="0.25">
      <c r="A245" s="77" t="s">
        <v>92</v>
      </c>
      <c r="B245" s="77" t="s">
        <v>106</v>
      </c>
      <c r="D245" s="79">
        <f>SUM($D168:D168)+SUM(E180:$O180)</f>
        <v>482.93099999999998</v>
      </c>
      <c r="E245" s="79">
        <f>SUM($D168:E168)+SUM(F180:$O180)</f>
        <v>485.76199999999994</v>
      </c>
      <c r="F245" s="79">
        <f>SUM($D168:F168)+SUM(G180:$O180)</f>
        <v>488.82099999999991</v>
      </c>
      <c r="G245" s="79">
        <f>SUM($D168:G168)+SUM(H180:$O180)</f>
        <v>491.79399999999993</v>
      </c>
      <c r="H245" s="79">
        <f>SUM($D168:H168)+SUM(I180:$O180)</f>
        <v>495.00299999999993</v>
      </c>
      <c r="I245" s="79">
        <f>SUM($D168:I168)+SUM(J180:$O180)</f>
        <v>498.11199999999997</v>
      </c>
      <c r="J245" s="79">
        <f>SUM($D168:J168)+SUM(K180:$O180)</f>
        <v>501.19799999999998</v>
      </c>
      <c r="K245" s="79">
        <f>SUM($D168:K168)+SUM(L180:$O180)</f>
        <v>504.39300000000003</v>
      </c>
      <c r="L245" s="79">
        <f>SUM($D168:L168)+SUM(M180:$O180)</f>
        <v>508.05499999999995</v>
      </c>
      <c r="M245" s="79">
        <f>SUM($D168:M168)+SUM(N180:$O180)</f>
        <v>511.80500000000001</v>
      </c>
      <c r="N245" s="79">
        <f>SUM($D168:N168)+SUM(O180:$O180)</f>
        <v>515.99400000000003</v>
      </c>
      <c r="O245" s="79">
        <f>SUM($D168:O168)</f>
        <v>519.96799999999996</v>
      </c>
    </row>
    <row r="246" spans="1:16" x14ac:dyDescent="0.25">
      <c r="A246" s="77" t="s">
        <v>92</v>
      </c>
      <c r="B246" s="77" t="s">
        <v>107</v>
      </c>
      <c r="D246" s="79">
        <f>IFERROR(D87/(SUM(D168:D168))*30.4*1,0)</f>
        <v>47.285248193894205</v>
      </c>
      <c r="E246" s="79">
        <f>IFERROR(E87/(SUM(D168:E168))*30.4*2,0)</f>
        <v>47.28569133677567</v>
      </c>
      <c r="F246" s="79">
        <f t="shared" ref="F246:O246" si="116">IFERROR(F87/(SUM(D168:F168))*30.4*3,0)</f>
        <v>47.285270934607681</v>
      </c>
      <c r="G246" s="79">
        <f t="shared" si="116"/>
        <v>47.284238961038966</v>
      </c>
      <c r="H246" s="79">
        <f t="shared" si="116"/>
        <v>47.287279419013501</v>
      </c>
      <c r="I246" s="79">
        <f t="shared" si="116"/>
        <v>47.294217126018921</v>
      </c>
      <c r="J246" s="79">
        <f t="shared" si="116"/>
        <v>47.293665636495092</v>
      </c>
      <c r="K246" s="79">
        <f t="shared" si="116"/>
        <v>47.303000015764667</v>
      </c>
      <c r="L246" s="79">
        <f t="shared" si="116"/>
        <v>47.299387533792554</v>
      </c>
      <c r="M246" s="79">
        <f t="shared" si="116"/>
        <v>47.297772076117162</v>
      </c>
      <c r="N246" s="79">
        <f t="shared" si="116"/>
        <v>48.247571357035554</v>
      </c>
      <c r="O246" s="79">
        <f t="shared" si="116"/>
        <v>48.198472592525647</v>
      </c>
    </row>
    <row r="247" spans="1:16" x14ac:dyDescent="0.25">
      <c r="A247" s="77" t="s">
        <v>92</v>
      </c>
      <c r="B247" s="77" t="s">
        <v>108</v>
      </c>
      <c r="D247" s="79">
        <f>IFERROR(D88/(-SUM(D169:D169))*30.4*1,0)</f>
        <v>94.898365904088578</v>
      </c>
      <c r="E247" s="79">
        <f>IFERROR(E88/(-SUM(D169:E169))*30.4*2,0)</f>
        <v>94.903761127352752</v>
      </c>
      <c r="F247" s="79">
        <f t="shared" ref="F247:O247" si="117">IFERROR(F88/(-SUM(D169:F169))*30.4*3,0)</f>
        <v>94.919365931393116</v>
      </c>
      <c r="G247" s="79">
        <f t="shared" si="117"/>
        <v>94.910786802030458</v>
      </c>
      <c r="H247" s="79">
        <f t="shared" si="117"/>
        <v>94.900914324415851</v>
      </c>
      <c r="I247" s="79">
        <f t="shared" si="117"/>
        <v>94.885524120354248</v>
      </c>
      <c r="J247" s="79">
        <f t="shared" si="117"/>
        <v>94.890413202088766</v>
      </c>
      <c r="K247" s="79">
        <f t="shared" si="117"/>
        <v>94.907665090081949</v>
      </c>
      <c r="L247" s="79">
        <f t="shared" si="117"/>
        <v>94.910144116412482</v>
      </c>
      <c r="M247" s="79">
        <f t="shared" si="117"/>
        <v>94.911056703554976</v>
      </c>
      <c r="N247" s="79">
        <f t="shared" si="117"/>
        <v>96.86943423510273</v>
      </c>
      <c r="O247" s="79">
        <f t="shared" si="117"/>
        <v>96.834656529042519</v>
      </c>
    </row>
    <row r="248" spans="1:16" x14ac:dyDescent="0.25">
      <c r="A248" s="77" t="s">
        <v>92</v>
      </c>
      <c r="B248" s="77" t="s">
        <v>109</v>
      </c>
      <c r="D248" s="79">
        <f>IFERROR(D89/(-SUM(D169:D169))*30.4*1,0)</f>
        <v>56.387914360034685</v>
      </c>
      <c r="E248" s="79">
        <f>IFERROR(E89/(-SUM(D169:E169))*30.4*2,0)</f>
        <v>57.253017113950669</v>
      </c>
      <c r="F248" s="79">
        <f t="shared" ref="F248:O248" si="118">IFERROR(F89/(-SUM(D169:F169))*30.4*3,0)</f>
        <v>61.213687830244083</v>
      </c>
      <c r="G248" s="79">
        <f t="shared" si="118"/>
        <v>59.472049492385779</v>
      </c>
      <c r="H248" s="79">
        <f t="shared" si="118"/>
        <v>57.830003386386721</v>
      </c>
      <c r="I248" s="79">
        <f t="shared" si="118"/>
        <v>57.806208401327495</v>
      </c>
      <c r="J248" s="79">
        <f t="shared" si="118"/>
        <v>55.892170812030358</v>
      </c>
      <c r="K248" s="79">
        <f t="shared" si="118"/>
        <v>56.839888796620571</v>
      </c>
      <c r="L248" s="79">
        <f t="shared" si="118"/>
        <v>60.411865118231418</v>
      </c>
      <c r="M248" s="79">
        <f t="shared" si="118"/>
        <v>61.435628244050534</v>
      </c>
      <c r="N248" s="79">
        <f t="shared" si="118"/>
        <v>60.469386033620538</v>
      </c>
      <c r="O248" s="79">
        <f t="shared" si="118"/>
        <v>54.580779771903458</v>
      </c>
    </row>
    <row r="249" spans="1:16" x14ac:dyDescent="0.25">
      <c r="A249" s="77" t="s">
        <v>92</v>
      </c>
      <c r="B249" s="77" t="s">
        <v>110</v>
      </c>
      <c r="D249" s="79">
        <f t="shared" ref="D249:O249" si="119">D246+D247-D248</f>
        <v>85.795699737948112</v>
      </c>
      <c r="E249" s="79">
        <f t="shared" si="119"/>
        <v>84.936435350177732</v>
      </c>
      <c r="F249" s="79">
        <f t="shared" si="119"/>
        <v>80.990949035756699</v>
      </c>
      <c r="G249" s="79">
        <f t="shared" si="119"/>
        <v>82.722976270683645</v>
      </c>
      <c r="H249" s="79">
        <f t="shared" si="119"/>
        <v>84.358190357042616</v>
      </c>
      <c r="I249" s="79">
        <f t="shared" si="119"/>
        <v>84.373532845045673</v>
      </c>
      <c r="J249" s="79">
        <f t="shared" si="119"/>
        <v>86.291908026553486</v>
      </c>
      <c r="K249" s="79">
        <f t="shared" si="119"/>
        <v>85.370776309226031</v>
      </c>
      <c r="L249" s="79">
        <f t="shared" si="119"/>
        <v>81.797666531973618</v>
      </c>
      <c r="M249" s="79">
        <f t="shared" si="119"/>
        <v>80.773200535621598</v>
      </c>
      <c r="N249" s="79">
        <f t="shared" si="119"/>
        <v>84.647619558517761</v>
      </c>
      <c r="O249" s="79">
        <f t="shared" si="119"/>
        <v>90.452349349664701</v>
      </c>
    </row>
    <row r="250" spans="1:16" x14ac:dyDescent="0.25">
      <c r="A250" s="77" t="s">
        <v>92</v>
      </c>
      <c r="B250" s="77" t="s">
        <v>111</v>
      </c>
      <c r="D250" s="80">
        <f t="shared" ref="D250:O250" si="120">IFERROR(D170/D168,0)</f>
        <v>0.56324283383826612</v>
      </c>
      <c r="E250" s="80">
        <f t="shared" si="120"/>
        <v>0.56346066907775771</v>
      </c>
      <c r="F250" s="80">
        <f t="shared" si="120"/>
        <v>0.56346012704679471</v>
      </c>
      <c r="G250" s="80">
        <f t="shared" si="120"/>
        <v>0.5631728045325779</v>
      </c>
      <c r="H250" s="80">
        <f t="shared" si="120"/>
        <v>0.56334102268358333</v>
      </c>
      <c r="I250" s="80">
        <f t="shared" si="120"/>
        <v>0.56335090802577625</v>
      </c>
      <c r="J250" s="80">
        <f t="shared" si="120"/>
        <v>0.56335081052479674</v>
      </c>
      <c r="K250" s="80">
        <f t="shared" si="120"/>
        <v>0.56339614671579097</v>
      </c>
      <c r="L250" s="80">
        <f t="shared" si="120"/>
        <v>0.5633408191637258</v>
      </c>
      <c r="M250" s="80">
        <f t="shared" si="120"/>
        <v>0.56332692081190383</v>
      </c>
      <c r="N250" s="80">
        <f t="shared" si="120"/>
        <v>0.56122052704576975</v>
      </c>
      <c r="O250" s="80">
        <f t="shared" si="120"/>
        <v>0.56111935212284003</v>
      </c>
    </row>
    <row r="251" spans="1:16" x14ac:dyDescent="0.25">
      <c r="A251" s="77" t="s">
        <v>92</v>
      </c>
      <c r="B251" s="77" t="s">
        <v>112</v>
      </c>
      <c r="D251" s="80">
        <f t="shared" ref="D251:O251" si="121">IFERROR(D173/D168,0)</f>
        <v>0.3840013982754602</v>
      </c>
      <c r="E251" s="80">
        <f t="shared" si="121"/>
        <v>0.38415461121157329</v>
      </c>
      <c r="F251" s="80">
        <f t="shared" si="121"/>
        <v>0.38402551059145085</v>
      </c>
      <c r="G251" s="80">
        <f t="shared" si="121"/>
        <v>0.38388964158147548</v>
      </c>
      <c r="H251" s="80">
        <f t="shared" si="121"/>
        <v>0.38401095732410617</v>
      </c>
      <c r="I251" s="80">
        <f t="shared" si="121"/>
        <v>0.38411247803163456</v>
      </c>
      <c r="J251" s="80">
        <f t="shared" si="121"/>
        <v>0.38397710327577084</v>
      </c>
      <c r="K251" s="80">
        <f t="shared" si="121"/>
        <v>0.38401426794640137</v>
      </c>
      <c r="L251" s="80">
        <f t="shared" si="121"/>
        <v>0.38402309913378246</v>
      </c>
      <c r="M251" s="80">
        <f t="shared" si="121"/>
        <v>0.38402496957324023</v>
      </c>
      <c r="N251" s="80">
        <f t="shared" si="121"/>
        <v>0.38208044382801659</v>
      </c>
      <c r="O251" s="80">
        <f t="shared" si="121"/>
        <v>0.38185061941226001</v>
      </c>
    </row>
    <row r="252" spans="1:16" x14ac:dyDescent="0.25">
      <c r="A252" s="77" t="s">
        <v>92</v>
      </c>
      <c r="B252" s="77" t="s">
        <v>113</v>
      </c>
      <c r="D252" s="80">
        <f t="shared" ref="D252:O252" si="122">IFERROR(D175/D168,0)</f>
        <v>0.16243299930086216</v>
      </c>
      <c r="E252" s="80">
        <f t="shared" si="122"/>
        <v>0.16876695298372521</v>
      </c>
      <c r="F252" s="80">
        <f t="shared" si="122"/>
        <v>0.19069673272087656</v>
      </c>
      <c r="G252" s="80">
        <f t="shared" si="122"/>
        <v>0.19529498706737275</v>
      </c>
      <c r="H252" s="80">
        <f t="shared" si="122"/>
        <v>0.19963475586312962</v>
      </c>
      <c r="I252" s="80">
        <f t="shared" si="122"/>
        <v>0.20391329818394849</v>
      </c>
      <c r="J252" s="80">
        <f t="shared" si="122"/>
        <v>0.19861465197941225</v>
      </c>
      <c r="K252" s="80">
        <f t="shared" si="122"/>
        <v>0.20275502780841528</v>
      </c>
      <c r="L252" s="80">
        <f t="shared" si="122"/>
        <v>0.2184579189391509</v>
      </c>
      <c r="M252" s="80">
        <f t="shared" si="122"/>
        <v>0.2317341290094618</v>
      </c>
      <c r="N252" s="80">
        <f t="shared" si="122"/>
        <v>0.23829865926953292</v>
      </c>
      <c r="O252" s="80">
        <f t="shared" si="122"/>
        <v>0.22567453794651809</v>
      </c>
    </row>
    <row r="253" spans="1:16" x14ac:dyDescent="0.25">
      <c r="A253" s="77" t="s">
        <v>92</v>
      </c>
      <c r="B253" s="77" t="s">
        <v>114</v>
      </c>
      <c r="D253" s="80">
        <f t="shared" ref="D253:O253" si="123">IFERROR(D176/D168,0)</f>
        <v>0.11931950594267061</v>
      </c>
      <c r="E253" s="80">
        <f t="shared" si="123"/>
        <v>0.12694959312839069</v>
      </c>
      <c r="F253" s="80">
        <f t="shared" si="123"/>
        <v>0.15324070559056502</v>
      </c>
      <c r="G253" s="80">
        <f t="shared" si="123"/>
        <v>0.15883729523340306</v>
      </c>
      <c r="H253" s="80">
        <f t="shared" si="123"/>
        <v>0.16407151095732414</v>
      </c>
      <c r="I253" s="80">
        <f t="shared" si="123"/>
        <v>0.16923257176332751</v>
      </c>
      <c r="J253" s="80">
        <f t="shared" si="123"/>
        <v>0.16301890422819765</v>
      </c>
      <c r="K253" s="80">
        <f t="shared" si="123"/>
        <v>0.16802384248938118</v>
      </c>
      <c r="L253" s="80">
        <f t="shared" si="123"/>
        <v>0.1868035504224147</v>
      </c>
      <c r="M253" s="80">
        <f t="shared" si="123"/>
        <v>0.20268148089984694</v>
      </c>
      <c r="N253" s="80">
        <f t="shared" si="123"/>
        <v>0.21092926490984729</v>
      </c>
      <c r="O253" s="80">
        <f t="shared" si="123"/>
        <v>0.19600689572224675</v>
      </c>
    </row>
    <row r="254" spans="1:16" x14ac:dyDescent="0.25">
      <c r="A254" s="77" t="s">
        <v>92</v>
      </c>
      <c r="B254" s="77" t="s">
        <v>115</v>
      </c>
      <c r="D254" s="80">
        <f t="shared" ref="D254:O254" si="124">IFERROR(D178/D168,0)</f>
        <v>7.3933814961547342E-2</v>
      </c>
      <c r="E254" s="80">
        <f t="shared" si="124"/>
        <v>8.0131103074141161E-2</v>
      </c>
      <c r="F254" s="80">
        <f t="shared" si="124"/>
        <v>0.10140966264267444</v>
      </c>
      <c r="G254" s="80">
        <f t="shared" si="124"/>
        <v>0.10612144352752793</v>
      </c>
      <c r="H254" s="80">
        <f t="shared" si="124"/>
        <v>0.11036620530565172</v>
      </c>
      <c r="I254" s="80">
        <f t="shared" si="124"/>
        <v>0.11458699472759229</v>
      </c>
      <c r="J254" s="80">
        <f t="shared" si="124"/>
        <v>0.1097455385059407</v>
      </c>
      <c r="K254" s="80">
        <f t="shared" si="124"/>
        <v>0.11379156595405159</v>
      </c>
      <c r="L254" s="80">
        <f t="shared" si="124"/>
        <v>0.12897016361886429</v>
      </c>
      <c r="M254" s="80">
        <f t="shared" si="124"/>
        <v>0.14192611204899697</v>
      </c>
      <c r="N254" s="80">
        <f t="shared" si="124"/>
        <v>0.14873786407766976</v>
      </c>
      <c r="O254" s="80">
        <f t="shared" si="124"/>
        <v>0.13669165697790969</v>
      </c>
    </row>
    <row r="255" spans="1:16" x14ac:dyDescent="0.25">
      <c r="A255" s="77" t="s">
        <v>92</v>
      </c>
      <c r="B255" s="77" t="s">
        <v>116</v>
      </c>
      <c r="D255" s="80">
        <f t="shared" ref="D255:O255" si="125">IFERROR(-D171/D168,0)</f>
        <v>8.6722209275227224E-2</v>
      </c>
      <c r="E255" s="80">
        <f t="shared" si="125"/>
        <v>8.6629746835443028E-2</v>
      </c>
      <c r="F255" s="80">
        <f t="shared" si="125"/>
        <v>8.6781565560701573E-2</v>
      </c>
      <c r="G255" s="80">
        <f t="shared" si="125"/>
        <v>8.6611651681241533E-2</v>
      </c>
      <c r="H255" s="80">
        <f t="shared" si="125"/>
        <v>8.6697424067666271E-2</v>
      </c>
      <c r="I255" s="80">
        <f t="shared" si="125"/>
        <v>8.6631517281780909E-2</v>
      </c>
      <c r="J255" s="80">
        <f t="shared" si="125"/>
        <v>8.6776660734042041E-2</v>
      </c>
      <c r="K255" s="80">
        <f t="shared" si="125"/>
        <v>8.6757562246262881E-2</v>
      </c>
      <c r="L255" s="80">
        <f t="shared" si="125"/>
        <v>8.6707304031654386E-2</v>
      </c>
      <c r="M255" s="80">
        <f t="shared" si="125"/>
        <v>8.6686820305445417E-2</v>
      </c>
      <c r="N255" s="80">
        <f t="shared" si="125"/>
        <v>8.5825242718446604E-2</v>
      </c>
      <c r="O255" s="80">
        <f t="shared" si="125"/>
        <v>8.5875796816742164E-2</v>
      </c>
    </row>
    <row r="256" spans="1:16" x14ac:dyDescent="0.25">
      <c r="A256" s="77" t="s">
        <v>92</v>
      </c>
      <c r="B256" s="77" t="s">
        <v>117</v>
      </c>
      <c r="D256" s="80">
        <f t="shared" ref="D256:O256" si="126">IFERROR(-D172/D168,0)</f>
        <v>9.2519226287578665E-2</v>
      </c>
      <c r="E256" s="80">
        <f t="shared" si="126"/>
        <v>9.2676311030741407E-2</v>
      </c>
      <c r="F256" s="80">
        <f t="shared" si="126"/>
        <v>9.2653050894642278E-2</v>
      </c>
      <c r="G256" s="80">
        <f t="shared" si="126"/>
        <v>9.2671511269860826E-2</v>
      </c>
      <c r="H256" s="80">
        <f t="shared" si="126"/>
        <v>9.2632641291810841E-2</v>
      </c>
      <c r="I256" s="80">
        <f t="shared" si="126"/>
        <v>9.2606912712360878E-2</v>
      </c>
      <c r="J256" s="80">
        <f t="shared" si="126"/>
        <v>9.2597046514983877E-2</v>
      </c>
      <c r="K256" s="80">
        <f t="shared" si="126"/>
        <v>9.2624316523126748E-2</v>
      </c>
      <c r="L256" s="80">
        <f t="shared" si="126"/>
        <v>9.2610415998288967E-2</v>
      </c>
      <c r="M256" s="80">
        <f t="shared" si="126"/>
        <v>9.2615130933218173E-2</v>
      </c>
      <c r="N256" s="80">
        <f t="shared" si="126"/>
        <v>9.3314840499306537E-2</v>
      </c>
      <c r="O256" s="80">
        <f t="shared" si="126"/>
        <v>9.3392935893837944E-2</v>
      </c>
    </row>
    <row r="257" spans="1:16" x14ac:dyDescent="0.25">
      <c r="A257" s="77" t="s">
        <v>92</v>
      </c>
      <c r="B257" s="77" t="s">
        <v>118</v>
      </c>
      <c r="D257" s="80">
        <f t="shared" ref="D257:O257" si="127">IFERROR(-D174/D168,0)</f>
        <v>0.22156839897459804</v>
      </c>
      <c r="E257" s="80">
        <f t="shared" si="127"/>
        <v>0.21538765822784808</v>
      </c>
      <c r="F257" s="80">
        <f t="shared" si="127"/>
        <v>0.19332877787057429</v>
      </c>
      <c r="G257" s="80">
        <f t="shared" si="127"/>
        <v>0.18859465451410273</v>
      </c>
      <c r="H257" s="80">
        <f t="shared" si="127"/>
        <v>0.18437620146097655</v>
      </c>
      <c r="I257" s="80">
        <f t="shared" si="127"/>
        <v>0.18019917984768602</v>
      </c>
      <c r="J257" s="80">
        <f t="shared" si="127"/>
        <v>0.18536245129635864</v>
      </c>
      <c r="K257" s="80">
        <f t="shared" si="127"/>
        <v>0.18125924013798608</v>
      </c>
      <c r="L257" s="80">
        <f t="shared" si="127"/>
        <v>0.16556518019463162</v>
      </c>
      <c r="M257" s="80">
        <f t="shared" si="127"/>
        <v>0.15229084056377842</v>
      </c>
      <c r="N257" s="80">
        <f t="shared" si="127"/>
        <v>0.14378178455848362</v>
      </c>
      <c r="O257" s="80">
        <f t="shared" si="127"/>
        <v>0.15617608146574191</v>
      </c>
    </row>
    <row r="258" spans="1:16" x14ac:dyDescent="0.25">
      <c r="A258" s="77" t="s">
        <v>92</v>
      </c>
      <c r="B258" s="77" t="s">
        <v>119</v>
      </c>
      <c r="D258" s="80">
        <f t="shared" ref="D258:O258" si="128">IFERROR(-D86/D168,0)</f>
        <v>3.2597296667443487E-2</v>
      </c>
      <c r="E258" s="80">
        <f t="shared" si="128"/>
        <v>3.2606238698010846E-2</v>
      </c>
      <c r="F258" s="80">
        <f t="shared" si="128"/>
        <v>3.2596866853946811E-2</v>
      </c>
      <c r="G258" s="80">
        <f t="shared" si="128"/>
        <v>3.2590220470501294E-2</v>
      </c>
      <c r="H258" s="80">
        <f t="shared" si="128"/>
        <v>3.2607650903498646E-2</v>
      </c>
      <c r="I258" s="80">
        <f t="shared" si="128"/>
        <v>3.2595196250732282E-2</v>
      </c>
      <c r="J258" s="80">
        <f t="shared" si="128"/>
        <v>3.100197219683486E-2</v>
      </c>
      <c r="K258" s="80">
        <f t="shared" si="128"/>
        <v>3.0999929598948678E-2</v>
      </c>
      <c r="L258" s="80">
        <f t="shared" si="128"/>
        <v>3.0991337824831572E-2</v>
      </c>
      <c r="M258" s="80">
        <f t="shared" si="128"/>
        <v>3.0996034706136391E-2</v>
      </c>
      <c r="N258" s="80">
        <f t="shared" si="128"/>
        <v>3.0993989828941287E-2</v>
      </c>
      <c r="O258" s="80">
        <f t="shared" si="128"/>
        <v>3.101070440604578E-2</v>
      </c>
    </row>
    <row r="259" spans="1:16" x14ac:dyDescent="0.25">
      <c r="A259" s="77" t="s">
        <v>92</v>
      </c>
      <c r="B259" s="77" t="s">
        <v>120</v>
      </c>
      <c r="D259" s="80">
        <f t="shared" ref="D259:O259" si="129">IFERROR(-(D70+D71)/D69,0)</f>
        <v>0.17520422873618452</v>
      </c>
      <c r="E259" s="80">
        <f t="shared" si="129"/>
        <v>0.17530001165093792</v>
      </c>
      <c r="F259" s="80">
        <f t="shared" si="129"/>
        <v>0.17536939644377664</v>
      </c>
      <c r="G259" s="80">
        <f t="shared" si="129"/>
        <v>0.17521688778723665</v>
      </c>
      <c r="H259" s="80">
        <f t="shared" si="129"/>
        <v>0.17521850288364352</v>
      </c>
      <c r="I259" s="80">
        <f t="shared" si="129"/>
        <v>0.17518699626973849</v>
      </c>
      <c r="J259" s="80">
        <f t="shared" si="129"/>
        <v>0.17521969411437979</v>
      </c>
      <c r="K259" s="80">
        <f t="shared" si="129"/>
        <v>0.1753173865923518</v>
      </c>
      <c r="L259" s="80">
        <f t="shared" si="129"/>
        <v>0.17525136708414185</v>
      </c>
      <c r="M259" s="80">
        <f t="shared" si="129"/>
        <v>0.17529545086611623</v>
      </c>
      <c r="N259" s="80">
        <f t="shared" si="129"/>
        <v>0.17564827659801516</v>
      </c>
      <c r="O259" s="80">
        <f t="shared" si="129"/>
        <v>0.17572412881479155</v>
      </c>
    </row>
    <row r="260" spans="1:16" x14ac:dyDescent="0.25">
      <c r="A260" s="77" t="s">
        <v>92</v>
      </c>
      <c r="B260" s="77" t="s">
        <v>121</v>
      </c>
      <c r="D260" s="79">
        <f t="shared" ref="D260:O260" si="130">IFERROR(D168*Unit/D68,0)</f>
        <v>7.8864179378790631</v>
      </c>
      <c r="E260" s="79">
        <f t="shared" si="130"/>
        <v>7.8887303851640516</v>
      </c>
      <c r="F260" s="79">
        <f t="shared" si="130"/>
        <v>7.886668928763898</v>
      </c>
      <c r="G260" s="79">
        <f t="shared" si="130"/>
        <v>7.8865058087578204</v>
      </c>
      <c r="H260" s="79">
        <f t="shared" si="130"/>
        <v>7.8909346024763467</v>
      </c>
      <c r="I260" s="79">
        <f t="shared" si="130"/>
        <v>7.8870037702373041</v>
      </c>
      <c r="J260" s="79">
        <f t="shared" si="130"/>
        <v>7.8870193675664382</v>
      </c>
      <c r="K260" s="79">
        <f t="shared" si="130"/>
        <v>7.8870606526124867</v>
      </c>
      <c r="L260" s="79">
        <f t="shared" si="130"/>
        <v>7.888476463640961</v>
      </c>
      <c r="M260" s="79">
        <f t="shared" si="130"/>
        <v>7.8866131004907665</v>
      </c>
      <c r="N260" s="79">
        <f t="shared" si="130"/>
        <v>7.9002732040849137</v>
      </c>
      <c r="O260" s="79">
        <f t="shared" si="130"/>
        <v>7.8982283371067581</v>
      </c>
    </row>
    <row r="261" spans="1:16" x14ac:dyDescent="0.25">
      <c r="A261" s="77" t="s">
        <v>92</v>
      </c>
      <c r="B261" s="77" t="s">
        <v>122</v>
      </c>
      <c r="D261" s="80">
        <f t="shared" ref="D261:O261" si="131">IFERROR(D179/D245,0)</f>
        <v>0.14989304890346655</v>
      </c>
      <c r="E261" s="80">
        <f t="shared" si="131"/>
        <v>0.15043375150794008</v>
      </c>
      <c r="F261" s="80">
        <f t="shared" si="131"/>
        <v>0.1519185959686675</v>
      </c>
      <c r="G261" s="80">
        <f t="shared" si="131"/>
        <v>0.1616123824202817</v>
      </c>
      <c r="H261" s="80">
        <f t="shared" si="131"/>
        <v>0.17115047787589169</v>
      </c>
      <c r="I261" s="80">
        <f t="shared" si="131"/>
        <v>0.17453303674675574</v>
      </c>
      <c r="J261" s="80">
        <f t="shared" si="131"/>
        <v>0.17712361182606476</v>
      </c>
      <c r="K261" s="80">
        <f t="shared" si="131"/>
        <v>0.17629903666387123</v>
      </c>
      <c r="L261" s="80">
        <f t="shared" si="131"/>
        <v>0.17624272962572951</v>
      </c>
      <c r="M261" s="80">
        <f t="shared" si="131"/>
        <v>0.18611580582448395</v>
      </c>
      <c r="N261" s="80">
        <f t="shared" si="131"/>
        <v>0.20695783284301758</v>
      </c>
      <c r="O261" s="80">
        <f t="shared" si="131"/>
        <v>0.21791341005600343</v>
      </c>
    </row>
    <row r="262" spans="1:16" x14ac:dyDescent="0.25">
      <c r="A262" s="77" t="s">
        <v>92</v>
      </c>
      <c r="B262" s="77" t="s">
        <v>123</v>
      </c>
      <c r="D262" s="79">
        <f t="shared" ref="D262:O262" si="132">IFERROR(D243/D244,0)</f>
        <v>1.2506873057614156</v>
      </c>
      <c r="E262" s="79">
        <f t="shared" si="132"/>
        <v>1.2197326303897575</v>
      </c>
      <c r="F262" s="79">
        <f t="shared" si="132"/>
        <v>1.1832955553365532</v>
      </c>
      <c r="G262" s="79">
        <f t="shared" si="132"/>
        <v>1.1851488547746338</v>
      </c>
      <c r="H262" s="79">
        <f t="shared" si="132"/>
        <v>1.3589513517731056</v>
      </c>
      <c r="I262" s="79">
        <f t="shared" si="132"/>
        <v>1.3252311782571153</v>
      </c>
      <c r="J262" s="79">
        <f t="shared" si="132"/>
        <v>1.2904863967251736</v>
      </c>
      <c r="K262" s="79">
        <f t="shared" si="132"/>
        <v>1.2367400238122674</v>
      </c>
      <c r="L262" s="79">
        <f t="shared" si="132"/>
        <v>1.1759900093424092</v>
      </c>
      <c r="M262" s="79">
        <f t="shared" si="132"/>
        <v>1.1548274066006914</v>
      </c>
      <c r="N262" s="79">
        <f t="shared" si="132"/>
        <v>1.1810626856691613</v>
      </c>
      <c r="O262" s="79">
        <f t="shared" si="132"/>
        <v>1.1710168747606997</v>
      </c>
    </row>
    <row r="263" spans="1:16" x14ac:dyDescent="0.25">
      <c r="A263" s="77" t="s">
        <v>92</v>
      </c>
      <c r="B263" s="77" t="s">
        <v>124</v>
      </c>
      <c r="D263" s="79">
        <f t="shared" ref="D263:O263" si="133">IFERROR(D245*Unit/D92,0)</f>
        <v>411.00510638297874</v>
      </c>
      <c r="E263" s="79">
        <f t="shared" si="133"/>
        <v>412.71197960917584</v>
      </c>
      <c r="F263" s="79">
        <f t="shared" si="133"/>
        <v>414.25508474576259</v>
      </c>
      <c r="G263" s="79">
        <f t="shared" si="133"/>
        <v>416.06937394247035</v>
      </c>
      <c r="H263" s="79">
        <f t="shared" si="133"/>
        <v>417.72405063291137</v>
      </c>
      <c r="I263" s="79">
        <f t="shared" si="133"/>
        <v>419.63942712721143</v>
      </c>
      <c r="J263" s="79">
        <f t="shared" si="133"/>
        <v>421.17478991596641</v>
      </c>
      <c r="K263" s="79">
        <f t="shared" si="133"/>
        <v>423.14848993288592</v>
      </c>
      <c r="L263" s="79">
        <f t="shared" si="133"/>
        <v>425.15062761506272</v>
      </c>
      <c r="M263" s="79">
        <f t="shared" si="133"/>
        <v>427.57309941520469</v>
      </c>
      <c r="N263" s="79">
        <f t="shared" si="133"/>
        <v>429.995</v>
      </c>
      <c r="O263" s="79">
        <f t="shared" si="133"/>
        <v>432.58569051580696</v>
      </c>
    </row>
    <row r="264" spans="1:16" x14ac:dyDescent="0.25">
      <c r="A264" s="77" t="s">
        <v>92</v>
      </c>
      <c r="B264" s="77" t="s">
        <v>125</v>
      </c>
      <c r="D264" s="79">
        <f>SUM($D168:D168)</f>
        <v>34.327999999999996</v>
      </c>
      <c r="E264" s="79">
        <f>SUM($D168:E168)</f>
        <v>69.72</v>
      </c>
      <c r="F264" s="79">
        <f>SUM($D168:F168)</f>
        <v>109.23299999999999</v>
      </c>
      <c r="G264" s="79">
        <f>SUM($D168:G168)</f>
        <v>149.82799999999997</v>
      </c>
      <c r="H264" s="79">
        <f>SUM($D168:H168)</f>
        <v>191.44399999999999</v>
      </c>
      <c r="I264" s="79">
        <f>SUM($D168:I168)</f>
        <v>234.11899999999997</v>
      </c>
      <c r="J264" s="79">
        <f>SUM($D168:J168)</f>
        <v>275.697</v>
      </c>
      <c r="K264" s="79">
        <f>SUM($D168:K168)</f>
        <v>318.31</v>
      </c>
      <c r="L264" s="79">
        <f>SUM($D168:L168)</f>
        <v>365.065</v>
      </c>
      <c r="M264" s="79">
        <f>SUM($D168:M168)</f>
        <v>416.00700000000001</v>
      </c>
      <c r="N264" s="79">
        <f>SUM($D168:N168)</f>
        <v>470.08199999999999</v>
      </c>
      <c r="O264" s="79">
        <f>SUM($D168:O168)</f>
        <v>519.96799999999996</v>
      </c>
    </row>
    <row r="265" spans="1:16" x14ac:dyDescent="0.25">
      <c r="A265" s="77" t="s">
        <v>92</v>
      </c>
      <c r="B265" s="77" t="s">
        <v>126</v>
      </c>
      <c r="D265" s="79">
        <f>SUM($D175:D175)</f>
        <v>5.5759999999999961</v>
      </c>
      <c r="E265" s="79">
        <f>SUM($D175:E175)</f>
        <v>11.548999999999999</v>
      </c>
      <c r="F265" s="79">
        <f>SUM($D175:F175)</f>
        <v>19.083999999999993</v>
      </c>
      <c r="G265" s="79">
        <f>SUM($D175:G175)</f>
        <v>27.01199999999999</v>
      </c>
      <c r="H265" s="79">
        <f>SUM($D175:H175)</f>
        <v>35.319999999999993</v>
      </c>
      <c r="I265" s="79">
        <f>SUM($D175:I175)</f>
        <v>44.021999999999991</v>
      </c>
      <c r="J265" s="79">
        <f>SUM($D175:J175)</f>
        <v>52.279999999999994</v>
      </c>
      <c r="K265" s="79">
        <f>SUM($D175:K175)</f>
        <v>60.919999999999995</v>
      </c>
      <c r="L265" s="79">
        <f>SUM($D175:L175)</f>
        <v>71.133999999999986</v>
      </c>
      <c r="M265" s="79">
        <f>SUM($D175:M175)</f>
        <v>82.938999999999993</v>
      </c>
      <c r="N265" s="79">
        <f>SUM($D175:N175)</f>
        <v>95.824999999999989</v>
      </c>
      <c r="O265" s="79">
        <f>SUM($D175:O175)</f>
        <v>107.083</v>
      </c>
    </row>
    <row r="266" spans="1:16" x14ac:dyDescent="0.25">
      <c r="A266" s="77" t="s">
        <v>92</v>
      </c>
      <c r="B266" s="77" t="s">
        <v>127</v>
      </c>
      <c r="D266" s="79">
        <f>SUM($D242:D242)</f>
        <v>25.298999999999989</v>
      </c>
      <c r="E266" s="79">
        <f>SUM($D242:E242)</f>
        <v>27.774000000000008</v>
      </c>
      <c r="F266" s="79">
        <f>SUM($D242:F242)</f>
        <v>30.786999999999995</v>
      </c>
      <c r="G266" s="79">
        <f>SUM($D242:G242)</f>
        <v>30.032999999999983</v>
      </c>
      <c r="H266" s="79">
        <f>SUM($D242:H242)</f>
        <v>29.508999999999993</v>
      </c>
      <c r="I266" s="79">
        <f>SUM($D242:I242)</f>
        <v>32.270999999999994</v>
      </c>
      <c r="J266" s="79">
        <f>SUM($D242:J242)</f>
        <v>35.187999999999995</v>
      </c>
      <c r="K266" s="79">
        <f>SUM($D242:K242)</f>
        <v>40.045999999999992</v>
      </c>
      <c r="L266" s="79">
        <f>SUM($D242:L242)</f>
        <v>45.49</v>
      </c>
      <c r="M266" s="79">
        <f>SUM($D242:M242)</f>
        <v>46.906999999999996</v>
      </c>
      <c r="N266" s="79">
        <f>SUM($D242:N242)</f>
        <v>43.219999999999985</v>
      </c>
      <c r="O266" s="79">
        <f>SUM($D242:O242)</f>
        <v>43.453000000000024</v>
      </c>
    </row>
    <row r="267" spans="1:16" x14ac:dyDescent="0.25">
      <c r="A267" s="77" t="s">
        <v>93</v>
      </c>
      <c r="B267" s="77" t="s">
        <v>103</v>
      </c>
      <c r="D267" s="79">
        <f t="shared" ref="D267:O267" si="134">D187+D109+D110-(D191-C191)+D111</f>
        <v>-1.2700000000000102</v>
      </c>
      <c r="E267" s="79">
        <f t="shared" si="134"/>
        <v>2.4240000000000008</v>
      </c>
      <c r="F267" s="79">
        <f t="shared" si="134"/>
        <v>3.0660000000000043</v>
      </c>
      <c r="G267" s="79">
        <f t="shared" si="134"/>
        <v>-0.32300000000000706</v>
      </c>
      <c r="H267" s="79">
        <f t="shared" si="134"/>
        <v>-0.34999999999999454</v>
      </c>
      <c r="I267" s="79">
        <f t="shared" si="134"/>
        <v>2.8039999999999905</v>
      </c>
      <c r="J267" s="79">
        <f t="shared" si="134"/>
        <v>2.7820000000000005</v>
      </c>
      <c r="K267" s="79">
        <f t="shared" si="134"/>
        <v>4.4519999999999946</v>
      </c>
      <c r="L267" s="79">
        <f t="shared" si="134"/>
        <v>5.2440000000000007</v>
      </c>
      <c r="M267" s="79">
        <f t="shared" si="134"/>
        <v>1.8920000000000003</v>
      </c>
      <c r="N267" s="79">
        <f t="shared" si="134"/>
        <v>-9.8000000000031617E-2</v>
      </c>
      <c r="O267" s="79">
        <f t="shared" si="134"/>
        <v>0.51900000000002056</v>
      </c>
      <c r="P267" s="79">
        <f>SUM(D267:O267)</f>
        <v>21.141999999999967</v>
      </c>
    </row>
    <row r="268" spans="1:16" x14ac:dyDescent="0.25">
      <c r="A268" s="77" t="s">
        <v>93</v>
      </c>
      <c r="B268" s="77" t="s">
        <v>104</v>
      </c>
      <c r="D268" s="79">
        <f t="shared" ref="D268:O268" si="135">D116-D115</f>
        <v>155.27199999999999</v>
      </c>
      <c r="E268" s="79">
        <f t="shared" si="135"/>
        <v>152.851</v>
      </c>
      <c r="F268" s="79">
        <f t="shared" si="135"/>
        <v>149.78399999999999</v>
      </c>
      <c r="G268" s="79">
        <f t="shared" si="135"/>
        <v>150.11199999999999</v>
      </c>
      <c r="H268" s="79">
        <f t="shared" si="135"/>
        <v>168.45099999999999</v>
      </c>
      <c r="I268" s="79">
        <f t="shared" si="135"/>
        <v>165.648</v>
      </c>
      <c r="J268" s="79">
        <f t="shared" si="135"/>
        <v>162.875</v>
      </c>
      <c r="K268" s="79">
        <f t="shared" si="135"/>
        <v>158.42400000000001</v>
      </c>
      <c r="L268" s="79">
        <f t="shared" si="135"/>
        <v>153.17400000000001</v>
      </c>
      <c r="M268" s="79">
        <f t="shared" si="135"/>
        <v>151.27500000000001</v>
      </c>
      <c r="N268" s="79">
        <f t="shared" si="135"/>
        <v>151.37700000000001</v>
      </c>
      <c r="O268" s="79">
        <f t="shared" si="135"/>
        <v>150.85300000000001</v>
      </c>
    </row>
    <row r="269" spans="1:16" x14ac:dyDescent="0.25">
      <c r="A269" s="77" t="s">
        <v>93</v>
      </c>
      <c r="B269" s="77" t="s">
        <v>105</v>
      </c>
      <c r="D269" s="79">
        <f t="shared" ref="D269:O269" si="136">SUM($D187:$O187)</f>
        <v>99.976999999999961</v>
      </c>
      <c r="E269" s="79">
        <f t="shared" si="136"/>
        <v>99.976999999999961</v>
      </c>
      <c r="F269" s="79">
        <f t="shared" si="136"/>
        <v>99.976999999999961</v>
      </c>
      <c r="G269" s="79">
        <f t="shared" si="136"/>
        <v>99.976999999999961</v>
      </c>
      <c r="H269" s="79">
        <f t="shared" si="136"/>
        <v>99.976999999999961</v>
      </c>
      <c r="I269" s="79">
        <f t="shared" si="136"/>
        <v>99.976999999999961</v>
      </c>
      <c r="J269" s="79">
        <f t="shared" si="136"/>
        <v>99.976999999999961</v>
      </c>
      <c r="K269" s="79">
        <f t="shared" si="136"/>
        <v>99.976999999999961</v>
      </c>
      <c r="L269" s="79">
        <f t="shared" si="136"/>
        <v>99.976999999999961</v>
      </c>
      <c r="M269" s="79">
        <f t="shared" si="136"/>
        <v>99.976999999999961</v>
      </c>
      <c r="N269" s="79">
        <f t="shared" si="136"/>
        <v>99.976999999999961</v>
      </c>
      <c r="O269" s="79">
        <f t="shared" si="136"/>
        <v>99.976999999999961</v>
      </c>
    </row>
    <row r="270" spans="1:16" x14ac:dyDescent="0.25">
      <c r="A270" s="77" t="s">
        <v>93</v>
      </c>
      <c r="B270" s="77" t="s">
        <v>106</v>
      </c>
      <c r="D270" s="79">
        <f t="shared" ref="D270:O270" si="137">SUM($D180:$O180)</f>
        <v>480.31599999999997</v>
      </c>
      <c r="E270" s="79">
        <f t="shared" si="137"/>
        <v>480.31599999999997</v>
      </c>
      <c r="F270" s="79">
        <f t="shared" si="137"/>
        <v>480.31599999999997</v>
      </c>
      <c r="G270" s="79">
        <f t="shared" si="137"/>
        <v>480.31599999999997</v>
      </c>
      <c r="H270" s="79">
        <f t="shared" si="137"/>
        <v>480.31599999999997</v>
      </c>
      <c r="I270" s="79">
        <f t="shared" si="137"/>
        <v>480.31599999999997</v>
      </c>
      <c r="J270" s="79">
        <f t="shared" si="137"/>
        <v>480.31599999999997</v>
      </c>
      <c r="K270" s="79">
        <f t="shared" si="137"/>
        <v>480.31599999999997</v>
      </c>
      <c r="L270" s="79">
        <f t="shared" si="137"/>
        <v>480.31599999999997</v>
      </c>
      <c r="M270" s="79">
        <f t="shared" si="137"/>
        <v>480.31599999999997</v>
      </c>
      <c r="N270" s="79">
        <f t="shared" si="137"/>
        <v>480.31599999999997</v>
      </c>
      <c r="O270" s="79">
        <f t="shared" si="137"/>
        <v>480.31599999999997</v>
      </c>
    </row>
    <row r="271" spans="1:16" x14ac:dyDescent="0.25">
      <c r="A271" s="77" t="s">
        <v>93</v>
      </c>
      <c r="B271" s="77" t="s">
        <v>107</v>
      </c>
      <c r="D271" s="79">
        <f>IFERROR(D112/(SUM(D180:D180))*30.4*1,0)</f>
        <v>46.036641125090661</v>
      </c>
      <c r="E271" s="79">
        <f>IFERROR(E112/(SUM(D180:E180))*30.4*2,0)</f>
        <v>46.001555839064011</v>
      </c>
      <c r="F271" s="79">
        <f t="shared" ref="F271:O271" si="138">IFERROR(F112/(SUM(D180:F180))*30.4*3,0)</f>
        <v>45.992041934715267</v>
      </c>
      <c r="G271" s="79">
        <f t="shared" si="138"/>
        <v>46.015217982501383</v>
      </c>
      <c r="H271" s="79">
        <f t="shared" si="138"/>
        <v>46.01552945778473</v>
      </c>
      <c r="I271" s="79">
        <f t="shared" si="138"/>
        <v>46.018544054673654</v>
      </c>
      <c r="J271" s="79">
        <f t="shared" si="138"/>
        <v>45.983311724552436</v>
      </c>
      <c r="K271" s="79">
        <f t="shared" si="138"/>
        <v>45.981953760768164</v>
      </c>
      <c r="L271" s="79">
        <f t="shared" si="138"/>
        <v>46.011143525367139</v>
      </c>
      <c r="M271" s="79">
        <f t="shared" si="138"/>
        <v>46.038410830898286</v>
      </c>
      <c r="N271" s="79">
        <f t="shared" si="138"/>
        <v>46.046009516947159</v>
      </c>
      <c r="O271" s="79">
        <f t="shared" si="138"/>
        <v>46.010747604727612</v>
      </c>
    </row>
    <row r="272" spans="1:16" x14ac:dyDescent="0.25">
      <c r="A272" s="77" t="s">
        <v>93</v>
      </c>
      <c r="B272" s="77" t="s">
        <v>108</v>
      </c>
      <c r="D272" s="79">
        <f>IFERROR(D113/(-SUM(D181:D181))*30.4*1,0)</f>
        <v>90.15195931797787</v>
      </c>
      <c r="E272" s="79">
        <f>IFERROR(E113/(-SUM(D181:E181))*30.4*2,0)</f>
        <v>90.132310189625912</v>
      </c>
      <c r="F272" s="79">
        <f t="shared" ref="F272:O272" si="139">IFERROR(F113/(-SUM(D181:F181))*30.4*3,0)</f>
        <v>90.130847457627098</v>
      </c>
      <c r="G272" s="79">
        <f t="shared" si="139"/>
        <v>90.125006672004247</v>
      </c>
      <c r="H272" s="79">
        <f t="shared" si="139"/>
        <v>90.107346706321579</v>
      </c>
      <c r="I272" s="79">
        <f t="shared" si="139"/>
        <v>90.114151989161215</v>
      </c>
      <c r="J272" s="79">
        <f t="shared" si="139"/>
        <v>90.122073687642626</v>
      </c>
      <c r="K272" s="79">
        <f t="shared" si="139"/>
        <v>90.148188244799016</v>
      </c>
      <c r="L272" s="79">
        <f t="shared" si="139"/>
        <v>90.113030011957719</v>
      </c>
      <c r="M272" s="79">
        <f t="shared" si="139"/>
        <v>90.089248943913105</v>
      </c>
      <c r="N272" s="79">
        <f t="shared" si="139"/>
        <v>90.076607840814859</v>
      </c>
      <c r="O272" s="79">
        <f t="shared" si="139"/>
        <v>90.111690898227451</v>
      </c>
    </row>
    <row r="273" spans="1:15" x14ac:dyDescent="0.25">
      <c r="A273" s="77" t="s">
        <v>93</v>
      </c>
      <c r="B273" s="77" t="s">
        <v>109</v>
      </c>
      <c r="D273" s="79">
        <f>IFERROR(D114/(-SUM(D181:D181))*30.4*1,0)</f>
        <v>57.994615614717326</v>
      </c>
      <c r="E273" s="79">
        <f>IFERROR(E114/(-SUM(D181:E181))*30.4*2,0)</f>
        <v>58.754342212056365</v>
      </c>
      <c r="F273" s="79">
        <f t="shared" ref="F273:O273" si="140">IFERROR(F114/(-SUM(D181:F181))*30.4*3,0)</f>
        <v>62.976949152542367</v>
      </c>
      <c r="G273" s="79">
        <f t="shared" si="140"/>
        <v>61.349666399786486</v>
      </c>
      <c r="H273" s="79">
        <f t="shared" si="140"/>
        <v>59.363007023982782</v>
      </c>
      <c r="I273" s="79">
        <f t="shared" si="140"/>
        <v>59.586845670649076</v>
      </c>
      <c r="J273" s="79">
        <f t="shared" si="140"/>
        <v>57.507368764264747</v>
      </c>
      <c r="K273" s="79">
        <f t="shared" si="140"/>
        <v>58.418840638254885</v>
      </c>
      <c r="L273" s="79">
        <f t="shared" si="140"/>
        <v>61.99304491012095</v>
      </c>
      <c r="M273" s="79">
        <f t="shared" si="140"/>
        <v>63.257772982462555</v>
      </c>
      <c r="N273" s="79">
        <f t="shared" si="140"/>
        <v>61.933165259471068</v>
      </c>
      <c r="O273" s="79">
        <f t="shared" si="140"/>
        <v>55.82919737104163</v>
      </c>
    </row>
    <row r="274" spans="1:15" x14ac:dyDescent="0.25">
      <c r="A274" s="77" t="s">
        <v>93</v>
      </c>
      <c r="B274" s="77" t="s">
        <v>110</v>
      </c>
      <c r="D274" s="79">
        <f t="shared" ref="D274:O274" si="141">D271+D272-D273</f>
        <v>78.193984828351205</v>
      </c>
      <c r="E274" s="79">
        <f t="shared" si="141"/>
        <v>77.379523816633537</v>
      </c>
      <c r="F274" s="79">
        <f t="shared" si="141"/>
        <v>73.145940239799984</v>
      </c>
      <c r="G274" s="79">
        <f t="shared" si="141"/>
        <v>74.790558254719144</v>
      </c>
      <c r="H274" s="79">
        <f t="shared" si="141"/>
        <v>76.759869140123527</v>
      </c>
      <c r="I274" s="79">
        <f t="shared" si="141"/>
        <v>76.5458503731858</v>
      </c>
      <c r="J274" s="79">
        <f t="shared" si="141"/>
        <v>78.598016647930308</v>
      </c>
      <c r="K274" s="79">
        <f t="shared" si="141"/>
        <v>77.711301367312274</v>
      </c>
      <c r="L274" s="79">
        <f t="shared" si="141"/>
        <v>74.131128627203907</v>
      </c>
      <c r="M274" s="79">
        <f t="shared" si="141"/>
        <v>72.869886792348822</v>
      </c>
      <c r="N274" s="79">
        <f t="shared" si="141"/>
        <v>74.189452098290943</v>
      </c>
      <c r="O274" s="79">
        <f t="shared" si="141"/>
        <v>80.293241131913419</v>
      </c>
    </row>
    <row r="275" spans="1:15" x14ac:dyDescent="0.25">
      <c r="A275" s="77" t="s">
        <v>93</v>
      </c>
      <c r="B275" s="77" t="s">
        <v>111</v>
      </c>
      <c r="D275" s="80">
        <f t="shared" ref="D275:O275" si="142">IFERROR(D182/D180,0)</f>
        <v>0.57834326616844822</v>
      </c>
      <c r="E275" s="80">
        <f t="shared" si="142"/>
        <v>0.57820705752280332</v>
      </c>
      <c r="F275" s="80">
        <f t="shared" si="142"/>
        <v>0.57826301640423539</v>
      </c>
      <c r="G275" s="80">
        <f t="shared" si="142"/>
        <v>0.57854446866195308</v>
      </c>
      <c r="H275" s="80">
        <f t="shared" si="142"/>
        <v>0.57874866560783178</v>
      </c>
      <c r="I275" s="80">
        <f t="shared" si="142"/>
        <v>0.57845119547085877</v>
      </c>
      <c r="J275" s="80">
        <f t="shared" si="142"/>
        <v>0.57876961446534347</v>
      </c>
      <c r="K275" s="80">
        <f t="shared" si="142"/>
        <v>0.57844132122380632</v>
      </c>
      <c r="L275" s="80">
        <f t="shared" si="142"/>
        <v>0.57807532545889129</v>
      </c>
      <c r="M275" s="80">
        <f t="shared" si="142"/>
        <v>0.57865739955924722</v>
      </c>
      <c r="N275" s="80">
        <f t="shared" si="142"/>
        <v>0.57833861203544079</v>
      </c>
      <c r="O275" s="80">
        <f t="shared" si="142"/>
        <v>0.57891183132949997</v>
      </c>
    </row>
    <row r="276" spans="1:15" x14ac:dyDescent="0.25">
      <c r="A276" s="77" t="s">
        <v>93</v>
      </c>
      <c r="B276" s="77" t="s">
        <v>112</v>
      </c>
      <c r="D276" s="80">
        <f t="shared" ref="D276:O276" si="143">IFERROR(D185/D180,0)</f>
        <v>0.39220508939551596</v>
      </c>
      <c r="E276" s="80">
        <f t="shared" si="143"/>
        <v>0.39154202880746902</v>
      </c>
      <c r="F276" s="80">
        <f t="shared" si="143"/>
        <v>0.39180885499533652</v>
      </c>
      <c r="G276" s="80">
        <f t="shared" si="143"/>
        <v>0.39280208388708732</v>
      </c>
      <c r="H276" s="80">
        <f t="shared" si="143"/>
        <v>0.39216809435779931</v>
      </c>
      <c r="I276" s="80">
        <f t="shared" si="143"/>
        <v>0.392559268058434</v>
      </c>
      <c r="J276" s="80">
        <f t="shared" si="143"/>
        <v>0.39257508053621537</v>
      </c>
      <c r="K276" s="80">
        <f t="shared" si="143"/>
        <v>0.39215586787761925</v>
      </c>
      <c r="L276" s="80">
        <f t="shared" si="143"/>
        <v>0.39143248323393592</v>
      </c>
      <c r="M276" s="80">
        <f t="shared" si="143"/>
        <v>0.39260891676555337</v>
      </c>
      <c r="N276" s="80">
        <f t="shared" si="143"/>
        <v>0.39179328869823188</v>
      </c>
      <c r="O276" s="80">
        <f t="shared" si="143"/>
        <v>0.39203258407388053</v>
      </c>
    </row>
    <row r="277" spans="1:15" x14ac:dyDescent="0.25">
      <c r="A277" s="77" t="s">
        <v>93</v>
      </c>
      <c r="B277" s="77" t="s">
        <v>113</v>
      </c>
      <c r="D277" s="80">
        <f t="shared" ref="D277:O277" si="144">IFERROR(D187/D180,0)</f>
        <v>0.16274083183552474</v>
      </c>
      <c r="E277" s="80">
        <f t="shared" si="144"/>
        <v>0.16756242130155705</v>
      </c>
      <c r="F277" s="80">
        <f t="shared" si="144"/>
        <v>0.19130959565479774</v>
      </c>
      <c r="G277" s="80">
        <f t="shared" si="144"/>
        <v>0.19810217425974161</v>
      </c>
      <c r="H277" s="80">
        <f t="shared" si="144"/>
        <v>0.20103106204598112</v>
      </c>
      <c r="I277" s="80">
        <f t="shared" si="144"/>
        <v>0.20661679219531923</v>
      </c>
      <c r="J277" s="80">
        <f t="shared" si="144"/>
        <v>0.20105476462641592</v>
      </c>
      <c r="K277" s="80">
        <f t="shared" si="144"/>
        <v>0.20472880409964972</v>
      </c>
      <c r="L277" s="80">
        <f t="shared" si="144"/>
        <v>0.21961803541178379</v>
      </c>
      <c r="M277" s="80">
        <f t="shared" si="144"/>
        <v>0.23537887777589409</v>
      </c>
      <c r="N277" s="80">
        <f t="shared" si="144"/>
        <v>0.242733432225474</v>
      </c>
      <c r="O277" s="80">
        <f t="shared" si="144"/>
        <v>0.22972207701690195</v>
      </c>
    </row>
    <row r="278" spans="1:15" x14ac:dyDescent="0.25">
      <c r="A278" s="77" t="s">
        <v>93</v>
      </c>
      <c r="B278" s="77" t="s">
        <v>114</v>
      </c>
      <c r="D278" s="80">
        <f t="shared" ref="D278:O278" si="145">IFERROR(D188/D180,0)</f>
        <v>0.11818497146280692</v>
      </c>
      <c r="E278" s="80">
        <f t="shared" si="145"/>
        <v>0.12416694818955187</v>
      </c>
      <c r="F278" s="80">
        <f t="shared" si="145"/>
        <v>0.15254841718329942</v>
      </c>
      <c r="G278" s="80">
        <f t="shared" si="145"/>
        <v>0.1605443623411833</v>
      </c>
      <c r="H278" s="80">
        <f t="shared" si="145"/>
        <v>0.16424089358710642</v>
      </c>
      <c r="I278" s="80">
        <f t="shared" si="145"/>
        <v>0.17090431178284385</v>
      </c>
      <c r="J278" s="80">
        <f t="shared" si="145"/>
        <v>0.16434583809622783</v>
      </c>
      <c r="K278" s="80">
        <f t="shared" si="145"/>
        <v>0.16888223654168127</v>
      </c>
      <c r="L278" s="80">
        <f t="shared" si="145"/>
        <v>0.1868284872253034</v>
      </c>
      <c r="M278" s="80">
        <f t="shared" si="145"/>
        <v>0.20543736226479048</v>
      </c>
      <c r="N278" s="80">
        <f t="shared" si="145"/>
        <v>0.21440885218297709</v>
      </c>
      <c r="O278" s="80">
        <f t="shared" si="145"/>
        <v>0.19894580937445552</v>
      </c>
    </row>
    <row r="279" spans="1:15" x14ac:dyDescent="0.25">
      <c r="A279" s="77" t="s">
        <v>93</v>
      </c>
      <c r="B279" s="77" t="s">
        <v>115</v>
      </c>
      <c r="D279" s="80">
        <f t="shared" ref="D279:O279" si="146">IFERROR(D190/D180,0)</f>
        <v>7.0917289439661815E-2</v>
      </c>
      <c r="E279" s="80">
        <f t="shared" si="146"/>
        <v>7.582690949295165E-2</v>
      </c>
      <c r="F279" s="80">
        <f t="shared" si="146"/>
        <v>9.9001481318922405E-2</v>
      </c>
      <c r="G279" s="80">
        <f t="shared" si="146"/>
        <v>0.1056828451437988</v>
      </c>
      <c r="H279" s="80">
        <f t="shared" si="146"/>
        <v>0.10865206863332194</v>
      </c>
      <c r="I279" s="80">
        <f t="shared" si="146"/>
        <v>0.11413840165798919</v>
      </c>
      <c r="J279" s="80">
        <f t="shared" si="146"/>
        <v>0.10908760261872599</v>
      </c>
      <c r="K279" s="80">
        <f t="shared" si="146"/>
        <v>0.11276574153939804</v>
      </c>
      <c r="L279" s="80">
        <f t="shared" si="146"/>
        <v>0.12735247023878585</v>
      </c>
      <c r="M279" s="80">
        <f t="shared" si="146"/>
        <v>0.14258772673334449</v>
      </c>
      <c r="N279" s="80">
        <f t="shared" si="146"/>
        <v>0.1499619131620093</v>
      </c>
      <c r="O279" s="80">
        <f t="shared" si="146"/>
        <v>0.1373932740895627</v>
      </c>
    </row>
    <row r="280" spans="1:15" x14ac:dyDescent="0.25">
      <c r="A280" s="77" t="s">
        <v>93</v>
      </c>
      <c r="B280" s="77" t="s">
        <v>116</v>
      </c>
      <c r="D280" s="80">
        <f t="shared" ref="D280:O280" si="147">IFERROR(-D183/D180,0)</f>
        <v>9.6332734209945453E-2</v>
      </c>
      <c r="E280" s="80">
        <f t="shared" si="147"/>
        <v>9.6741500568164385E-2</v>
      </c>
      <c r="F280" s="80">
        <f t="shared" si="147"/>
        <v>9.6587480111921864E-2</v>
      </c>
      <c r="G280" s="80">
        <f t="shared" si="147"/>
        <v>9.6034235287863479E-2</v>
      </c>
      <c r="H280" s="80">
        <f t="shared" si="147"/>
        <v>9.6623011430208058E-2</v>
      </c>
      <c r="I280" s="80">
        <f t="shared" si="147"/>
        <v>9.6092604761664049E-2</v>
      </c>
      <c r="J280" s="80">
        <f t="shared" si="147"/>
        <v>9.6409643562298669E-2</v>
      </c>
      <c r="K280" s="80">
        <f t="shared" si="147"/>
        <v>9.6453396925262586E-2</v>
      </c>
      <c r="L280" s="80">
        <f t="shared" si="147"/>
        <v>9.6929895806743549E-2</v>
      </c>
      <c r="M280" s="80">
        <f t="shared" si="147"/>
        <v>9.626631632480083E-2</v>
      </c>
      <c r="N280" s="80">
        <f t="shared" si="147"/>
        <v>9.6700477087760098E-2</v>
      </c>
      <c r="O280" s="80">
        <f t="shared" si="147"/>
        <v>9.6968112911657078E-2</v>
      </c>
    </row>
    <row r="281" spans="1:15" x14ac:dyDescent="0.25">
      <c r="A281" s="77" t="s">
        <v>93</v>
      </c>
      <c r="B281" s="77" t="s">
        <v>117</v>
      </c>
      <c r="D281" s="80">
        <f t="shared" ref="D281:O281" si="148">IFERROR(-D184/D180,0)</f>
        <v>8.9805442562986795E-2</v>
      </c>
      <c r="E281" s="80">
        <f t="shared" si="148"/>
        <v>8.9923528147169932E-2</v>
      </c>
      <c r="F281" s="80">
        <f t="shared" si="148"/>
        <v>8.9866681296977002E-2</v>
      </c>
      <c r="G281" s="80">
        <f t="shared" si="148"/>
        <v>8.9708149487002287E-2</v>
      </c>
      <c r="H281" s="80">
        <f t="shared" si="148"/>
        <v>8.995755981982452E-2</v>
      </c>
      <c r="I281" s="80">
        <f t="shared" si="148"/>
        <v>8.9799322650760752E-2</v>
      </c>
      <c r="J281" s="80">
        <f t="shared" si="148"/>
        <v>8.9784890366829476E-2</v>
      </c>
      <c r="K281" s="80">
        <f t="shared" si="148"/>
        <v>8.9832056420924483E-2</v>
      </c>
      <c r="L281" s="80">
        <f t="shared" si="148"/>
        <v>8.9712946418211773E-2</v>
      </c>
      <c r="M281" s="80">
        <f t="shared" si="148"/>
        <v>8.9782166468893046E-2</v>
      </c>
      <c r="N281" s="80">
        <f t="shared" si="148"/>
        <v>8.9844846249448732E-2</v>
      </c>
      <c r="O281" s="80">
        <f t="shared" si="148"/>
        <v>8.9911134343962362E-2</v>
      </c>
    </row>
    <row r="282" spans="1:15" x14ac:dyDescent="0.25">
      <c r="A282" s="77" t="s">
        <v>93</v>
      </c>
      <c r="B282" s="77" t="s">
        <v>118</v>
      </c>
      <c r="D282" s="80">
        <f t="shared" ref="D282:O282" si="149">IFERROR(-D186/D180,0)</f>
        <v>0.22946425755999122</v>
      </c>
      <c r="E282" s="80">
        <f t="shared" si="149"/>
        <v>0.22397960750591198</v>
      </c>
      <c r="F282" s="80">
        <f t="shared" si="149"/>
        <v>0.20049925934053875</v>
      </c>
      <c r="G282" s="80">
        <f t="shared" si="149"/>
        <v>0.19469990962734571</v>
      </c>
      <c r="H282" s="80">
        <f t="shared" si="149"/>
        <v>0.19113703231181817</v>
      </c>
      <c r="I282" s="80">
        <f t="shared" si="149"/>
        <v>0.1859424758631148</v>
      </c>
      <c r="J282" s="80">
        <f t="shared" si="149"/>
        <v>0.19152031590979945</v>
      </c>
      <c r="K282" s="80">
        <f t="shared" si="149"/>
        <v>0.1874270637779695</v>
      </c>
      <c r="L282" s="80">
        <f t="shared" si="149"/>
        <v>0.17181444782215211</v>
      </c>
      <c r="M282" s="80">
        <f t="shared" si="149"/>
        <v>0.15723003898965929</v>
      </c>
      <c r="N282" s="80">
        <f t="shared" si="149"/>
        <v>0.14905985647275791</v>
      </c>
      <c r="O282" s="80">
        <f t="shared" si="149"/>
        <v>0.16231050705697858</v>
      </c>
    </row>
    <row r="283" spans="1:15" x14ac:dyDescent="0.25">
      <c r="A283" s="77" t="s">
        <v>93</v>
      </c>
      <c r="B283" s="77" t="s">
        <v>119</v>
      </c>
      <c r="D283" s="80">
        <f t="shared" ref="D283:O283" si="150">IFERROR(-D111/D180,0)</f>
        <v>3.0996752120581471E-2</v>
      </c>
      <c r="E283" s="80">
        <f t="shared" si="150"/>
        <v>3.0987991769294551E-2</v>
      </c>
      <c r="F283" s="80">
        <f t="shared" si="150"/>
        <v>3.0997970044439563E-2</v>
      </c>
      <c r="G283" s="80">
        <f t="shared" si="150"/>
        <v>3.0992504385731749E-2</v>
      </c>
      <c r="H283" s="80">
        <f t="shared" si="150"/>
        <v>3.1009972140495227E-2</v>
      </c>
      <c r="I283" s="80">
        <f t="shared" si="150"/>
        <v>3.1011474498306626E-2</v>
      </c>
      <c r="J283" s="80">
        <f t="shared" si="150"/>
        <v>3.0993453185077423E-2</v>
      </c>
      <c r="K283" s="80">
        <f t="shared" si="150"/>
        <v>3.1001065503069671E-2</v>
      </c>
      <c r="L283" s="80">
        <f t="shared" si="150"/>
        <v>3.1002715058130095E-2</v>
      </c>
      <c r="M283" s="80">
        <f t="shared" si="150"/>
        <v>3.1001017121546032E-2</v>
      </c>
      <c r="N283" s="80">
        <f t="shared" si="150"/>
        <v>3.0990658701840198E-2</v>
      </c>
      <c r="O283" s="80">
        <f t="shared" si="150"/>
        <v>3.0994075622930824E-2</v>
      </c>
    </row>
    <row r="284" spans="1:15" x14ac:dyDescent="0.25">
      <c r="A284" s="77" t="s">
        <v>93</v>
      </c>
      <c r="B284" s="77" t="s">
        <v>120</v>
      </c>
      <c r="D284" s="80">
        <f t="shared" ref="D284:O284" si="151">IFERROR(-(D95+D96)/D94,0)</f>
        <v>0.17027288663300283</v>
      </c>
      <c r="E284" s="80">
        <f t="shared" si="151"/>
        <v>0.17018782333902496</v>
      </c>
      <c r="F284" s="80">
        <f t="shared" si="151"/>
        <v>0.17025538307461194</v>
      </c>
      <c r="G284" s="80">
        <f t="shared" si="151"/>
        <v>0.1700968389473452</v>
      </c>
      <c r="H284" s="80">
        <f t="shared" si="151"/>
        <v>0.17020633034460411</v>
      </c>
      <c r="I284" s="80">
        <f t="shared" si="151"/>
        <v>0.17036757459478727</v>
      </c>
      <c r="J284" s="80">
        <f t="shared" si="151"/>
        <v>0.17005541301019861</v>
      </c>
      <c r="K284" s="80">
        <f t="shared" si="151"/>
        <v>0.17021724486359044</v>
      </c>
      <c r="L284" s="80">
        <f t="shared" si="151"/>
        <v>0.17023529864828438</v>
      </c>
      <c r="M284" s="80">
        <f t="shared" si="151"/>
        <v>0.17022137042181706</v>
      </c>
      <c r="N284" s="80">
        <f t="shared" si="151"/>
        <v>0.17004674996256675</v>
      </c>
      <c r="O284" s="80">
        <f t="shared" si="151"/>
        <v>0.17008007808969472</v>
      </c>
    </row>
    <row r="285" spans="1:15" x14ac:dyDescent="0.25">
      <c r="A285" s="77" t="s">
        <v>93</v>
      </c>
      <c r="B285" s="77" t="s">
        <v>121</v>
      </c>
      <c r="D285" s="79">
        <f t="shared" ref="D285:O285" si="152">IFERROR(D180*Unit/D93,0)</f>
        <v>7.7343121235031544</v>
      </c>
      <c r="E285" s="79">
        <f t="shared" si="152"/>
        <v>7.7356742373847744</v>
      </c>
      <c r="F285" s="79">
        <f t="shared" si="152"/>
        <v>7.7247780297090527</v>
      </c>
      <c r="G285" s="79">
        <f t="shared" si="152"/>
        <v>7.7395597613659737</v>
      </c>
      <c r="H285" s="79">
        <f t="shared" si="152"/>
        <v>7.7555429909939066</v>
      </c>
      <c r="I285" s="79">
        <f t="shared" si="152"/>
        <v>7.7306031535139947</v>
      </c>
      <c r="J285" s="79">
        <f t="shared" si="152"/>
        <v>7.7433112049889372</v>
      </c>
      <c r="K285" s="79">
        <f t="shared" si="152"/>
        <v>7.7288680614105569</v>
      </c>
      <c r="L285" s="79">
        <f t="shared" si="152"/>
        <v>7.7267755643614047</v>
      </c>
      <c r="M285" s="79">
        <f t="shared" si="152"/>
        <v>7.746044251854773</v>
      </c>
      <c r="N285" s="79">
        <f t="shared" si="152"/>
        <v>7.7197814951795873</v>
      </c>
      <c r="O285" s="79">
        <f t="shared" si="152"/>
        <v>7.7500379804527268</v>
      </c>
    </row>
    <row r="286" spans="1:15" x14ac:dyDescent="0.25">
      <c r="A286" s="77" t="s">
        <v>93</v>
      </c>
      <c r="B286" s="77" t="s">
        <v>122</v>
      </c>
      <c r="D286" s="80">
        <f t="shared" ref="D286:O286" si="153">IFERROR(D191/D270,0)</f>
        <v>0.12943562154914681</v>
      </c>
      <c r="E286" s="80">
        <f t="shared" si="153"/>
        <v>0.13037042280498673</v>
      </c>
      <c r="F286" s="80">
        <f t="shared" si="153"/>
        <v>0.13209012400169887</v>
      </c>
      <c r="G286" s="80">
        <f t="shared" si="153"/>
        <v>0.14155472647173944</v>
      </c>
      <c r="H286" s="80">
        <f t="shared" si="153"/>
        <v>0.15143363952064889</v>
      </c>
      <c r="I286" s="80">
        <f t="shared" si="153"/>
        <v>0.1553852047402127</v>
      </c>
      <c r="J286" s="80">
        <f t="shared" si="153"/>
        <v>0.15879337769301877</v>
      </c>
      <c r="K286" s="80">
        <f t="shared" si="153"/>
        <v>0.15917645883126941</v>
      </c>
      <c r="L286" s="80">
        <f t="shared" si="153"/>
        <v>0.15984476886050017</v>
      </c>
      <c r="M286" s="80">
        <f t="shared" si="153"/>
        <v>0.16981112434314075</v>
      </c>
      <c r="N286" s="80">
        <f t="shared" si="153"/>
        <v>0.18531341866604489</v>
      </c>
      <c r="O286" s="80">
        <f t="shared" si="153"/>
        <v>0.19734508115490634</v>
      </c>
    </row>
    <row r="287" spans="1:15" x14ac:dyDescent="0.25">
      <c r="A287" s="77" t="s">
        <v>93</v>
      </c>
      <c r="B287" s="77" t="s">
        <v>123</v>
      </c>
      <c r="D287" s="79">
        <f t="shared" ref="D287:O287" si="154">IFERROR(D268/D269,0)</f>
        <v>1.5530772077577848</v>
      </c>
      <c r="E287" s="79">
        <f t="shared" si="154"/>
        <v>1.5288616381767812</v>
      </c>
      <c r="F287" s="79">
        <f t="shared" si="154"/>
        <v>1.498184582453965</v>
      </c>
      <c r="G287" s="79">
        <f t="shared" si="154"/>
        <v>1.5014653370275168</v>
      </c>
      <c r="H287" s="79">
        <f t="shared" si="154"/>
        <v>1.6848975264310797</v>
      </c>
      <c r="I287" s="79">
        <f t="shared" si="154"/>
        <v>1.6568610780479516</v>
      </c>
      <c r="J287" s="79">
        <f t="shared" si="154"/>
        <v>1.6291246986806971</v>
      </c>
      <c r="K287" s="79">
        <f t="shared" si="154"/>
        <v>1.5846044590255766</v>
      </c>
      <c r="L287" s="79">
        <f t="shared" si="154"/>
        <v>1.5320923812476877</v>
      </c>
      <c r="M287" s="79">
        <f t="shared" si="154"/>
        <v>1.5130980125428855</v>
      </c>
      <c r="N287" s="79">
        <f t="shared" si="154"/>
        <v>1.5141182471968559</v>
      </c>
      <c r="O287" s="79">
        <f t="shared" si="154"/>
        <v>1.5088770417195962</v>
      </c>
    </row>
    <row r="288" spans="1:15" x14ac:dyDescent="0.25">
      <c r="A288" s="77" t="s">
        <v>93</v>
      </c>
      <c r="B288" s="77" t="s">
        <v>124</v>
      </c>
      <c r="D288" s="79">
        <f t="shared" ref="D288:O288" si="155">IFERROR(D270*Unit/D117,0)</f>
        <v>418.75850043591981</v>
      </c>
      <c r="E288" s="79">
        <f t="shared" si="155"/>
        <v>418.39372822299651</v>
      </c>
      <c r="F288" s="79">
        <f t="shared" si="155"/>
        <v>417.66608695652172</v>
      </c>
      <c r="G288" s="79">
        <f t="shared" si="155"/>
        <v>417.3032145960035</v>
      </c>
      <c r="H288" s="79">
        <f t="shared" si="155"/>
        <v>416.57935819601039</v>
      </c>
      <c r="I288" s="79">
        <f t="shared" si="155"/>
        <v>416.21837088388213</v>
      </c>
      <c r="J288" s="79">
        <f t="shared" si="155"/>
        <v>415.49826989619379</v>
      </c>
      <c r="K288" s="79">
        <f t="shared" si="155"/>
        <v>415.13915298184963</v>
      </c>
      <c r="L288" s="79">
        <f t="shared" si="155"/>
        <v>414.42277825711818</v>
      </c>
      <c r="M288" s="79">
        <f t="shared" si="155"/>
        <v>413.70887166236002</v>
      </c>
      <c r="N288" s="79">
        <f t="shared" si="155"/>
        <v>413.3528399311532</v>
      </c>
      <c r="O288" s="79">
        <f t="shared" si="155"/>
        <v>412.64261168384877</v>
      </c>
    </row>
    <row r="289" spans="1:15" x14ac:dyDescent="0.25">
      <c r="A289" s="77" t="s">
        <v>93</v>
      </c>
      <c r="B289" s="77" t="s">
        <v>125</v>
      </c>
      <c r="D289" s="79">
        <f>SUM($D180:D180)</f>
        <v>31.712999999999994</v>
      </c>
      <c r="E289" s="79">
        <f>SUM($D180:E180)</f>
        <v>64.274000000000001</v>
      </c>
      <c r="F289" s="79">
        <f>SUM($D180:F180)</f>
        <v>100.72800000000001</v>
      </c>
      <c r="G289" s="79">
        <f>SUM($D180:G180)</f>
        <v>138.35000000000002</v>
      </c>
      <c r="H289" s="79">
        <f>SUM($D180:H180)</f>
        <v>176.75700000000001</v>
      </c>
      <c r="I289" s="79">
        <f>SUM($D180:I180)</f>
        <v>216.32300000000001</v>
      </c>
      <c r="J289" s="79">
        <f>SUM($D180:J180)</f>
        <v>254.815</v>
      </c>
      <c r="K289" s="79">
        <f>SUM($D180:K180)</f>
        <v>294.233</v>
      </c>
      <c r="L289" s="79">
        <f>SUM($D180:L180)</f>
        <v>337.32600000000002</v>
      </c>
      <c r="M289" s="79">
        <f>SUM($D180:M180)</f>
        <v>384.51800000000003</v>
      </c>
      <c r="N289" s="79">
        <f>SUM($D180:N180)</f>
        <v>434.404</v>
      </c>
      <c r="O289" s="79">
        <f>SUM($D180:O180)</f>
        <v>480.31599999999997</v>
      </c>
    </row>
    <row r="290" spans="1:15" x14ac:dyDescent="0.25">
      <c r="A290" s="77" t="s">
        <v>93</v>
      </c>
      <c r="B290" s="77" t="s">
        <v>126</v>
      </c>
      <c r="D290" s="79">
        <f>SUM($D187:D187)</f>
        <v>5.1609999999999951</v>
      </c>
      <c r="E290" s="79">
        <f>SUM($D187:E187)</f>
        <v>10.616999999999994</v>
      </c>
      <c r="F290" s="79">
        <f>SUM($D187:F187)</f>
        <v>17.59099999999999</v>
      </c>
      <c r="G290" s="79">
        <f>SUM($D187:G187)</f>
        <v>25.04399999999999</v>
      </c>
      <c r="H290" s="79">
        <f>SUM($D187:H187)</f>
        <v>32.764999999999986</v>
      </c>
      <c r="I290" s="79">
        <f>SUM($D187:I187)</f>
        <v>40.939999999999984</v>
      </c>
      <c r="J290" s="79">
        <f>SUM($D187:J187)</f>
        <v>48.678999999999988</v>
      </c>
      <c r="K290" s="79">
        <f>SUM($D187:K187)</f>
        <v>56.748999999999981</v>
      </c>
      <c r="L290" s="79">
        <f>SUM($D187:L187)</f>
        <v>66.21299999999998</v>
      </c>
      <c r="M290" s="79">
        <f>SUM($D187:M187)</f>
        <v>77.32099999999997</v>
      </c>
      <c r="N290" s="79">
        <f>SUM($D187:N187)</f>
        <v>89.429999999999964</v>
      </c>
      <c r="O290" s="79">
        <f>SUM($D187:O187)</f>
        <v>99.976999999999961</v>
      </c>
    </row>
    <row r="291" spans="1:15" x14ac:dyDescent="0.25">
      <c r="A291" s="77" t="s">
        <v>93</v>
      </c>
      <c r="B291" s="77" t="s">
        <v>127</v>
      </c>
      <c r="D291" s="79">
        <f>SUM($D267:D267)</f>
        <v>-1.2700000000000102</v>
      </c>
      <c r="E291" s="79">
        <f>SUM($D267:E267)</f>
        <v>1.1539999999999906</v>
      </c>
      <c r="F291" s="79">
        <f>SUM($D267:F267)</f>
        <v>4.2199999999999953</v>
      </c>
      <c r="G291" s="79">
        <f>SUM($D267:G267)</f>
        <v>3.8969999999999883</v>
      </c>
      <c r="H291" s="79">
        <f>SUM($D267:H267)</f>
        <v>3.5469999999999935</v>
      </c>
      <c r="I291" s="79">
        <f>SUM($D267:I267)</f>
        <v>6.350999999999984</v>
      </c>
      <c r="J291" s="79">
        <f>SUM($D267:J267)</f>
        <v>9.1329999999999849</v>
      </c>
      <c r="K291" s="79">
        <f>SUM($D267:K267)</f>
        <v>13.58499999999998</v>
      </c>
      <c r="L291" s="79">
        <f>SUM($D267:L267)</f>
        <v>18.828999999999979</v>
      </c>
      <c r="M291" s="79">
        <f>SUM($D267:M267)</f>
        <v>20.720999999999979</v>
      </c>
      <c r="N291" s="79">
        <f>SUM($D267:N267)</f>
        <v>20.622999999999948</v>
      </c>
      <c r="O291" s="79">
        <f>SUM($D267:O267)</f>
        <v>21.141999999999967</v>
      </c>
    </row>
    <row r="292" spans="1:15" x14ac:dyDescent="0.25">
      <c r="A292" s="77" t="s">
        <v>128</v>
      </c>
      <c r="B292" s="77" t="s">
        <v>129</v>
      </c>
      <c r="D292" s="79">
        <f t="shared" ref="D292:O292" si="156">IF(D$5&lt;=mSel,D144,0)</f>
        <v>34.348000000000006</v>
      </c>
      <c r="E292" s="79">
        <f t="shared" si="156"/>
        <v>35.390999999999998</v>
      </c>
      <c r="F292" s="79">
        <f t="shared" si="156"/>
        <v>39.532000000000004</v>
      </c>
      <c r="G292" s="79">
        <f t="shared" si="156"/>
        <v>40.6</v>
      </c>
      <c r="H292" s="79">
        <f t="shared" si="156"/>
        <v>41.617000000000004</v>
      </c>
      <c r="I292" s="79">
        <f t="shared" si="156"/>
        <v>42.601999999999997</v>
      </c>
      <c r="J292" s="79">
        <f t="shared" si="156"/>
        <v>41.555</v>
      </c>
      <c r="K292" s="79">
        <f t="shared" si="156"/>
        <v>42.514999999999993</v>
      </c>
      <c r="L292" s="79">
        <f t="shared" si="156"/>
        <v>46.665000000000006</v>
      </c>
      <c r="M292" s="79">
        <f t="shared" si="156"/>
        <v>50.744999999999997</v>
      </c>
      <c r="N292" s="79">
        <f t="shared" si="156"/>
        <v>0</v>
      </c>
      <c r="O292" s="79">
        <f t="shared" si="156"/>
        <v>0</v>
      </c>
    </row>
    <row r="293" spans="1:15" x14ac:dyDescent="0.25">
      <c r="A293" s="77" t="s">
        <v>128</v>
      </c>
      <c r="B293" s="77" t="s">
        <v>130</v>
      </c>
      <c r="D293" s="79">
        <f t="shared" ref="D293:O293" si="157">IF(D$5&gt;mSel,D144,0)</f>
        <v>0</v>
      </c>
      <c r="E293" s="79">
        <f t="shared" si="157"/>
        <v>0</v>
      </c>
      <c r="F293" s="79">
        <f t="shared" si="157"/>
        <v>0</v>
      </c>
      <c r="G293" s="79">
        <f t="shared" si="157"/>
        <v>0</v>
      </c>
      <c r="H293" s="79">
        <f t="shared" si="157"/>
        <v>0</v>
      </c>
      <c r="I293" s="79">
        <f t="shared" si="157"/>
        <v>0</v>
      </c>
      <c r="J293" s="79">
        <f t="shared" si="157"/>
        <v>0</v>
      </c>
      <c r="K293" s="79">
        <f t="shared" si="157"/>
        <v>0</v>
      </c>
      <c r="L293" s="79">
        <f t="shared" si="157"/>
        <v>0</v>
      </c>
      <c r="M293" s="79">
        <f t="shared" si="157"/>
        <v>0</v>
      </c>
      <c r="N293" s="79">
        <f t="shared" si="157"/>
        <v>54.074999999999996</v>
      </c>
      <c r="O293" s="79">
        <f t="shared" si="157"/>
        <v>49.886000000000003</v>
      </c>
    </row>
    <row r="294" spans="1:15" x14ac:dyDescent="0.25">
      <c r="A294" s="77" t="s">
        <v>128</v>
      </c>
      <c r="B294" s="77" t="s">
        <v>131</v>
      </c>
      <c r="D294" s="79">
        <f t="shared" ref="D294:O294" si="158">IF(D$5&lt;=mSel,D151,0)</f>
        <v>5.512000000000004</v>
      </c>
      <c r="E294" s="79">
        <f t="shared" si="158"/>
        <v>5.8879999999999963</v>
      </c>
      <c r="F294" s="79">
        <f t="shared" si="158"/>
        <v>7.4700000000000033</v>
      </c>
      <c r="G294" s="79">
        <f t="shared" si="158"/>
        <v>7.83</v>
      </c>
      <c r="H294" s="79">
        <f t="shared" si="158"/>
        <v>8.2200000000000077</v>
      </c>
      <c r="I294" s="79">
        <f t="shared" si="158"/>
        <v>8.5769999999999911</v>
      </c>
      <c r="J294" s="79">
        <f t="shared" si="158"/>
        <v>8.1589999999999989</v>
      </c>
      <c r="K294" s="79">
        <f t="shared" si="158"/>
        <v>8.4949999999999939</v>
      </c>
      <c r="L294" s="79">
        <f t="shared" si="158"/>
        <v>10.060000000000009</v>
      </c>
      <c r="M294" s="79">
        <f t="shared" si="158"/>
        <v>11.598999999999997</v>
      </c>
      <c r="N294" s="79">
        <f t="shared" si="158"/>
        <v>0</v>
      </c>
      <c r="O294" s="79">
        <f t="shared" si="158"/>
        <v>0</v>
      </c>
    </row>
    <row r="295" spans="1:15" x14ac:dyDescent="0.25">
      <c r="A295" s="77" t="s">
        <v>128</v>
      </c>
      <c r="B295" s="77" t="s">
        <v>132</v>
      </c>
      <c r="D295" s="79">
        <f t="shared" ref="D295:O295" si="159">IF(D$5&gt;mSel,D151,0)</f>
        <v>0</v>
      </c>
      <c r="E295" s="79">
        <f t="shared" si="159"/>
        <v>0</v>
      </c>
      <c r="F295" s="79">
        <f t="shared" si="159"/>
        <v>0</v>
      </c>
      <c r="G295" s="79">
        <f t="shared" si="159"/>
        <v>0</v>
      </c>
      <c r="H295" s="79">
        <f t="shared" si="159"/>
        <v>0</v>
      </c>
      <c r="I295" s="79">
        <f t="shared" si="159"/>
        <v>0</v>
      </c>
      <c r="J295" s="79">
        <f t="shared" si="159"/>
        <v>0</v>
      </c>
      <c r="K295" s="79">
        <f t="shared" si="159"/>
        <v>0</v>
      </c>
      <c r="L295" s="79">
        <f t="shared" si="159"/>
        <v>0</v>
      </c>
      <c r="M295" s="79">
        <f t="shared" si="159"/>
        <v>0</v>
      </c>
      <c r="N295" s="79">
        <f t="shared" si="159"/>
        <v>12.885999999999992</v>
      </c>
      <c r="O295" s="79">
        <f t="shared" si="159"/>
        <v>11.258000000000003</v>
      </c>
    </row>
    <row r="296" spans="1:15" x14ac:dyDescent="0.25">
      <c r="A296" s="77" t="s">
        <v>128</v>
      </c>
      <c r="B296" s="77" t="s">
        <v>133</v>
      </c>
      <c r="D296" s="79">
        <f t="shared" ref="D296:O296" si="160">D151-D163</f>
        <v>-0.27599999999999891</v>
      </c>
      <c r="E296" s="79">
        <f t="shared" si="160"/>
        <v>-0.27800000000000669</v>
      </c>
      <c r="F296" s="79">
        <f t="shared" si="160"/>
        <v>-0.32099999999999085</v>
      </c>
      <c r="G296" s="79">
        <f t="shared" si="160"/>
        <v>-0.3500000000000032</v>
      </c>
      <c r="H296" s="79">
        <f t="shared" si="160"/>
        <v>-0.34199999999998987</v>
      </c>
      <c r="I296" s="79">
        <f t="shared" si="160"/>
        <v>-0.3840000000000181</v>
      </c>
      <c r="J296" s="79">
        <f t="shared" si="160"/>
        <v>-0.36899999999999977</v>
      </c>
      <c r="K296" s="79">
        <f t="shared" si="160"/>
        <v>-0.43300000000001404</v>
      </c>
      <c r="L296" s="79">
        <f t="shared" si="160"/>
        <v>-0.45999999999998664</v>
      </c>
      <c r="M296" s="79">
        <f t="shared" si="160"/>
        <v>-0.54100000000000037</v>
      </c>
      <c r="N296" s="79">
        <f t="shared" si="160"/>
        <v>-0.4360000000000106</v>
      </c>
      <c r="O296" s="79">
        <f t="shared" si="160"/>
        <v>-0.43999999999999417</v>
      </c>
    </row>
    <row r="298" spans="1:15" x14ac:dyDescent="0.25">
      <c r="A298" s="76" t="s">
        <v>134</v>
      </c>
    </row>
    <row r="299" spans="1:15" x14ac:dyDescent="0.25">
      <c r="A299" s="78" t="s">
        <v>135</v>
      </c>
      <c r="B299" s="78" t="s">
        <v>136</v>
      </c>
      <c r="C299" s="78" t="s">
        <v>74</v>
      </c>
      <c r="D299" s="78" t="s">
        <v>137</v>
      </c>
      <c r="E299" s="78" t="s">
        <v>90</v>
      </c>
      <c r="F299" s="78" t="s">
        <v>91</v>
      </c>
      <c r="G299" s="78" t="s">
        <v>92</v>
      </c>
      <c r="H299" s="78" t="s">
        <v>93</v>
      </c>
      <c r="I299" s="78" t="s">
        <v>138</v>
      </c>
      <c r="J299" s="78" t="s">
        <v>139</v>
      </c>
      <c r="K299" s="78" t="s">
        <v>140</v>
      </c>
      <c r="L299" s="78" t="s">
        <v>141</v>
      </c>
      <c r="M299" s="78" t="s">
        <v>142</v>
      </c>
      <c r="N299" s="78" t="s">
        <v>143</v>
      </c>
      <c r="O299" s="78" t="s">
        <v>144</v>
      </c>
    </row>
    <row r="300" spans="1:15" x14ac:dyDescent="0.25">
      <c r="A300" s="77" t="s">
        <v>145</v>
      </c>
      <c r="B300" s="77" t="s">
        <v>146</v>
      </c>
      <c r="C300" s="77" t="s">
        <v>147</v>
      </c>
      <c r="D300" s="77">
        <v>1</v>
      </c>
      <c r="E300" s="79">
        <f>SUM(INDEX(Calc!$D$144:$O$144,mFrom):INDEX(Calc!$D$144:$O$144,mTo))</f>
        <v>415.57</v>
      </c>
      <c r="F300" s="79">
        <f>SUM(INDEX(Calc!$D$156:$O$156,mFrom):INDEX(Calc!$D$156:$O$156,mTo))</f>
        <v>416.42200000000008</v>
      </c>
      <c r="G300" s="79">
        <f>SUM(INDEX(Calc!$D$168:$O$168,mFrom):INDEX(Calc!$D$168:$O$168,mTo))</f>
        <v>416.00700000000001</v>
      </c>
      <c r="H300" s="79">
        <f>SUM(INDEX(Calc!$D$180:$O$180,mFrom):INDEX(Calc!$D$180:$O$180,mTo))</f>
        <v>384.51800000000003</v>
      </c>
      <c r="I300" s="79">
        <f t="shared" ref="I300:I324" si="161">(E300-F300)</f>
        <v>-0.85200000000008913</v>
      </c>
      <c r="J300" s="80">
        <f t="shared" ref="J300:J342" si="162">IFERROR((E300-F300)/ABS(F300),0)</f>
        <v>-2.0460014120293572E-3</v>
      </c>
      <c r="K300" s="79">
        <f t="shared" ref="K300:K324" si="163">(E300-G300)</f>
        <v>-0.43700000000001182</v>
      </c>
      <c r="L300" s="80">
        <f t="shared" ref="L300:L342" si="164">IFERROR((E300-G300)/ABS(G300),0)</f>
        <v>-1.0504630931691338E-3</v>
      </c>
      <c r="M300" s="79">
        <f t="shared" ref="M300:M324" si="165">(E300-H300)</f>
        <v>31.051999999999964</v>
      </c>
      <c r="N300" s="80">
        <f t="shared" ref="N300:N342" si="166">IFERROR((E300-H300)/ABS(H300),0)</f>
        <v>8.0755647329903826E-2</v>
      </c>
      <c r="O300" s="77">
        <f t="shared" ref="O300:O314" si="167">IF(1*(E300-F300)&gt;=0,3,IF(1*J300&gt;=-Tol,2,1))</f>
        <v>2</v>
      </c>
    </row>
    <row r="301" spans="1:15" x14ac:dyDescent="0.25">
      <c r="A301" s="77" t="s">
        <v>148</v>
      </c>
      <c r="B301" s="77" t="s">
        <v>149</v>
      </c>
      <c r="C301" s="77" t="s">
        <v>147</v>
      </c>
      <c r="D301" s="77">
        <v>1</v>
      </c>
      <c r="E301" s="79">
        <f>SUM(INDEX(Calc!$D$119:$O$119,mFrom):INDEX(Calc!$D$119:$O$119,mTo))</f>
        <v>504.21099999999996</v>
      </c>
      <c r="F301" s="79">
        <f>SUM(INDEX(Calc!$D$44:$O$44,mFrom):INDEX(Calc!$D$44:$O$44,mTo))</f>
        <v>504.00099999999998</v>
      </c>
      <c r="G301" s="79">
        <f>SUM(INDEX(Calc!$D$69:$O$69,mFrom):INDEX(Calc!$D$69:$O$69,mTo))</f>
        <v>504.40899999999993</v>
      </c>
      <c r="H301" s="79">
        <f>SUM(INDEX(Calc!$D$94:$O$94,mFrom):INDEX(Calc!$D$94:$O$94,mTo))</f>
        <v>463.39299999999997</v>
      </c>
      <c r="I301" s="79">
        <f t="shared" si="161"/>
        <v>0.20999999999997954</v>
      </c>
      <c r="J301" s="80">
        <f t="shared" si="162"/>
        <v>4.1666583994868969E-4</v>
      </c>
      <c r="K301" s="79">
        <f t="shared" si="163"/>
        <v>-0.19799999999997908</v>
      </c>
      <c r="L301" s="80">
        <f t="shared" si="164"/>
        <v>-3.9253859467213928E-4</v>
      </c>
      <c r="M301" s="79">
        <f t="shared" si="165"/>
        <v>40.817999999999984</v>
      </c>
      <c r="N301" s="80">
        <f t="shared" si="166"/>
        <v>8.808505954988527E-2</v>
      </c>
      <c r="O301" s="77">
        <f t="shared" si="167"/>
        <v>3</v>
      </c>
    </row>
    <row r="302" spans="1:15" x14ac:dyDescent="0.25">
      <c r="A302" s="77" t="s">
        <v>150</v>
      </c>
      <c r="B302" s="77" t="s">
        <v>151</v>
      </c>
      <c r="C302" s="77" t="s">
        <v>147</v>
      </c>
      <c r="D302" s="77">
        <v>1</v>
      </c>
      <c r="E302" s="79">
        <f>SUM(INDEX(Calc!$D$146:$O$146,mFrom):INDEX(Calc!$D$146:$O$146,mTo))</f>
        <v>233.07600000000002</v>
      </c>
      <c r="F302" s="79">
        <f>SUM(INDEX(Calc!$D$158:$O$158,mFrom):INDEX(Calc!$D$158:$O$158,mTo))</f>
        <v>237.29200000000003</v>
      </c>
      <c r="G302" s="79">
        <f>SUM(INDEX(Calc!$D$170:$O$170,mFrom):INDEX(Calc!$D$170:$O$170,mTo))</f>
        <v>234.35500000000002</v>
      </c>
      <c r="H302" s="79">
        <f>SUM(INDEX(Calc!$D$182:$O$182,mFrom):INDEX(Calc!$D$182:$O$182,mTo))</f>
        <v>222.42699999999996</v>
      </c>
      <c r="I302" s="79">
        <f t="shared" si="161"/>
        <v>-4.2160000000000082</v>
      </c>
      <c r="J302" s="80">
        <f t="shared" si="162"/>
        <v>-1.7767139220875579E-2</v>
      </c>
      <c r="K302" s="79">
        <f t="shared" si="163"/>
        <v>-1.2789999999999964</v>
      </c>
      <c r="L302" s="80">
        <f t="shared" si="164"/>
        <v>-5.4575323760960772E-3</v>
      </c>
      <c r="M302" s="79">
        <f t="shared" si="165"/>
        <v>10.649000000000058</v>
      </c>
      <c r="N302" s="80">
        <f t="shared" si="166"/>
        <v>4.7876381914066457E-2</v>
      </c>
      <c r="O302" s="77">
        <f t="shared" si="167"/>
        <v>2</v>
      </c>
    </row>
    <row r="303" spans="1:15" x14ac:dyDescent="0.25">
      <c r="A303" s="77" t="s">
        <v>152</v>
      </c>
      <c r="B303" s="77" t="s">
        <v>153</v>
      </c>
      <c r="C303" s="77" t="s">
        <v>147</v>
      </c>
      <c r="D303" s="77">
        <v>1</v>
      </c>
      <c r="E303" s="79">
        <f>SUM(INDEX(Calc!$D$147:$O$147,mFrom):INDEX(Calc!$D$147:$O$147,mTo))</f>
        <v>-35.659000000000006</v>
      </c>
      <c r="F303" s="79">
        <f>SUM(INDEX(Calc!$D$159:$O$159,mFrom):INDEX(Calc!$D$159:$O$159,mTo))</f>
        <v>-37.084999999999994</v>
      </c>
      <c r="G303" s="79">
        <f>SUM(INDEX(Calc!$D$171:$O$171,mFrom):INDEX(Calc!$D$171:$O$171,mTo))</f>
        <v>-36.067999999999998</v>
      </c>
      <c r="H303" s="79">
        <f>SUM(INDEX(Calc!$D$183:$O$183,mFrom):INDEX(Calc!$D$183:$O$183,mTo))</f>
        <v>-37.084999999999994</v>
      </c>
      <c r="I303" s="79">
        <f t="shared" si="161"/>
        <v>1.4259999999999877</v>
      </c>
      <c r="J303" s="80">
        <f t="shared" si="162"/>
        <v>3.8452204395307749E-2</v>
      </c>
      <c r="K303" s="79">
        <f t="shared" si="163"/>
        <v>0.40899999999999181</v>
      </c>
      <c r="L303" s="80">
        <f t="shared" si="164"/>
        <v>1.1339691693467668E-2</v>
      </c>
      <c r="M303" s="79">
        <f t="shared" si="165"/>
        <v>1.4259999999999877</v>
      </c>
      <c r="N303" s="80">
        <f t="shared" si="166"/>
        <v>3.8452204395307749E-2</v>
      </c>
      <c r="O303" s="77">
        <f t="shared" si="167"/>
        <v>3</v>
      </c>
    </row>
    <row r="304" spans="1:15" x14ac:dyDescent="0.25">
      <c r="A304" s="77" t="s">
        <v>154</v>
      </c>
      <c r="B304" s="77" t="s">
        <v>155</v>
      </c>
      <c r="C304" s="77" t="s">
        <v>147</v>
      </c>
      <c r="D304" s="77">
        <v>1</v>
      </c>
      <c r="E304" s="79">
        <f>SUM(INDEX(Calc!$D$148:$O$148,mFrom):INDEX(Calc!$D$148:$O$148,mTo))</f>
        <v>-38.822000000000003</v>
      </c>
      <c r="F304" s="79">
        <f>SUM(INDEX(Calc!$D$160:$O$160,mFrom):INDEX(Calc!$D$160:$O$160,mTo))</f>
        <v>-37.696000000000005</v>
      </c>
      <c r="G304" s="79">
        <f>SUM(INDEX(Calc!$D$172:$O$172,mFrom):INDEX(Calc!$D$172:$O$172,mTo))</f>
        <v>-38.531000000000006</v>
      </c>
      <c r="H304" s="79">
        <f>SUM(INDEX(Calc!$D$184:$O$184,mFrom):INDEX(Calc!$D$184:$O$184,mTo))</f>
        <v>-34.534999999999997</v>
      </c>
      <c r="I304" s="79">
        <f t="shared" si="161"/>
        <v>-1.1259999999999977</v>
      </c>
      <c r="J304" s="80">
        <f t="shared" si="162"/>
        <v>-2.9870543293718101E-2</v>
      </c>
      <c r="K304" s="79">
        <f t="shared" si="163"/>
        <v>-0.29099999999999682</v>
      </c>
      <c r="L304" s="80">
        <f t="shared" si="164"/>
        <v>-7.5523604370506025E-3</v>
      </c>
      <c r="M304" s="79">
        <f t="shared" si="165"/>
        <v>-4.2870000000000061</v>
      </c>
      <c r="N304" s="80">
        <f t="shared" si="166"/>
        <v>-0.12413493557260769</v>
      </c>
      <c r="O304" s="77">
        <f t="shared" si="167"/>
        <v>1</v>
      </c>
    </row>
    <row r="305" spans="1:15" x14ac:dyDescent="0.25">
      <c r="A305" s="77" t="s">
        <v>156</v>
      </c>
      <c r="B305" s="77" t="s">
        <v>157</v>
      </c>
      <c r="C305" s="77" t="s">
        <v>147</v>
      </c>
      <c r="D305" s="77">
        <v>1</v>
      </c>
      <c r="E305" s="79">
        <f>SUM(INDEX(Calc!$D$149:$O$149,mFrom):INDEX(Calc!$D$149:$O$149,mTo))</f>
        <v>158.595</v>
      </c>
      <c r="F305" s="79">
        <f>SUM(INDEX(Calc!$D$161:$O$161,mFrom):INDEX(Calc!$D$161:$O$161,mTo))</f>
        <v>162.511</v>
      </c>
      <c r="G305" s="79">
        <f>SUM(INDEX(Calc!$D$173:$O$173,mFrom):INDEX(Calc!$D$173:$O$173,mTo))</f>
        <v>159.75599999999997</v>
      </c>
      <c r="H305" s="79">
        <f>SUM(INDEX(Calc!$D$185:$O$185,mFrom):INDEX(Calc!$D$185:$O$185,mTo))</f>
        <v>150.80699999999996</v>
      </c>
      <c r="I305" s="79">
        <f t="shared" si="161"/>
        <v>-3.9159999999999968</v>
      </c>
      <c r="J305" s="80">
        <f t="shared" si="162"/>
        <v>-2.4096830368405812E-2</v>
      </c>
      <c r="K305" s="79">
        <f t="shared" si="163"/>
        <v>-1.1609999999999729</v>
      </c>
      <c r="L305" s="80">
        <f t="shared" si="164"/>
        <v>-7.2673326823404017E-3</v>
      </c>
      <c r="M305" s="79">
        <f t="shared" si="165"/>
        <v>7.7880000000000393</v>
      </c>
      <c r="N305" s="80">
        <f t="shared" si="166"/>
        <v>5.1642165151485286E-2</v>
      </c>
      <c r="O305" s="77">
        <f t="shared" si="167"/>
        <v>1</v>
      </c>
    </row>
    <row r="306" spans="1:15" x14ac:dyDescent="0.25">
      <c r="A306" s="77" t="s">
        <v>158</v>
      </c>
      <c r="B306" s="77" t="s">
        <v>97</v>
      </c>
      <c r="C306" s="77" t="s">
        <v>147</v>
      </c>
      <c r="D306" s="77">
        <v>1</v>
      </c>
      <c r="E306" s="79">
        <f>SUM(INDEX(Calc!$D$150:$O$150,mFrom):INDEX(Calc!$D$150:$O$150,mTo))</f>
        <v>-76.784999999999997</v>
      </c>
      <c r="F306" s="79">
        <f>SUM(INDEX(Calc!$D$162:$O$162,mFrom):INDEX(Calc!$D$162:$O$162,mTo))</f>
        <v>-76.947000000000017</v>
      </c>
      <c r="G306" s="79">
        <f>SUM(INDEX(Calc!$D$174:$O$174,mFrom):INDEX(Calc!$D$174:$O$174,mTo))</f>
        <v>-76.817000000000007</v>
      </c>
      <c r="H306" s="79">
        <f>SUM(INDEX(Calc!$D$186:$O$186,mFrom):INDEX(Calc!$D$186:$O$186,mTo))</f>
        <v>-73.486000000000004</v>
      </c>
      <c r="I306" s="79">
        <f t="shared" si="161"/>
        <v>0.16200000000002035</v>
      </c>
      <c r="J306" s="80">
        <f t="shared" si="162"/>
        <v>2.1053452376313606E-3</v>
      </c>
      <c r="K306" s="79">
        <f t="shared" si="163"/>
        <v>3.2000000000010687E-2</v>
      </c>
      <c r="L306" s="80">
        <f t="shared" si="164"/>
        <v>4.165744561752045E-4</v>
      </c>
      <c r="M306" s="79">
        <f t="shared" si="165"/>
        <v>-3.2989999999999924</v>
      </c>
      <c r="N306" s="80">
        <f t="shared" si="166"/>
        <v>-4.4892904770976676E-2</v>
      </c>
      <c r="O306" s="77">
        <f t="shared" si="167"/>
        <v>3</v>
      </c>
    </row>
    <row r="307" spans="1:15" x14ac:dyDescent="0.25">
      <c r="A307" s="77" t="s">
        <v>98</v>
      </c>
      <c r="B307" s="77" t="s">
        <v>98</v>
      </c>
      <c r="C307" s="77" t="s">
        <v>147</v>
      </c>
      <c r="D307" s="77">
        <v>1</v>
      </c>
      <c r="E307" s="79">
        <f>SUM(INDEX(Calc!$D$151:$O$151,mFrom):INDEX(Calc!$D$151:$O$151,mTo))</f>
        <v>81.81</v>
      </c>
      <c r="F307" s="79">
        <f>SUM(INDEX(Calc!$D$163:$O$163,mFrom):INDEX(Calc!$D$163:$O$163,mTo))</f>
        <v>85.564000000000007</v>
      </c>
      <c r="G307" s="79">
        <f>SUM(INDEX(Calc!$D$175:$O$175,mFrom):INDEX(Calc!$D$175:$O$175,mTo))</f>
        <v>82.938999999999993</v>
      </c>
      <c r="H307" s="79">
        <f>SUM(INDEX(Calc!$D$187:$O$187,mFrom):INDEX(Calc!$D$187:$O$187,mTo))</f>
        <v>77.32099999999997</v>
      </c>
      <c r="I307" s="79">
        <f t="shared" si="161"/>
        <v>-3.7540000000000049</v>
      </c>
      <c r="J307" s="80">
        <f t="shared" si="162"/>
        <v>-4.3873591697442905E-2</v>
      </c>
      <c r="K307" s="79">
        <f t="shared" si="163"/>
        <v>-1.1289999999999907</v>
      </c>
      <c r="L307" s="80">
        <f t="shared" si="164"/>
        <v>-1.361241394277711E-2</v>
      </c>
      <c r="M307" s="79">
        <f t="shared" si="165"/>
        <v>4.4890000000000327</v>
      </c>
      <c r="N307" s="80">
        <f t="shared" si="166"/>
        <v>5.805667283144339E-2</v>
      </c>
      <c r="O307" s="77">
        <f t="shared" si="167"/>
        <v>1</v>
      </c>
    </row>
    <row r="308" spans="1:15" x14ac:dyDescent="0.25">
      <c r="A308" s="77" t="s">
        <v>99</v>
      </c>
      <c r="B308" s="77" t="s">
        <v>99</v>
      </c>
      <c r="C308" s="77" t="s">
        <v>147</v>
      </c>
      <c r="D308" s="77">
        <v>1</v>
      </c>
      <c r="E308" s="79">
        <f>SUM(INDEX(Calc!$D$152:$O$152,mFrom):INDEX(Calc!$D$152:$O$152,mTo))</f>
        <v>67.010000000000005</v>
      </c>
      <c r="F308" s="79">
        <f>SUM(INDEX(Calc!$D$164:$O$164,mFrom):INDEX(Calc!$D$164:$O$164,mTo))</f>
        <v>70.76400000000001</v>
      </c>
      <c r="G308" s="79">
        <f>SUM(INDEX(Calc!$D$176:$O$176,mFrom):INDEX(Calc!$D$176:$O$176,mTo))</f>
        <v>68.138999999999996</v>
      </c>
      <c r="H308" s="79">
        <f>SUM(INDEX(Calc!$D$188:$O$188,mFrom):INDEX(Calc!$D$188:$O$188,mTo))</f>
        <v>63.190999999999974</v>
      </c>
      <c r="I308" s="79">
        <f t="shared" si="161"/>
        <v>-3.7540000000000049</v>
      </c>
      <c r="J308" s="80">
        <f t="shared" si="162"/>
        <v>-5.3049573229325707E-2</v>
      </c>
      <c r="K308" s="79">
        <f t="shared" si="163"/>
        <v>-1.1289999999999907</v>
      </c>
      <c r="L308" s="80">
        <f t="shared" si="164"/>
        <v>-1.6569072043910105E-2</v>
      </c>
      <c r="M308" s="79">
        <f t="shared" si="165"/>
        <v>3.819000000000031</v>
      </c>
      <c r="N308" s="80">
        <f t="shared" si="166"/>
        <v>6.0435821556867789E-2</v>
      </c>
      <c r="O308" s="77">
        <f t="shared" si="167"/>
        <v>1</v>
      </c>
    </row>
    <row r="309" spans="1:15" x14ac:dyDescent="0.25">
      <c r="A309" s="77" t="s">
        <v>159</v>
      </c>
      <c r="B309" s="77" t="s">
        <v>160</v>
      </c>
      <c r="C309" s="77" t="s">
        <v>147</v>
      </c>
      <c r="D309" s="77">
        <v>1</v>
      </c>
      <c r="E309" s="79">
        <f>SUM(INDEX(Calc!$D$154:$O$154,mFrom):INDEX(Calc!$D$154:$O$154,mTo))</f>
        <v>44.995000000000005</v>
      </c>
      <c r="F309" s="79">
        <f>SUM(INDEX(Calc!$D$166:$O$166,mFrom):INDEX(Calc!$D$166:$O$166,mTo))</f>
        <v>47.817000000000014</v>
      </c>
      <c r="G309" s="79">
        <f>SUM(INDEX(Calc!$D$178:$O$178,mFrom):INDEX(Calc!$D$178:$O$178,mTo))</f>
        <v>45.844000000000001</v>
      </c>
      <c r="H309" s="79">
        <f>SUM(INDEX(Calc!$D$190:$O$190,mFrom):INDEX(Calc!$D$190:$O$190,mTo))</f>
        <v>41.852999999999973</v>
      </c>
      <c r="I309" s="79">
        <f t="shared" si="161"/>
        <v>-2.8220000000000098</v>
      </c>
      <c r="J309" s="80">
        <f t="shared" si="162"/>
        <v>-5.9016667712320073E-2</v>
      </c>
      <c r="K309" s="79">
        <f t="shared" si="163"/>
        <v>-0.84899999999999665</v>
      </c>
      <c r="L309" s="80">
        <f t="shared" si="164"/>
        <v>-1.8519326411307841E-2</v>
      </c>
      <c r="M309" s="79">
        <f t="shared" si="165"/>
        <v>3.1420000000000314</v>
      </c>
      <c r="N309" s="80">
        <f t="shared" si="166"/>
        <v>7.5072276778248473E-2</v>
      </c>
      <c r="O309" s="77">
        <f t="shared" si="167"/>
        <v>1</v>
      </c>
    </row>
    <row r="310" spans="1:15" x14ac:dyDescent="0.25">
      <c r="A310" s="77" t="s">
        <v>161</v>
      </c>
      <c r="B310" s="77" t="s">
        <v>103</v>
      </c>
      <c r="C310" s="77" t="s">
        <v>147</v>
      </c>
      <c r="D310" s="77">
        <v>1</v>
      </c>
      <c r="E310" s="79">
        <f>SUM(INDEX(Calc!$D$192:$O$192,mFrom):INDEX(Calc!$D$192:$O$192,mTo))</f>
        <v>43.160000000000004</v>
      </c>
      <c r="F310" s="79">
        <f>SUM(INDEX(Calc!$D$217:$O$217,mFrom):INDEX(Calc!$D$217:$O$217,mTo))</f>
        <v>56.182000000000023</v>
      </c>
      <c r="G310" s="79">
        <f>SUM(INDEX(Calc!$D$242:$O$242,mFrom):INDEX(Calc!$D$242:$O$242,mTo))</f>
        <v>46.906999999999996</v>
      </c>
      <c r="H310" s="79">
        <f>SUM(INDEX(Calc!$D$267:$O$267,mFrom):INDEX(Calc!$D$267:$O$267,mTo))</f>
        <v>20.720999999999979</v>
      </c>
      <c r="I310" s="79">
        <f t="shared" si="161"/>
        <v>-13.02200000000002</v>
      </c>
      <c r="J310" s="80">
        <f t="shared" si="162"/>
        <v>-0.23178242141611219</v>
      </c>
      <c r="K310" s="79">
        <f t="shared" si="163"/>
        <v>-3.7469999999999928</v>
      </c>
      <c r="L310" s="80">
        <f t="shared" si="164"/>
        <v>-7.9881467584795293E-2</v>
      </c>
      <c r="M310" s="79">
        <f t="shared" si="165"/>
        <v>22.439000000000025</v>
      </c>
      <c r="N310" s="80">
        <f t="shared" si="166"/>
        <v>1.0829110564161983</v>
      </c>
      <c r="O310" s="77">
        <f t="shared" si="167"/>
        <v>1</v>
      </c>
    </row>
    <row r="311" spans="1:15" x14ac:dyDescent="0.25">
      <c r="A311" s="77" t="s">
        <v>162</v>
      </c>
      <c r="B311" s="77" t="s">
        <v>23</v>
      </c>
      <c r="C311" s="77" t="s">
        <v>147</v>
      </c>
      <c r="D311" s="77">
        <v>1</v>
      </c>
      <c r="E311" s="79">
        <f>SUM(INDEX(Calc!$D$136:$O$136,mFrom):INDEX(Calc!$D$136:$O$136,mTo))</f>
        <v>-13.352</v>
      </c>
      <c r="F311" s="79">
        <f>SUM(INDEX(Calc!$D$61:$O$61,mFrom):INDEX(Calc!$D$61:$O$61,mTo))</f>
        <v>-12.908000000000001</v>
      </c>
      <c r="G311" s="79">
        <f>SUM(INDEX(Calc!$D$86:$O$86,mFrom):INDEX(Calc!$D$86:$O$86,mTo))</f>
        <v>-13.270000000000001</v>
      </c>
      <c r="H311" s="79">
        <f>SUM(INDEX(Calc!$D$111:$O$111,mFrom):INDEX(Calc!$D$111:$O$111,mTo))</f>
        <v>-11.920000000000002</v>
      </c>
      <c r="I311" s="79">
        <f t="shared" si="161"/>
        <v>-0.44399999999999906</v>
      </c>
      <c r="J311" s="80">
        <f t="shared" si="162"/>
        <v>-3.4397273008986602E-2</v>
      </c>
      <c r="K311" s="79">
        <f t="shared" si="163"/>
        <v>-8.1999999999998963E-2</v>
      </c>
      <c r="L311" s="80">
        <f t="shared" si="164"/>
        <v>-6.1793519216276531E-3</v>
      </c>
      <c r="M311" s="79">
        <f t="shared" si="165"/>
        <v>-1.4319999999999986</v>
      </c>
      <c r="N311" s="80">
        <f t="shared" si="166"/>
        <v>-0.12013422818791933</v>
      </c>
      <c r="O311" s="77">
        <f t="shared" si="167"/>
        <v>1</v>
      </c>
    </row>
    <row r="312" spans="1:15" x14ac:dyDescent="0.25">
      <c r="A312" s="77" t="s">
        <v>163</v>
      </c>
      <c r="B312" s="77" t="s">
        <v>164</v>
      </c>
      <c r="C312" s="77" t="s">
        <v>147</v>
      </c>
      <c r="D312" s="77">
        <v>1</v>
      </c>
      <c r="E312" s="79">
        <f>SUM(INDEX(Calc!$D$134:$O$134,mFrom):INDEX(Calc!$D$134:$O$134,mTo))</f>
        <v>-7.0110000000000001</v>
      </c>
      <c r="F312" s="79">
        <f>SUM(INDEX(Calc!$D$59:$O$59,mFrom):INDEX(Calc!$D$59:$O$59,mTo))</f>
        <v>-7.0110000000000001</v>
      </c>
      <c r="G312" s="79">
        <f>SUM(INDEX(Calc!$D$84:$O$84,mFrom):INDEX(Calc!$D$84:$O$84,mTo))</f>
        <v>-7.0110000000000001</v>
      </c>
      <c r="H312" s="79">
        <f>SUM(INDEX(Calc!$D$109:$O$109,mFrom):INDEX(Calc!$D$109:$O$109,mTo))</f>
        <v>-7.3879999999999999</v>
      </c>
      <c r="I312" s="79">
        <f t="shared" si="161"/>
        <v>0</v>
      </c>
      <c r="J312" s="80">
        <f t="shared" si="162"/>
        <v>0</v>
      </c>
      <c r="K312" s="79">
        <f t="shared" si="163"/>
        <v>0</v>
      </c>
      <c r="L312" s="80">
        <f t="shared" si="164"/>
        <v>0</v>
      </c>
      <c r="M312" s="79">
        <f t="shared" si="165"/>
        <v>0.37699999999999978</v>
      </c>
      <c r="N312" s="80">
        <f t="shared" si="166"/>
        <v>5.1028695181375171E-2</v>
      </c>
      <c r="O312" s="77">
        <f t="shared" si="167"/>
        <v>3</v>
      </c>
    </row>
    <row r="313" spans="1:15" x14ac:dyDescent="0.25">
      <c r="A313" s="77" t="s">
        <v>165</v>
      </c>
      <c r="B313" s="77" t="s">
        <v>166</v>
      </c>
      <c r="C313" s="77" t="s">
        <v>167</v>
      </c>
      <c r="D313" s="77">
        <v>1</v>
      </c>
      <c r="E313" s="79">
        <f>SUM(INDEX(Calc!$D$118:$O$118,mFrom):INDEX(Calc!$D$118:$O$118,mTo))</f>
        <v>52604.6</v>
      </c>
      <c r="F313" s="79">
        <f>SUM(INDEX(Calc!$D$43:$O$43,mFrom):INDEX(Calc!$D$43:$O$43,mTo))</f>
        <v>52974.3</v>
      </c>
      <c r="G313" s="79">
        <f>SUM(INDEX(Calc!$D$68:$O$68,mFrom):INDEX(Calc!$D$68:$O$68,mTo))</f>
        <v>52742.3</v>
      </c>
      <c r="H313" s="79">
        <f>SUM(INDEX(Calc!$D$93:$O$93,mFrom):INDEX(Calc!$D$93:$O$93,mTo))</f>
        <v>49700.499999999993</v>
      </c>
      <c r="I313" s="79">
        <f t="shared" si="161"/>
        <v>-369.70000000000437</v>
      </c>
      <c r="J313" s="80">
        <f t="shared" si="162"/>
        <v>-6.9788557847862897E-3</v>
      </c>
      <c r="K313" s="79">
        <f t="shared" si="163"/>
        <v>-137.70000000000437</v>
      </c>
      <c r="L313" s="80">
        <f t="shared" si="164"/>
        <v>-2.6108076439594853E-3</v>
      </c>
      <c r="M313" s="79">
        <f t="shared" si="165"/>
        <v>2904.1000000000058</v>
      </c>
      <c r="N313" s="80">
        <f t="shared" si="166"/>
        <v>5.8432007726280544E-2</v>
      </c>
      <c r="O313" s="77">
        <f t="shared" si="167"/>
        <v>2</v>
      </c>
    </row>
    <row r="314" spans="1:15" x14ac:dyDescent="0.25">
      <c r="A314" s="77" t="s">
        <v>168</v>
      </c>
      <c r="B314" s="77" t="s">
        <v>169</v>
      </c>
      <c r="C314" s="77" t="s">
        <v>147</v>
      </c>
      <c r="D314" s="77">
        <v>1</v>
      </c>
      <c r="E314" s="79">
        <f>SUM(INDEX(Calc!$D$120:$O$120,mFrom):INDEX(Calc!$D$120:$O$120,mTo))+SUM(INDEX(Calc!$D$121:$O$121,mFrom):INDEX(Calc!$D$121:$O$121,mTo))</f>
        <v>-88.64100000000002</v>
      </c>
      <c r="F314" s="79">
        <f>SUM(INDEX(Calc!$D$45:$O$45,mFrom):INDEX(Calc!$D$45:$O$45,mTo))+SUM(INDEX(Calc!$D$46:$O$46,mFrom):INDEX(Calc!$D$46:$O$46,mTo))</f>
        <v>-87.579000000000008</v>
      </c>
      <c r="G314" s="79">
        <f>SUM(INDEX(Calc!$D$70:$O$70,mFrom):INDEX(Calc!$D$70:$O$70,mTo))+SUM(INDEX(Calc!$D$71:$O$71,mFrom):INDEX(Calc!$D$71:$O$71,mTo))</f>
        <v>-88.402000000000001</v>
      </c>
      <c r="H314" s="79">
        <f>SUM(INDEX(Calc!$D$95:$O$95,mFrom):INDEX(Calc!$D$95:$O$95,mTo))+SUM(INDEX(Calc!$D$96:$O$96,mFrom):INDEX(Calc!$D$96:$O$96,mTo))</f>
        <v>-78.875</v>
      </c>
      <c r="I314" s="79">
        <f t="shared" si="161"/>
        <v>-1.0620000000000118</v>
      </c>
      <c r="J314" s="80">
        <f t="shared" si="162"/>
        <v>-1.2126194635700473E-2</v>
      </c>
      <c r="K314" s="79">
        <f t="shared" si="163"/>
        <v>-0.23900000000001853</v>
      </c>
      <c r="L314" s="80">
        <f t="shared" si="164"/>
        <v>-2.7035587430150735E-3</v>
      </c>
      <c r="M314" s="79">
        <f t="shared" si="165"/>
        <v>-9.7660000000000196</v>
      </c>
      <c r="N314" s="80">
        <f t="shared" si="166"/>
        <v>-0.12381616481774985</v>
      </c>
      <c r="O314" s="77">
        <f t="shared" si="167"/>
        <v>2</v>
      </c>
    </row>
    <row r="315" spans="1:15" x14ac:dyDescent="0.25">
      <c r="A315" s="77" t="s">
        <v>102</v>
      </c>
      <c r="B315" s="77" t="s">
        <v>170</v>
      </c>
      <c r="C315" s="77" t="s">
        <v>147</v>
      </c>
      <c r="D315" s="77">
        <v>-1</v>
      </c>
      <c r="E315" s="79">
        <f>INDEX(Calc!$D$155:$O$155,mTo)</f>
        <v>98.070999999999998</v>
      </c>
      <c r="F315" s="79">
        <f>INDEX(Calc!$D$167:$O$167,mTo)</f>
        <v>88.314999999999998</v>
      </c>
      <c r="G315" s="79">
        <f>INDEX(Calc!$D$179:$O$179,mTo)</f>
        <v>95.25500000000001</v>
      </c>
      <c r="H315" s="79">
        <f>INDEX(Calc!$D$191:$O$191,mTo)</f>
        <v>81.562999999999988</v>
      </c>
      <c r="I315" s="79">
        <f t="shared" si="161"/>
        <v>9.7560000000000002</v>
      </c>
      <c r="J315" s="80">
        <f t="shared" si="162"/>
        <v>0.11046821038328711</v>
      </c>
      <c r="K315" s="79">
        <f t="shared" si="163"/>
        <v>2.8159999999999883</v>
      </c>
      <c r="L315" s="80">
        <f t="shared" si="164"/>
        <v>2.956275261141135E-2</v>
      </c>
      <c r="M315" s="79">
        <f t="shared" si="165"/>
        <v>16.50800000000001</v>
      </c>
      <c r="N315" s="80">
        <f t="shared" si="166"/>
        <v>0.20239569412601316</v>
      </c>
      <c r="O315" s="77">
        <f>IF(-1*(E315-F315)&gt;=0,3,IF(-1*J315&gt;=-Tol,2,1))</f>
        <v>1</v>
      </c>
    </row>
    <row r="316" spans="1:15" x14ac:dyDescent="0.25">
      <c r="A316" s="77" t="s">
        <v>171</v>
      </c>
      <c r="B316" s="77" t="s">
        <v>172</v>
      </c>
      <c r="C316" s="77" t="s">
        <v>147</v>
      </c>
      <c r="D316" s="77">
        <v>1</v>
      </c>
      <c r="E316" s="79">
        <f>INDEX(Calc!$D$195:$O$195,mTo)</f>
        <v>511.36799999999999</v>
      </c>
      <c r="F316" s="79">
        <f>INDEX(Calc!$D$220:$O$220,mTo)</f>
        <v>512.22</v>
      </c>
      <c r="G316" s="79">
        <f>INDEX(Calc!$D$245:$O$245,mTo)</f>
        <v>511.80500000000001</v>
      </c>
      <c r="H316" s="79">
        <f>INDEX(Calc!$D$270:$O$270,mTo)</f>
        <v>480.31599999999997</v>
      </c>
      <c r="I316" s="79">
        <f t="shared" si="161"/>
        <v>-0.85200000000003229</v>
      </c>
      <c r="J316" s="80">
        <f t="shared" si="162"/>
        <v>-1.6633477802507365E-3</v>
      </c>
      <c r="K316" s="79">
        <f t="shared" si="163"/>
        <v>-0.43700000000001182</v>
      </c>
      <c r="L316" s="80">
        <f t="shared" si="164"/>
        <v>-8.5384081828042283E-4</v>
      </c>
      <c r="M316" s="79">
        <f t="shared" si="165"/>
        <v>31.052000000000021</v>
      </c>
      <c r="N316" s="80">
        <f t="shared" si="166"/>
        <v>6.4649106005213286E-2</v>
      </c>
      <c r="O316" s="77">
        <f>IF(1*(E316-F316)&gt;=0,3,IF(1*J316&gt;=-Tol,2,1))</f>
        <v>2</v>
      </c>
    </row>
    <row r="317" spans="1:15" x14ac:dyDescent="0.25">
      <c r="A317" s="77" t="s">
        <v>173</v>
      </c>
      <c r="B317" s="77" t="s">
        <v>105</v>
      </c>
      <c r="C317" s="77" t="s">
        <v>147</v>
      </c>
      <c r="D317" s="77">
        <v>1</v>
      </c>
      <c r="E317" s="79">
        <f>INDEX(Calc!$D$194:$O$194,mTo)</f>
        <v>104.46600000000001</v>
      </c>
      <c r="F317" s="79">
        <f>INDEX(Calc!$D$219:$O$219,mTo)</f>
        <v>108.22</v>
      </c>
      <c r="G317" s="79">
        <f>INDEX(Calc!$D$244:$O$244,mTo)</f>
        <v>105.595</v>
      </c>
      <c r="H317" s="79">
        <f>INDEX(Calc!$D$269:$O$269,mTo)</f>
        <v>99.976999999999961</v>
      </c>
      <c r="I317" s="79">
        <f t="shared" si="161"/>
        <v>-3.7539999999999907</v>
      </c>
      <c r="J317" s="80">
        <f t="shared" si="162"/>
        <v>-3.4688597301792558E-2</v>
      </c>
      <c r="K317" s="79">
        <f t="shared" si="163"/>
        <v>-1.1289999999999907</v>
      </c>
      <c r="L317" s="80">
        <f t="shared" si="164"/>
        <v>-1.0691794119039639E-2</v>
      </c>
      <c r="M317" s="79">
        <f t="shared" si="165"/>
        <v>4.489000000000047</v>
      </c>
      <c r="N317" s="80">
        <f t="shared" si="166"/>
        <v>4.4900327075227786E-2</v>
      </c>
      <c r="O317" s="77">
        <f>IF(1*(E317-F317)&gt;=0,3,IF(1*J317&gt;=-Tol,2,1))</f>
        <v>1</v>
      </c>
    </row>
    <row r="318" spans="1:15" x14ac:dyDescent="0.25">
      <c r="A318" s="77" t="s">
        <v>174</v>
      </c>
      <c r="B318" s="77" t="s">
        <v>27</v>
      </c>
      <c r="C318" s="77" t="s">
        <v>147</v>
      </c>
      <c r="D318" s="77">
        <v>1</v>
      </c>
      <c r="E318" s="79">
        <f>INDEX(Calc!$D$140:$O$140,mTo)</f>
        <v>56.825000000000003</v>
      </c>
      <c r="F318" s="79">
        <f>INDEX(Calc!$D$65:$O$65,mTo)</f>
        <v>69.814999999999998</v>
      </c>
      <c r="G318" s="79">
        <f>INDEX(Calc!$D$90:$O$90,mTo)</f>
        <v>60.555999999999997</v>
      </c>
      <c r="H318" s="79">
        <f>INDEX(Calc!$D$115:$O$115,mTo)</f>
        <v>41.225000000000001</v>
      </c>
      <c r="I318" s="79">
        <f t="shared" si="161"/>
        <v>-12.989999999999995</v>
      </c>
      <c r="J318" s="80">
        <f t="shared" si="162"/>
        <v>-0.18606316694120167</v>
      </c>
      <c r="K318" s="79">
        <f t="shared" si="163"/>
        <v>-3.7309999999999945</v>
      </c>
      <c r="L318" s="80">
        <f t="shared" si="164"/>
        <v>-6.1612391835656165E-2</v>
      </c>
      <c r="M318" s="79">
        <f t="shared" si="165"/>
        <v>15.600000000000001</v>
      </c>
      <c r="N318" s="80">
        <f t="shared" si="166"/>
        <v>0.37841115827774413</v>
      </c>
      <c r="O318" s="77">
        <f>IF(1*(E318-F318)&gt;=0,3,IF(1*J318&gt;=-Tol,2,1))</f>
        <v>1</v>
      </c>
    </row>
    <row r="319" spans="1:15" x14ac:dyDescent="0.25">
      <c r="A319" s="77" t="s">
        <v>175</v>
      </c>
      <c r="B319" s="77" t="s">
        <v>176</v>
      </c>
      <c r="C319" s="77" t="s">
        <v>147</v>
      </c>
      <c r="D319" s="77">
        <v>-1</v>
      </c>
      <c r="E319" s="79">
        <f>INDEX(Calc!$D$193:$O$193,mTo)</f>
        <v>125.675</v>
      </c>
      <c r="F319" s="79">
        <f>INDEX(Calc!$D$218:$O$218,mTo)</f>
        <v>112.685</v>
      </c>
      <c r="G319" s="79">
        <f>INDEX(Calc!$D$243:$O$243,mTo)</f>
        <v>121.944</v>
      </c>
      <c r="H319" s="79">
        <f>INDEX(Calc!$D$268:$O$268,mTo)</f>
        <v>151.27500000000001</v>
      </c>
      <c r="I319" s="79">
        <f t="shared" si="161"/>
        <v>12.989999999999995</v>
      </c>
      <c r="J319" s="80">
        <f t="shared" si="162"/>
        <v>0.11527709988019696</v>
      </c>
      <c r="K319" s="79">
        <f t="shared" si="163"/>
        <v>3.7309999999999945</v>
      </c>
      <c r="L319" s="80">
        <f t="shared" si="164"/>
        <v>3.059601128386796E-2</v>
      </c>
      <c r="M319" s="79">
        <f t="shared" si="165"/>
        <v>-25.600000000000009</v>
      </c>
      <c r="N319" s="80">
        <f t="shared" si="166"/>
        <v>-0.16922822673938198</v>
      </c>
      <c r="O319" s="77">
        <f>IF(-1*(E319-F319)&gt;=0,3,IF(-1*J319&gt;=-Tol,2,1))</f>
        <v>1</v>
      </c>
    </row>
    <row r="320" spans="1:15" x14ac:dyDescent="0.25">
      <c r="A320" s="77" t="s">
        <v>107</v>
      </c>
      <c r="B320" s="77" t="s">
        <v>107</v>
      </c>
      <c r="C320" s="77" t="s">
        <v>177</v>
      </c>
      <c r="D320" s="77">
        <v>-1</v>
      </c>
      <c r="E320" s="79">
        <f>INDEX(Calc!$D$196:$O$196,mTo)</f>
        <v>48.148776844738244</v>
      </c>
      <c r="F320" s="79">
        <f>INDEX(Calc!$D$221:$O$221,mTo)</f>
        <v>45.715512039619739</v>
      </c>
      <c r="G320" s="79">
        <f>INDEX(Calc!$D$246:$O$246,mTo)</f>
        <v>47.297772076117162</v>
      </c>
      <c r="H320" s="79">
        <f>INDEX(Calc!$D$271:$O$271,mTo)</f>
        <v>46.038410830898286</v>
      </c>
      <c r="I320" s="79">
        <f t="shared" si="161"/>
        <v>2.4332648051185046</v>
      </c>
      <c r="J320" s="80">
        <f t="shared" si="162"/>
        <v>5.3226239771955196E-2</v>
      </c>
      <c r="K320" s="79">
        <f t="shared" si="163"/>
        <v>0.8510047686210811</v>
      </c>
      <c r="L320" s="80">
        <f t="shared" si="164"/>
        <v>1.7992491638962268E-2</v>
      </c>
      <c r="M320" s="79">
        <f t="shared" si="165"/>
        <v>2.1103660138399576</v>
      </c>
      <c r="N320" s="80">
        <f t="shared" si="166"/>
        <v>4.5839245442060382E-2</v>
      </c>
      <c r="O320" s="77">
        <f>IF(-1*(E320-F320)&gt;=0,3,IF(-1*J320&gt;=-Tol,2,1))</f>
        <v>1</v>
      </c>
    </row>
    <row r="321" spans="1:15" x14ac:dyDescent="0.25">
      <c r="A321" s="77" t="s">
        <v>108</v>
      </c>
      <c r="B321" s="77" t="s">
        <v>108</v>
      </c>
      <c r="C321" s="77" t="s">
        <v>177</v>
      </c>
      <c r="D321" s="77">
        <v>-1</v>
      </c>
      <c r="E321" s="79">
        <f>INDEX(Calc!$D$197:$O$197,mTo)</f>
        <v>96.834320682247238</v>
      </c>
      <c r="F321" s="79">
        <f>INDEX(Calc!$D$222:$O$222,mTo)</f>
        <v>90.121254632080465</v>
      </c>
      <c r="G321" s="79">
        <f>INDEX(Calc!$D$247:$O$247,mTo)</f>
        <v>94.911056703554976</v>
      </c>
      <c r="H321" s="79">
        <f>INDEX(Calc!$D$272:$O$272,mTo)</f>
        <v>90.089248943913105</v>
      </c>
      <c r="I321" s="79">
        <f t="shared" si="161"/>
        <v>6.7130660501667734</v>
      </c>
      <c r="J321" s="80">
        <f t="shared" si="162"/>
        <v>7.4489265352250464E-2</v>
      </c>
      <c r="K321" s="79">
        <f t="shared" si="163"/>
        <v>1.9232639786922618</v>
      </c>
      <c r="L321" s="80">
        <f t="shared" si="164"/>
        <v>2.0263855924598766E-2</v>
      </c>
      <c r="M321" s="79">
        <f t="shared" si="165"/>
        <v>6.7450717383341328</v>
      </c>
      <c r="N321" s="80">
        <f t="shared" si="166"/>
        <v>7.4870995345220542E-2</v>
      </c>
      <c r="O321" s="77">
        <f>IF(-1*(E321-F321)&gt;=0,3,IF(-1*J321&gt;=-Tol,2,1))</f>
        <v>1</v>
      </c>
    </row>
    <row r="322" spans="1:15" x14ac:dyDescent="0.25">
      <c r="A322" s="77" t="s">
        <v>109</v>
      </c>
      <c r="B322" s="77" t="s">
        <v>109</v>
      </c>
      <c r="C322" s="77" t="s">
        <v>177</v>
      </c>
      <c r="D322" s="77">
        <v>1</v>
      </c>
      <c r="E322" s="79">
        <f>INDEX(Calc!$D$198:$O$198,mTo)</f>
        <v>60.917752750471976</v>
      </c>
      <c r="F322" s="79">
        <f>INDEX(Calc!$D$223:$O$223,mTo)</f>
        <v>63.16167284277396</v>
      </c>
      <c r="G322" s="79">
        <f>INDEX(Calc!$D$248:$O$248,mTo)</f>
        <v>61.435628244050534</v>
      </c>
      <c r="H322" s="79">
        <f>INDEX(Calc!$D$273:$O$273,mTo)</f>
        <v>63.257772982462555</v>
      </c>
      <c r="I322" s="79">
        <f t="shared" si="161"/>
        <v>-2.243920092301984</v>
      </c>
      <c r="J322" s="80">
        <f t="shared" si="162"/>
        <v>-3.552660959261944E-2</v>
      </c>
      <c r="K322" s="79">
        <f t="shared" si="163"/>
        <v>-0.51787549357855767</v>
      </c>
      <c r="L322" s="80">
        <f t="shared" si="164"/>
        <v>-8.4295629161846991E-3</v>
      </c>
      <c r="M322" s="79">
        <f t="shared" si="165"/>
        <v>-2.3400202319905787</v>
      </c>
      <c r="N322" s="80">
        <f t="shared" si="166"/>
        <v>-3.6991821268183449E-2</v>
      </c>
      <c r="O322" s="77">
        <f>IF(1*(E322-F322)&gt;=0,3,IF(1*J322&gt;=-Tol,2,1))</f>
        <v>1</v>
      </c>
    </row>
    <row r="323" spans="1:15" x14ac:dyDescent="0.25">
      <c r="A323" s="77" t="s">
        <v>178</v>
      </c>
      <c r="B323" s="77" t="s">
        <v>179</v>
      </c>
      <c r="C323" s="77" t="s">
        <v>180</v>
      </c>
      <c r="D323" s="77">
        <v>-1</v>
      </c>
      <c r="E323" s="79">
        <f>INDEX(Calc!$D$142:$O$142,mTo)</f>
        <v>1197</v>
      </c>
      <c r="F323" s="79">
        <f>INDEX(Calc!$D$67:$O$67,mTo)</f>
        <v>1196</v>
      </c>
      <c r="G323" s="79">
        <f>INDEX(Calc!$D$92:$O$92,mTo)</f>
        <v>1197</v>
      </c>
      <c r="H323" s="79">
        <f>INDEX(Calc!$D$117:$O$117,mTo)</f>
        <v>1161</v>
      </c>
      <c r="I323" s="79">
        <f t="shared" si="161"/>
        <v>1</v>
      </c>
      <c r="J323" s="80">
        <f t="shared" si="162"/>
        <v>8.3612040133779263E-4</v>
      </c>
      <c r="K323" s="79">
        <f t="shared" si="163"/>
        <v>0</v>
      </c>
      <c r="L323" s="80">
        <f t="shared" si="164"/>
        <v>0</v>
      </c>
      <c r="M323" s="79">
        <f t="shared" si="165"/>
        <v>36</v>
      </c>
      <c r="N323" s="80">
        <f t="shared" si="166"/>
        <v>3.1007751937984496E-2</v>
      </c>
      <c r="O323" s="77">
        <f>IF(-1*(E323-F323)&gt;=0,3,IF(-1*J323&gt;=-Tol,2,1))</f>
        <v>2</v>
      </c>
    </row>
    <row r="324" spans="1:15" x14ac:dyDescent="0.25">
      <c r="A324" s="77" t="s">
        <v>181</v>
      </c>
      <c r="B324" s="77" t="s">
        <v>182</v>
      </c>
      <c r="C324" s="77" t="s">
        <v>167</v>
      </c>
      <c r="D324" s="77">
        <v>1</v>
      </c>
      <c r="E324" s="79">
        <f>IFERROR(E300*Unit/E313,0)</f>
        <v>7.8998794782205364</v>
      </c>
      <c r="F324" s="79">
        <f>IFERROR(F300*Unit/F313,0)</f>
        <v>7.8608306291918915</v>
      </c>
      <c r="G324" s="79">
        <f>IFERROR(G300*Unit/G313,0)</f>
        <v>7.8875399821395726</v>
      </c>
      <c r="H324" s="79">
        <f>IFERROR(H300*Unit/H313,0)</f>
        <v>7.7367028500719321</v>
      </c>
      <c r="I324" s="79">
        <f t="shared" si="161"/>
        <v>3.9048849028644916E-2</v>
      </c>
      <c r="J324" s="80">
        <f t="shared" si="162"/>
        <v>4.9675219923494543E-3</v>
      </c>
      <c r="K324" s="79">
        <f t="shared" si="163"/>
        <v>1.2339496080963741E-2</v>
      </c>
      <c r="L324" s="80">
        <f t="shared" si="164"/>
        <v>1.564428973913934E-3</v>
      </c>
      <c r="M324" s="79">
        <f t="shared" si="165"/>
        <v>0.16317662814860423</v>
      </c>
      <c r="N324" s="80">
        <f t="shared" si="166"/>
        <v>2.1091236320015458E-2</v>
      </c>
      <c r="O324" s="77">
        <f>IF(1*(E324-F324)&gt;=0,3,IF(1*J324&gt;=-Tol,2,1))</f>
        <v>3</v>
      </c>
    </row>
    <row r="325" spans="1:15" x14ac:dyDescent="0.25">
      <c r="A325" s="77" t="s">
        <v>183</v>
      </c>
      <c r="B325" s="77" t="s">
        <v>184</v>
      </c>
      <c r="C325" s="77" t="s">
        <v>185</v>
      </c>
      <c r="D325" s="77">
        <v>-1</v>
      </c>
      <c r="E325" s="80">
        <f>IFERROR(-E314/E301,0)</f>
        <v>0.17580140060411223</v>
      </c>
      <c r="F325" s="80">
        <f>IFERROR(-F314/F301,0)</f>
        <v>0.17376751236604693</v>
      </c>
      <c r="G325" s="80">
        <f>IFERROR(-G314/G301,0)</f>
        <v>0.17525856993035416</v>
      </c>
      <c r="H325" s="80">
        <f>IFERROR(-H314/H301,0)</f>
        <v>0.17021189357629485</v>
      </c>
      <c r="I325" s="79">
        <f t="shared" ref="I325:I335" si="168">(E325-F325)*100</f>
        <v>0.20338882380653012</v>
      </c>
      <c r="J325" s="80">
        <f t="shared" si="162"/>
        <v>1.1704651867150227E-2</v>
      </c>
      <c r="K325" s="79">
        <f t="shared" ref="K325:K335" si="169">(E325-G325)*100</f>
        <v>5.4283067375807126E-2</v>
      </c>
      <c r="L325" s="80">
        <f t="shared" si="164"/>
        <v>3.0973131526394757E-3</v>
      </c>
      <c r="M325" s="79">
        <f t="shared" ref="M325:M335" si="170">(E325-H325)*100</f>
        <v>0.55895070278173808</v>
      </c>
      <c r="N325" s="80">
        <f t="shared" si="166"/>
        <v>3.2838522093710042E-2</v>
      </c>
      <c r="O325" s="77">
        <f>IF(-1*(E325-F325)&gt;=0,3,IF(-1*J325&gt;=-Tol,2,1))</f>
        <v>2</v>
      </c>
    </row>
    <row r="326" spans="1:15" x14ac:dyDescent="0.25">
      <c r="A326" s="77" t="s">
        <v>186</v>
      </c>
      <c r="B326" s="77" t="s">
        <v>187</v>
      </c>
      <c r="C326" s="77" t="s">
        <v>185</v>
      </c>
      <c r="D326" s="77">
        <v>1</v>
      </c>
      <c r="E326" s="80">
        <f>IFERROR(E302/E300,0)</f>
        <v>0.56085857978198628</v>
      </c>
      <c r="F326" s="80">
        <f>IFERROR(F302/F300,0)</f>
        <v>0.56983540735119653</v>
      </c>
      <c r="G326" s="80">
        <f>IFERROR(G302/G300,0)</f>
        <v>0.56334388604037922</v>
      </c>
      <c r="H326" s="80">
        <f>IFERROR(H302/H300,0)</f>
        <v>0.5784566652276355</v>
      </c>
      <c r="I326" s="79">
        <f t="shared" si="168"/>
        <v>-0.8976827569210255</v>
      </c>
      <c r="J326" s="80">
        <f t="shared" si="162"/>
        <v>-1.5753369224523681E-2</v>
      </c>
      <c r="K326" s="79">
        <f t="shared" si="169"/>
        <v>-0.24853062583929386</v>
      </c>
      <c r="L326" s="80">
        <f t="shared" si="164"/>
        <v>-4.4117036147522824E-3</v>
      </c>
      <c r="M326" s="79">
        <f t="shared" si="170"/>
        <v>-1.7598085445649225</v>
      </c>
      <c r="N326" s="80">
        <f t="shared" si="166"/>
        <v>-3.0422478473342493E-2</v>
      </c>
      <c r="O326" s="77">
        <f>IF(1*(E326-F326)&gt;=0,3,IF(1*J326&gt;=-Tol,2,1))</f>
        <v>2</v>
      </c>
    </row>
    <row r="327" spans="1:15" x14ac:dyDescent="0.25">
      <c r="A327" s="77" t="s">
        <v>188</v>
      </c>
      <c r="B327" s="77" t="s">
        <v>189</v>
      </c>
      <c r="C327" s="77" t="s">
        <v>185</v>
      </c>
      <c r="D327" s="77">
        <v>0</v>
      </c>
      <c r="E327" s="80">
        <f>IFERROR(-E303/E300,0)</f>
        <v>8.5807445195755241E-2</v>
      </c>
      <c r="F327" s="80">
        <f>IFERROR(-F303/F300,0)</f>
        <v>8.9056293855752061E-2</v>
      </c>
      <c r="G327" s="80">
        <f>IFERROR(-G303/G300,0)</f>
        <v>8.670046417488167E-2</v>
      </c>
      <c r="H327" s="80">
        <f>IFERROR(-H303/H300,0)</f>
        <v>9.6445419980338995E-2</v>
      </c>
      <c r="I327" s="79">
        <f t="shared" si="168"/>
        <v>-0.32488486599968197</v>
      </c>
      <c r="J327" s="80">
        <f t="shared" si="162"/>
        <v>-3.6480842839239483E-2</v>
      </c>
      <c r="K327" s="79">
        <f t="shared" si="169"/>
        <v>-8.9301897912642814E-2</v>
      </c>
      <c r="L327" s="80">
        <f t="shared" si="164"/>
        <v>-1.0300048421022735E-2</v>
      </c>
      <c r="M327" s="79">
        <f t="shared" si="170"/>
        <v>-1.0637974784583752</v>
      </c>
      <c r="N327" s="80">
        <f t="shared" si="166"/>
        <v>-0.1103004661782008</v>
      </c>
      <c r="O327" s="77">
        <v>0</v>
      </c>
    </row>
    <row r="328" spans="1:15" x14ac:dyDescent="0.25">
      <c r="A328" s="77" t="s">
        <v>190</v>
      </c>
      <c r="B328" s="77" t="s">
        <v>191</v>
      </c>
      <c r="C328" s="77" t="s">
        <v>185</v>
      </c>
      <c r="D328" s="77">
        <v>-1</v>
      </c>
      <c r="E328" s="80">
        <f>IFERROR(-E304/E300,0)</f>
        <v>9.3418677960391758E-2</v>
      </c>
      <c r="F328" s="80">
        <f>IFERROR(-F304/F300,0)</f>
        <v>9.0523555431749517E-2</v>
      </c>
      <c r="G328" s="80">
        <f>IFERROR(-G304/G300,0)</f>
        <v>9.2621037626770722E-2</v>
      </c>
      <c r="H328" s="80">
        <f>IFERROR(-H304/H300,0)</f>
        <v>8.9813740839180464E-2</v>
      </c>
      <c r="I328" s="79">
        <f t="shared" si="168"/>
        <v>0.28951225286422411</v>
      </c>
      <c r="J328" s="80">
        <f t="shared" si="162"/>
        <v>3.1981979881744997E-2</v>
      </c>
      <c r="K328" s="79">
        <f t="shared" si="169"/>
        <v>7.9764033362103581E-2</v>
      </c>
      <c r="L328" s="80">
        <f t="shared" si="164"/>
        <v>8.6118699817987129E-3</v>
      </c>
      <c r="M328" s="79">
        <f t="shared" si="170"/>
        <v>0.36049371212112935</v>
      </c>
      <c r="N328" s="80">
        <f t="shared" si="166"/>
        <v>4.0137924192092785E-2</v>
      </c>
      <c r="O328" s="77">
        <f>IF(-1*(E328-F328)&gt;=0,3,IF(-1*J328&gt;=-Tol,2,1))</f>
        <v>1</v>
      </c>
    </row>
    <row r="329" spans="1:15" x14ac:dyDescent="0.25">
      <c r="A329" s="77" t="s">
        <v>192</v>
      </c>
      <c r="B329" s="77" t="s">
        <v>193</v>
      </c>
      <c r="C329" s="77" t="s">
        <v>185</v>
      </c>
      <c r="D329" s="77">
        <v>1</v>
      </c>
      <c r="E329" s="80">
        <f>IFERROR(E305/E300,0)</f>
        <v>0.38163245662583922</v>
      </c>
      <c r="F329" s="80">
        <f>IFERROR(F305/F300,0)</f>
        <v>0.39025555806369494</v>
      </c>
      <c r="G329" s="80">
        <f>IFERROR(G305/G300,0)</f>
        <v>0.3840223842387267</v>
      </c>
      <c r="H329" s="80">
        <f>IFERROR(H305/H300,0)</f>
        <v>0.39219750440811602</v>
      </c>
      <c r="I329" s="79">
        <f t="shared" si="168"/>
        <v>-0.8623101437855718</v>
      </c>
      <c r="J329" s="80">
        <f t="shared" si="162"/>
        <v>-2.2096037480261364E-2</v>
      </c>
      <c r="K329" s="79">
        <f t="shared" si="169"/>
        <v>-0.23899276128874769</v>
      </c>
      <c r="L329" s="80">
        <f t="shared" si="164"/>
        <v>-6.2234070485896039E-3</v>
      </c>
      <c r="M329" s="79">
        <f t="shared" si="170"/>
        <v>-1.0565047782276793</v>
      </c>
      <c r="N329" s="80">
        <f t="shared" si="166"/>
        <v>-2.693808008345441E-2</v>
      </c>
      <c r="O329" s="77">
        <f>IF(1*(E329-F329)&gt;=0,3,IF(1*J329&gt;=-Tol,2,1))</f>
        <v>1</v>
      </c>
    </row>
    <row r="330" spans="1:15" x14ac:dyDescent="0.25">
      <c r="A330" s="77" t="s">
        <v>194</v>
      </c>
      <c r="B330" s="77" t="s">
        <v>195</v>
      </c>
      <c r="C330" s="77" t="s">
        <v>185</v>
      </c>
      <c r="D330" s="77">
        <v>-1</v>
      </c>
      <c r="E330" s="80">
        <f>IFERROR(-E306/E300,0)</f>
        <v>0.18477031547031786</v>
      </c>
      <c r="F330" s="80">
        <f>IFERROR(-F306/F300,0)</f>
        <v>0.18478130358146305</v>
      </c>
      <c r="G330" s="80">
        <f>IFERROR(-G306/G300,0)</f>
        <v>0.18465314285576928</v>
      </c>
      <c r="H330" s="80">
        <f>IFERROR(-H306/H300,0)</f>
        <v>0.19111198955575551</v>
      </c>
      <c r="I330" s="79">
        <f t="shared" si="168"/>
        <v>-1.0988111145193713E-3</v>
      </c>
      <c r="J330" s="80">
        <f t="shared" si="162"/>
        <v>-5.9465492082912342E-5</v>
      </c>
      <c r="K330" s="79">
        <f t="shared" si="169"/>
        <v>1.1717261454857741E-2</v>
      </c>
      <c r="L330" s="80">
        <f t="shared" si="164"/>
        <v>6.3455521382649717E-4</v>
      </c>
      <c r="M330" s="79">
        <f t="shared" si="170"/>
        <v>-0.63416740854376485</v>
      </c>
      <c r="N330" s="80">
        <f t="shared" si="166"/>
        <v>-3.3183025827835423E-2</v>
      </c>
      <c r="O330" s="77">
        <f>IF(-1*(E330-F330)&gt;=0,3,IF(-1*J330&gt;=-Tol,2,1))</f>
        <v>3</v>
      </c>
    </row>
    <row r="331" spans="1:15" x14ac:dyDescent="0.25">
      <c r="A331" s="77" t="s">
        <v>196</v>
      </c>
      <c r="B331" s="77" t="s">
        <v>197</v>
      </c>
      <c r="C331" s="77" t="s">
        <v>185</v>
      </c>
      <c r="D331" s="77">
        <v>1</v>
      </c>
      <c r="E331" s="80">
        <f>IFERROR(E307/E300,0)</f>
        <v>0.19686214115552134</v>
      </c>
      <c r="F331" s="80">
        <f>IFERROR(F307/F300,0)</f>
        <v>0.20547425448223194</v>
      </c>
      <c r="G331" s="80">
        <f>IFERROR(G307/G300,0)</f>
        <v>0.19936924138295747</v>
      </c>
      <c r="H331" s="80">
        <f>IFERROR(H307/H300,0)</f>
        <v>0.20108551485236054</v>
      </c>
      <c r="I331" s="79">
        <f t="shared" si="168"/>
        <v>-0.86121133267106076</v>
      </c>
      <c r="J331" s="80">
        <f t="shared" si="162"/>
        <v>-4.1913345048565809E-2</v>
      </c>
      <c r="K331" s="79">
        <f t="shared" si="169"/>
        <v>-0.25071002274361376</v>
      </c>
      <c r="L331" s="80">
        <f t="shared" si="164"/>
        <v>-1.2575160591700231E-2</v>
      </c>
      <c r="M331" s="79">
        <f t="shared" si="170"/>
        <v>-0.42233736968391999</v>
      </c>
      <c r="N331" s="80">
        <f t="shared" si="166"/>
        <v>-2.1002873826789826E-2</v>
      </c>
      <c r="O331" s="77">
        <f>IF(1*(E331-F331)&gt;=0,3,IF(1*J331&gt;=-Tol,2,1))</f>
        <v>1</v>
      </c>
    </row>
    <row r="332" spans="1:15" x14ac:dyDescent="0.25">
      <c r="A332" s="77" t="s">
        <v>198</v>
      </c>
      <c r="B332" s="77" t="s">
        <v>199</v>
      </c>
      <c r="C332" s="77" t="s">
        <v>185</v>
      </c>
      <c r="D332" s="77">
        <v>1</v>
      </c>
      <c r="E332" s="80">
        <f>IFERROR(E308/E300,0)</f>
        <v>0.16124840580407634</v>
      </c>
      <c r="F332" s="80">
        <f>IFERROR(F308/F300,0)</f>
        <v>0.16993338488360366</v>
      </c>
      <c r="G332" s="80">
        <f>IFERROR(G308/G300,0)</f>
        <v>0.16379291694610906</v>
      </c>
      <c r="H332" s="80">
        <f>IFERROR(H308/H300,0)</f>
        <v>0.16433821043488203</v>
      </c>
      <c r="I332" s="79">
        <f t="shared" si="168"/>
        <v>-0.86849790795273107</v>
      </c>
      <c r="J332" s="80">
        <f t="shared" si="162"/>
        <v>-5.1108139142147443E-2</v>
      </c>
      <c r="K332" s="79">
        <f t="shared" si="169"/>
        <v>-0.25445111420327182</v>
      </c>
      <c r="L332" s="80">
        <f t="shared" si="164"/>
        <v>-1.5534927819069918E-2</v>
      </c>
      <c r="M332" s="79">
        <f t="shared" si="170"/>
        <v>-0.3089804630805687</v>
      </c>
      <c r="N332" s="80">
        <f t="shared" si="166"/>
        <v>-1.880149858410441E-2</v>
      </c>
      <c r="O332" s="77">
        <f>IF(1*(E332-F332)&gt;=0,3,IF(1*J332&gt;=-Tol,2,1))</f>
        <v>1</v>
      </c>
    </row>
    <row r="333" spans="1:15" x14ac:dyDescent="0.25">
      <c r="A333" s="77" t="s">
        <v>200</v>
      </c>
      <c r="B333" s="77" t="s">
        <v>201</v>
      </c>
      <c r="C333" s="77" t="s">
        <v>185</v>
      </c>
      <c r="D333" s="77">
        <v>1</v>
      </c>
      <c r="E333" s="80">
        <f>IFERROR(E309/E300,0)</f>
        <v>0.10827297446880189</v>
      </c>
      <c r="F333" s="80">
        <f>IFERROR(F309/F300,0)</f>
        <v>0.11482822713497366</v>
      </c>
      <c r="G333" s="80">
        <f>IFERROR(G309/G300,0)</f>
        <v>0.11020006874884317</v>
      </c>
      <c r="H333" s="80">
        <f>IFERROR(H309/H300,0)</f>
        <v>0.10884535964506205</v>
      </c>
      <c r="I333" s="79">
        <f t="shared" si="168"/>
        <v>-0.65552526661717681</v>
      </c>
      <c r="J333" s="80">
        <f t="shared" si="162"/>
        <v>-5.7087467339075638E-2</v>
      </c>
      <c r="K333" s="79">
        <f t="shared" si="169"/>
        <v>-0.19270942800412721</v>
      </c>
      <c r="L333" s="80">
        <f t="shared" si="164"/>
        <v>-1.7487233011018444E-2</v>
      </c>
      <c r="M333" s="79">
        <f t="shared" si="170"/>
        <v>-5.7238517626015395E-2</v>
      </c>
      <c r="N333" s="80">
        <f t="shared" si="166"/>
        <v>-5.2587007670944026E-3</v>
      </c>
      <c r="O333" s="77">
        <f>IF(1*(E333-F333)&gt;=0,3,IF(1*J333&gt;=-Tol,2,1))</f>
        <v>1</v>
      </c>
    </row>
    <row r="334" spans="1:15" x14ac:dyDescent="0.25">
      <c r="A334" s="77" t="s">
        <v>202</v>
      </c>
      <c r="B334" s="77" t="s">
        <v>203</v>
      </c>
      <c r="C334" s="77" t="s">
        <v>185</v>
      </c>
      <c r="D334" s="77">
        <v>1</v>
      </c>
      <c r="E334" s="80">
        <f>IFERROR(E310/E307,0)</f>
        <v>0.52756386749786088</v>
      </c>
      <c r="F334" s="80">
        <f>IFERROR(F310/F307,0)</f>
        <v>0.65660791921836303</v>
      </c>
      <c r="G334" s="80">
        <f>IFERROR(G310/G307,0)</f>
        <v>0.56556023101315422</v>
      </c>
      <c r="H334" s="80">
        <f>IFERROR(H310/H307,0)</f>
        <v>0.26798670477619257</v>
      </c>
      <c r="I334" s="79">
        <f t="shared" si="168"/>
        <v>-12.904405172050215</v>
      </c>
      <c r="J334" s="80">
        <f t="shared" si="162"/>
        <v>-0.19653136665503262</v>
      </c>
      <c r="K334" s="79">
        <f t="shared" si="169"/>
        <v>-3.7996363515293341</v>
      </c>
      <c r="L334" s="80">
        <f t="shared" si="164"/>
        <v>-6.7183584403072344E-2</v>
      </c>
      <c r="M334" s="79">
        <f t="shared" si="170"/>
        <v>25.957716272166831</v>
      </c>
      <c r="N334" s="80">
        <f t="shared" si="166"/>
        <v>0.96861955498297037</v>
      </c>
      <c r="O334" s="77">
        <f>IF(1*(E334-F334)&gt;=0,3,IF(1*J334&gt;=-Tol,2,1))</f>
        <v>1</v>
      </c>
    </row>
    <row r="335" spans="1:15" x14ac:dyDescent="0.25">
      <c r="A335" s="77" t="s">
        <v>204</v>
      </c>
      <c r="B335" s="77" t="s">
        <v>205</v>
      </c>
      <c r="C335" s="77" t="s">
        <v>185</v>
      </c>
      <c r="D335" s="77">
        <v>-1</v>
      </c>
      <c r="E335" s="80">
        <f>IFERROR(E315/E316,0)</f>
        <v>0.19178165235212216</v>
      </c>
      <c r="F335" s="80">
        <f>IFERROR(F315/F316,0)</f>
        <v>0.17241614931084298</v>
      </c>
      <c r="G335" s="80">
        <f>IFERROR(G315/G316,0)</f>
        <v>0.18611580582448395</v>
      </c>
      <c r="H335" s="80">
        <f>IFERROR(H315/H316,0)</f>
        <v>0.16981112434314075</v>
      </c>
      <c r="I335" s="79">
        <f t="shared" si="168"/>
        <v>1.936550304127918</v>
      </c>
      <c r="J335" s="80">
        <f t="shared" si="162"/>
        <v>0.1123183826960768</v>
      </c>
      <c r="K335" s="79">
        <f t="shared" si="169"/>
        <v>0.56658465276382131</v>
      </c>
      <c r="L335" s="80">
        <f t="shared" si="164"/>
        <v>3.0442586552704588E-2</v>
      </c>
      <c r="M335" s="79">
        <f t="shared" si="170"/>
        <v>2.1970528008981418</v>
      </c>
      <c r="N335" s="80">
        <f t="shared" si="166"/>
        <v>0.12938214792445005</v>
      </c>
      <c r="O335" s="77">
        <f>IF(-1*(E335-F335)&gt;=0,3,IF(-1*J335&gt;=-Tol,2,1))</f>
        <v>1</v>
      </c>
    </row>
    <row r="336" spans="1:15" x14ac:dyDescent="0.25">
      <c r="A336" s="77" t="s">
        <v>110</v>
      </c>
      <c r="B336" s="77" t="s">
        <v>206</v>
      </c>
      <c r="C336" s="77" t="s">
        <v>177</v>
      </c>
      <c r="D336" s="77">
        <v>-1</v>
      </c>
      <c r="E336" s="79">
        <f>E320+E321-E322</f>
        <v>84.065344776513513</v>
      </c>
      <c r="F336" s="79">
        <f>F320+F321-F322</f>
        <v>72.675093828926265</v>
      </c>
      <c r="G336" s="79">
        <f>G320+G321-G322</f>
        <v>80.773200535621598</v>
      </c>
      <c r="H336" s="79">
        <f>H320+H321-H322</f>
        <v>72.869886792348822</v>
      </c>
      <c r="I336" s="79">
        <f>(E336-F336)</f>
        <v>11.390250947587248</v>
      </c>
      <c r="J336" s="80">
        <f t="shared" si="162"/>
        <v>0.15672839686178267</v>
      </c>
      <c r="K336" s="79">
        <f>(E336-G336)</f>
        <v>3.2921442408919148</v>
      </c>
      <c r="L336" s="80">
        <f t="shared" si="164"/>
        <v>4.0757877848854755E-2</v>
      </c>
      <c r="M336" s="79">
        <f>(E336-H336)</f>
        <v>11.19545798416469</v>
      </c>
      <c r="N336" s="80">
        <f t="shared" si="166"/>
        <v>0.15363627524312537</v>
      </c>
      <c r="O336" s="77">
        <f>IF(-1*(E336-F336)&gt;=0,3,IF(-1*J336&gt;=-Tol,2,1))</f>
        <v>1</v>
      </c>
    </row>
    <row r="337" spans="1:15" x14ac:dyDescent="0.25">
      <c r="A337" s="77" t="s">
        <v>207</v>
      </c>
      <c r="B337" s="77" t="s">
        <v>208</v>
      </c>
      <c r="C337" s="77" t="s">
        <v>185</v>
      </c>
      <c r="D337" s="77">
        <v>0</v>
      </c>
      <c r="E337" s="80">
        <f>IFERROR(-E311/E300,0)</f>
        <v>3.2129364487330656E-2</v>
      </c>
      <c r="F337" s="80">
        <f>IFERROR(-F311/F300,0)</f>
        <v>3.0997401674263125E-2</v>
      </c>
      <c r="G337" s="80">
        <f>IFERROR(-G311/G300,0)</f>
        <v>3.1898501707903953E-2</v>
      </c>
      <c r="H337" s="80">
        <f>IFERROR(-H311/H300,0)</f>
        <v>3.0999849161807772E-2</v>
      </c>
      <c r="I337" s="79">
        <f>(E337-F337)*100</f>
        <v>0.11319628130675302</v>
      </c>
      <c r="J337" s="80">
        <f t="shared" si="162"/>
        <v>3.651799028069469E-2</v>
      </c>
      <c r="K337" s="79">
        <f>(E337-G337)*100</f>
        <v>2.3086277942670208E-2</v>
      </c>
      <c r="L337" s="80">
        <f t="shared" si="164"/>
        <v>7.2374176549332364E-3</v>
      </c>
      <c r="M337" s="79">
        <f>(E337-H337)*100</f>
        <v>0.1129515325522884</v>
      </c>
      <c r="N337" s="80">
        <f t="shared" si="166"/>
        <v>3.6436155531829557E-2</v>
      </c>
      <c r="O337" s="77">
        <v>0</v>
      </c>
    </row>
    <row r="338" spans="1:15" x14ac:dyDescent="0.25">
      <c r="A338" s="77" t="s">
        <v>209</v>
      </c>
      <c r="B338" s="77" t="s">
        <v>210</v>
      </c>
      <c r="C338" s="77" t="s">
        <v>211</v>
      </c>
      <c r="D338" s="77">
        <v>-1</v>
      </c>
      <c r="E338" s="79">
        <f>IFERROR(E319/E317,0)</f>
        <v>1.2030229931269503</v>
      </c>
      <c r="F338" s="79">
        <f>IFERROR(F319/F317,0)</f>
        <v>1.0412585474034375</v>
      </c>
      <c r="G338" s="79">
        <f>IFERROR(G319/G317,0)</f>
        <v>1.1548274066006914</v>
      </c>
      <c r="H338" s="79">
        <f>IFERROR(H319/H317,0)</f>
        <v>1.5130980125428855</v>
      </c>
      <c r="I338" s="79">
        <f>(E338-F338)</f>
        <v>0.16176444572351278</v>
      </c>
      <c r="J338" s="80">
        <f t="shared" si="162"/>
        <v>0.1553547350241696</v>
      </c>
      <c r="K338" s="79">
        <f>(E338-G338)</f>
        <v>4.8195586526258882E-2</v>
      </c>
      <c r="L338" s="80">
        <f t="shared" si="164"/>
        <v>4.1734016919572153E-2</v>
      </c>
      <c r="M338" s="79">
        <f>(E338-H338)</f>
        <v>-0.31007501941593518</v>
      </c>
      <c r="N338" s="80">
        <f t="shared" si="166"/>
        <v>-0.20492725312276938</v>
      </c>
      <c r="O338" s="77">
        <f>IF(-1*(E338-F338)&gt;=0,3,IF(-1*J338&gt;=-Tol,2,1))</f>
        <v>1</v>
      </c>
    </row>
    <row r="339" spans="1:15" x14ac:dyDescent="0.25">
      <c r="A339" s="77" t="s">
        <v>212</v>
      </c>
      <c r="B339" s="77" t="s">
        <v>213</v>
      </c>
      <c r="C339" s="77" t="s">
        <v>211</v>
      </c>
      <c r="D339" s="77">
        <v>1</v>
      </c>
      <c r="E339" s="79">
        <f>IFERROR(-E307/E312,0)</f>
        <v>11.668806161745827</v>
      </c>
      <c r="F339" s="79">
        <f>IFERROR(-F307/F312,0)</f>
        <v>12.204250463557267</v>
      </c>
      <c r="G339" s="79">
        <f>IFERROR(-G307/G312,0)</f>
        <v>11.829838824704035</v>
      </c>
      <c r="H339" s="79">
        <f>IFERROR(-H307/H312,0)</f>
        <v>10.465755278830532</v>
      </c>
      <c r="I339" s="79">
        <f>(E339-F339)</f>
        <v>-0.53544430181143987</v>
      </c>
      <c r="J339" s="80">
        <f t="shared" si="162"/>
        <v>-4.3873591697442905E-2</v>
      </c>
      <c r="K339" s="79">
        <f>(E339-G339)</f>
        <v>-0.16103266295820795</v>
      </c>
      <c r="L339" s="80">
        <f t="shared" si="164"/>
        <v>-1.3612413942777174E-2</v>
      </c>
      <c r="M339" s="79">
        <f>(E339-H339)</f>
        <v>1.2030508829152957</v>
      </c>
      <c r="N339" s="80">
        <f t="shared" si="166"/>
        <v>0.11495117656235962</v>
      </c>
      <c r="O339" s="77">
        <f>IF(1*(E339-F339)&gt;=0,3,IF(1*J339&gt;=-Tol,2,1))</f>
        <v>1</v>
      </c>
    </row>
    <row r="340" spans="1:15" x14ac:dyDescent="0.25">
      <c r="A340" s="77" t="s">
        <v>214</v>
      </c>
      <c r="B340" s="77" t="s">
        <v>215</v>
      </c>
      <c r="C340" s="77" t="s">
        <v>167</v>
      </c>
      <c r="D340" s="77">
        <v>1</v>
      </c>
      <c r="E340" s="79">
        <f>IFERROR(E316*Unit/E323,0)</f>
        <v>427.2080200501253</v>
      </c>
      <c r="F340" s="79">
        <f>IFERROR(F316*Unit/F323,0)</f>
        <v>428.27759197324417</v>
      </c>
      <c r="G340" s="79">
        <f>IFERROR(G316*Unit/G323,0)</f>
        <v>427.57309941520469</v>
      </c>
      <c r="H340" s="79">
        <f>IFERROR(H316*Unit/H323,0)</f>
        <v>413.70887166236002</v>
      </c>
      <c r="I340" s="79">
        <f>(E340-F340)</f>
        <v>-1.0695719231188718</v>
      </c>
      <c r="J340" s="80">
        <f t="shared" si="162"/>
        <v>-2.4973800711611625E-3</v>
      </c>
      <c r="K340" s="79">
        <f>(E340-G340)</f>
        <v>-0.36507936507939576</v>
      </c>
      <c r="L340" s="80">
        <f t="shared" si="164"/>
        <v>-8.5384081828047151E-4</v>
      </c>
      <c r="M340" s="79">
        <f>(E340-H340)</f>
        <v>13.499148387765274</v>
      </c>
      <c r="N340" s="80">
        <f t="shared" si="166"/>
        <v>3.2629584020094027E-2</v>
      </c>
      <c r="O340" s="77">
        <f>IF(1*(E340-F340)&gt;=0,3,IF(1*J340&gt;=-Tol,2,1))</f>
        <v>2</v>
      </c>
    </row>
    <row r="341" spans="1:15" x14ac:dyDescent="0.25">
      <c r="A341" s="77" t="s">
        <v>216</v>
      </c>
      <c r="B341" s="77" t="s">
        <v>217</v>
      </c>
      <c r="C341" s="77" t="s">
        <v>185</v>
      </c>
      <c r="D341" s="77">
        <v>1</v>
      </c>
      <c r="E341" s="80">
        <f>IFERROR(1-ABS(E300-G300)/ABS(G300),0)</f>
        <v>0.99894953690683086</v>
      </c>
      <c r="F341" s="80">
        <f>FATarget</f>
        <v>0.97</v>
      </c>
      <c r="G341" s="80">
        <f>0</f>
        <v>0</v>
      </c>
      <c r="H341" s="80">
        <f>0</f>
        <v>0</v>
      </c>
      <c r="I341" s="79">
        <f>(E341-F341)*100</f>
        <v>2.8949536906830886</v>
      </c>
      <c r="J341" s="80">
        <f t="shared" si="162"/>
        <v>2.9844883409104007E-2</v>
      </c>
      <c r="K341" s="79">
        <f>(E341-G341)*100</f>
        <v>99.894953690683082</v>
      </c>
      <c r="L341" s="80">
        <f t="shared" si="164"/>
        <v>0</v>
      </c>
      <c r="M341" s="79">
        <f>(E341-H341)*100</f>
        <v>99.894953690683082</v>
      </c>
      <c r="N341" s="80">
        <f t="shared" si="166"/>
        <v>0</v>
      </c>
      <c r="O341" s="77">
        <f>IF(1*(E341-F341)&gt;=0,3,IF(1*J341&gt;=-Tol,2,1))</f>
        <v>3</v>
      </c>
    </row>
    <row r="342" spans="1:15" x14ac:dyDescent="0.25">
      <c r="A342" s="77" t="s">
        <v>218</v>
      </c>
      <c r="B342" s="77" t="s">
        <v>219</v>
      </c>
      <c r="C342" s="77" t="s">
        <v>185</v>
      </c>
      <c r="D342" s="77">
        <v>1</v>
      </c>
      <c r="E342" s="80">
        <f>IFERROR(1-ABS(E307-G307)/ABS(G307),0)</f>
        <v>0.98638758605722288</v>
      </c>
      <c r="F342" s="80">
        <f>FATarget</f>
        <v>0.97</v>
      </c>
      <c r="G342" s="80">
        <f>0</f>
        <v>0</v>
      </c>
      <c r="H342" s="80">
        <f>0</f>
        <v>0</v>
      </c>
      <c r="I342" s="79">
        <f>(E342-F342)*100</f>
        <v>1.6387586057222903</v>
      </c>
      <c r="J342" s="80">
        <f t="shared" si="162"/>
        <v>1.6894418615693716E-2</v>
      </c>
      <c r="K342" s="79">
        <f>(E342-G342)*100</f>
        <v>98.638758605722288</v>
      </c>
      <c r="L342" s="80">
        <f t="shared" si="164"/>
        <v>0</v>
      </c>
      <c r="M342" s="79">
        <f>(E342-H342)*100</f>
        <v>98.638758605722288</v>
      </c>
      <c r="N342" s="80">
        <f t="shared" si="166"/>
        <v>0</v>
      </c>
      <c r="O342" s="77">
        <f>IF(1*(E342-F342)&gt;=0,3,IF(1*J342&gt;=-Tol,2,1))</f>
        <v>3</v>
      </c>
    </row>
    <row r="344" spans="1:15" x14ac:dyDescent="0.25">
      <c r="A344" s="76" t="s">
        <v>220</v>
      </c>
    </row>
    <row r="345" spans="1:15" x14ac:dyDescent="0.25">
      <c r="A345" s="78" t="s">
        <v>221</v>
      </c>
      <c r="B345" s="78" t="s">
        <v>222</v>
      </c>
      <c r="C345" s="78" t="s">
        <v>5</v>
      </c>
      <c r="D345" s="78" t="s">
        <v>6</v>
      </c>
      <c r="E345" s="78" t="s">
        <v>7</v>
      </c>
      <c r="F345" s="78" t="s">
        <v>8</v>
      </c>
      <c r="G345" s="78" t="s">
        <v>30</v>
      </c>
      <c r="H345" s="78" t="s">
        <v>31</v>
      </c>
      <c r="I345" s="78" t="s">
        <v>32</v>
      </c>
      <c r="J345" s="78" t="s">
        <v>33</v>
      </c>
      <c r="K345" s="78" t="s">
        <v>34</v>
      </c>
      <c r="L345" s="78" t="s">
        <v>35</v>
      </c>
      <c r="M345" s="78" t="s">
        <v>223</v>
      </c>
      <c r="N345" s="78" t="s">
        <v>224</v>
      </c>
    </row>
    <row r="346" spans="1:15" x14ac:dyDescent="0.25">
      <c r="A346" s="77" t="s">
        <v>90</v>
      </c>
      <c r="B346" s="77" t="str">
        <f>INDEX(lstChannel,1)</f>
        <v>Hypermarkets</v>
      </c>
      <c r="C346" s="79">
        <f>(SUMIFS(tblData[Units],tblData[Scenario],"Actual",tblData[Year],selFY,tblData[Month],"&gt;="&amp;mFrom,tblData[Month],"&lt;="&amp;MIN(mTo,mSel),tblData[Channel],$B346)+SUMIFS(tblData[Units],tblData[Scenario],"Forecast",tblData[Year],selFY,tblData[Month],"&gt;="&amp;MAX(mFrom,mSel+1),tblData[Month],"&lt;="&amp;mTo,tblData[Channel],$B346))</f>
        <v>15114.900000000001</v>
      </c>
      <c r="D346" s="79">
        <f>(SUMIFS(tblData[Gross Sales],tblData[Scenario],"Actual",tblData[Year],selFY,tblData[Month],"&gt;="&amp;mFrom,tblData[Month],"&lt;="&amp;MIN(mTo,mSel),tblData[Channel],$B346)+SUMIFS(tblData[Gross Sales],tblData[Scenario],"Forecast",tblData[Year],selFY,tblData[Month],"&gt;="&amp;MAX(mFrom,mSel+1),tblData[Month],"&lt;="&amp;mTo,tblData[Channel],$B346))/Unit</f>
        <v>144.81700000000001</v>
      </c>
      <c r="E346" s="79">
        <f>(SUMIFS(tblData[Trade Discounts],tblData[Scenario],"Actual",tblData[Year],selFY,tblData[Month],"&gt;="&amp;mFrom,tblData[Month],"&lt;="&amp;MIN(mTo,mSel),tblData[Channel],$B346)+SUMIFS(tblData[Trade Discounts],tblData[Scenario],"Forecast",tblData[Year],selFY,tblData[Month],"&gt;="&amp;MAX(mFrom,mSel+1),tblData[Month],"&lt;="&amp;mTo,tblData[Channel],$B346))/Unit</f>
        <v>-28.385000000000002</v>
      </c>
      <c r="F346" s="79">
        <f>(SUMIFS(tblData[Returns],tblData[Scenario],"Actual",tblData[Year],selFY,tblData[Month],"&gt;="&amp;mFrom,tblData[Month],"&lt;="&amp;MIN(mTo,mSel),tblData[Channel],$B346)+SUMIFS(tblData[Returns],tblData[Scenario],"Forecast",tblData[Year],selFY,tblData[Month],"&gt;="&amp;MAX(mFrom,mSel+1),tblData[Month],"&lt;="&amp;mTo,tblData[Channel],$B346))/Unit</f>
        <v>-2.1749999999999998</v>
      </c>
      <c r="G346" s="79">
        <f>(SUMIFS(tblData[Net Revenue],tblData[Scenario],"Actual",tblData[Year],selFY,tblData[Month],"&gt;="&amp;mFrom,tblData[Month],"&lt;="&amp;MIN(mTo,mSel),tblData[Channel],$B346)+SUMIFS(tblData[Net Revenue],tblData[Scenario],"Forecast",tblData[Year],selFY,tblData[Month],"&gt;="&amp;MAX(mFrom,mSel+1),tblData[Month],"&lt;="&amp;mTo,tblData[Channel],$B346))/Unit</f>
        <v>114.25700000000001</v>
      </c>
      <c r="H346" s="79">
        <f>(SUMIFS(tblData[COGS],tblData[Scenario],"Actual",tblData[Year],selFY,tblData[Month],"&gt;="&amp;mFrom,tblData[Month],"&lt;="&amp;MIN(mTo,mSel),tblData[Channel],$B346)+SUMIFS(tblData[COGS],tblData[Scenario],"Forecast",tblData[Year],selFY,tblData[Month],"&gt;="&amp;MAX(mFrom,mSel+1),tblData[Month],"&lt;="&amp;mTo,tblData[Channel],$B346))/Unit</f>
        <v>-52.405000000000001</v>
      </c>
      <c r="I346" s="79">
        <f>(SUMIFS(tblData[Gross Profit],tblData[Scenario],"Actual",tblData[Year],selFY,tblData[Month],"&gt;="&amp;mFrom,tblData[Month],"&lt;="&amp;MIN(mTo,mSel),tblData[Channel],$B346)+SUMIFS(tblData[Gross Profit],tblData[Scenario],"Forecast",tblData[Year],selFY,tblData[Month],"&gt;="&amp;MAX(mFrom,mSel+1),tblData[Month],"&lt;="&amp;mTo,tblData[Channel],$B346))/Unit</f>
        <v>61.851999999999997</v>
      </c>
      <c r="J346" s="79">
        <f>(SUMIFS(tblData[AP Spend],tblData[Scenario],"Actual",tblData[Year],selFY,tblData[Month],"&gt;="&amp;mFrom,tblData[Month],"&lt;="&amp;MIN(mTo,mSel),tblData[Channel],$B346)+SUMIFS(tblData[AP Spend],tblData[Scenario],"Forecast",tblData[Year],selFY,tblData[Month],"&gt;="&amp;MAX(mFrom,mSel+1),tblData[Month],"&lt;="&amp;mTo,tblData[Channel],$B346))/Unit</f>
        <v>-10.701000000000001</v>
      </c>
      <c r="K346" s="79">
        <f>(SUMIFS(tblData[Cost to Serve],tblData[Scenario],"Actual",tblData[Year],selFY,tblData[Month],"&gt;="&amp;mFrom,tblData[Month],"&lt;="&amp;MIN(mTo,mSel),tblData[Channel],$B346)+SUMIFS(tblData[Cost to Serve],tblData[Scenario],"Forecast",tblData[Year],selFY,tblData[Month],"&gt;="&amp;MAX(mFrom,mSel+1),tblData[Month],"&lt;="&amp;mTo,tblData[Channel],$B346))/Unit</f>
        <v>-10.313000000000001</v>
      </c>
      <c r="L346" s="79">
        <f>(SUMIFS(tblData[Contribution Margin],tblData[Scenario],"Actual",tblData[Year],selFY,tblData[Month],"&gt;="&amp;mFrom,tblData[Month],"&lt;="&amp;MIN(mTo,mSel),tblData[Channel],$B346)+SUMIFS(tblData[Contribution Margin],tblData[Scenario],"Forecast",tblData[Year],selFY,tblData[Month],"&gt;="&amp;MAX(mFrom,mSel+1),tblData[Month],"&lt;="&amp;mTo,tblData[Channel],$B346))/Unit</f>
        <v>40.838000000000001</v>
      </c>
      <c r="M346" s="79">
        <f>SUMIFS(tblData[Receivables],tblData[Scenario],IF(mTo&lt;=mSel,"Actual","Forecast"),tblData[Year],selFY,tblData[Month],mTo,tblData[Channel],$B346)/Unit</f>
        <v>24.530999999999999</v>
      </c>
      <c r="N346" s="79">
        <f>(SUMIFS(tblData[Net Revenue],tblData[Scenario],"Actual",tblData[Year],selFY,tblData[Month],"&gt;="&amp;(mTo-WinM+1),tblData[Month],"&lt;="&amp;MIN(mTo,mSel),tblData[Channel],$B346)+SUMIFS(tblData[Net Revenue],tblData[Scenario],"Forecast",tblData[Year],selFY,tblData[Month],"&gt;="&amp;MAX(mTo-WinM+1,mSel+1),tblData[Month],"&lt;="&amp;mTo,tblData[Channel],$B346))/Unit</f>
        <v>38.572000000000003</v>
      </c>
    </row>
    <row r="347" spans="1:15" x14ac:dyDescent="0.25">
      <c r="A347" s="77" t="s">
        <v>90</v>
      </c>
      <c r="B347" s="77" t="str">
        <f>INDEX(lstChannel,2)</f>
        <v>Supermarkets</v>
      </c>
      <c r="C347" s="79">
        <f>(SUMIFS(tblData[Units],tblData[Scenario],"Actual",tblData[Year],selFY,tblData[Month],"&gt;="&amp;mFrom,tblData[Month],"&lt;="&amp;MIN(mTo,mSel),tblData[Channel],$B347)+SUMIFS(tblData[Units],tblData[Scenario],"Forecast",tblData[Year],selFY,tblData[Month],"&gt;="&amp;MAX(mFrom,mSel+1),tblData[Month],"&lt;="&amp;mTo,tblData[Channel],$B347))</f>
        <v>12605.1</v>
      </c>
      <c r="D347" s="79">
        <f>(SUMIFS(tblData[Gross Sales],tblData[Scenario],"Actual",tblData[Year],selFY,tblData[Month],"&gt;="&amp;mFrom,tblData[Month],"&lt;="&amp;MIN(mTo,mSel),tblData[Channel],$B347)+SUMIFS(tblData[Gross Sales],tblData[Scenario],"Forecast",tblData[Year],selFY,tblData[Month],"&gt;="&amp;MAX(mFrom,mSel+1),tblData[Month],"&lt;="&amp;mTo,tblData[Channel],$B347))/Unit</f>
        <v>121.202</v>
      </c>
      <c r="E347" s="79">
        <f>(SUMIFS(tblData[Trade Discounts],tblData[Scenario],"Actual",tblData[Year],selFY,tblData[Month],"&gt;="&amp;mFrom,tblData[Month],"&lt;="&amp;MIN(mTo,mSel),tblData[Channel],$B347)+SUMIFS(tblData[Trade Discounts],tblData[Scenario],"Forecast",tblData[Year],selFY,tblData[Month],"&gt;="&amp;MAX(mFrom,mSel+1),tblData[Month],"&lt;="&amp;mTo,tblData[Channel],$B347))/Unit</f>
        <v>-19.634</v>
      </c>
      <c r="F347" s="79">
        <f>(SUMIFS(tblData[Returns],tblData[Scenario],"Actual",tblData[Year],selFY,tblData[Month],"&gt;="&amp;mFrom,tblData[Month],"&lt;="&amp;MIN(mTo,mSel),tblData[Channel],$B347)+SUMIFS(tblData[Returns],tblData[Scenario],"Forecast",tblData[Year],selFY,tblData[Month],"&gt;="&amp;MAX(mFrom,mSel+1),tblData[Month],"&lt;="&amp;mTo,tblData[Channel],$B347))/Unit</f>
        <v>-1.454</v>
      </c>
      <c r="G347" s="79">
        <f>(SUMIFS(tblData[Net Revenue],tblData[Scenario],"Actual",tblData[Year],selFY,tblData[Month],"&gt;="&amp;mFrom,tblData[Month],"&lt;="&amp;MIN(mTo,mSel),tblData[Channel],$B347)+SUMIFS(tblData[Net Revenue],tblData[Scenario],"Forecast",tblData[Year],selFY,tblData[Month],"&gt;="&amp;MAX(mFrom,mSel+1),tblData[Month],"&lt;="&amp;mTo,tblData[Channel],$B347))/Unit</f>
        <v>100.114</v>
      </c>
      <c r="H347" s="79">
        <f>(SUMIFS(tblData[COGS],tblData[Scenario],"Actual",tblData[Year],selFY,tblData[Month],"&gt;="&amp;mFrom,tblData[Month],"&lt;="&amp;MIN(mTo,mSel),tblData[Channel],$B347)+SUMIFS(tblData[COGS],tblData[Scenario],"Forecast",tblData[Year],selFY,tblData[Month],"&gt;="&amp;MAX(mFrom,mSel+1),tblData[Month],"&lt;="&amp;mTo,tblData[Channel],$B347))/Unit</f>
        <v>-43.875999999999998</v>
      </c>
      <c r="I347" s="79">
        <f>(SUMIFS(tblData[Gross Profit],tblData[Scenario],"Actual",tblData[Year],selFY,tblData[Month],"&gt;="&amp;mFrom,tblData[Month],"&lt;="&amp;MIN(mTo,mSel),tblData[Channel],$B347)+SUMIFS(tblData[Gross Profit],tblData[Scenario],"Forecast",tblData[Year],selFY,tblData[Month],"&gt;="&amp;MAX(mFrom,mSel+1),tblData[Month],"&lt;="&amp;mTo,tblData[Channel],$B347))/Unit</f>
        <v>56.238</v>
      </c>
      <c r="J347" s="79">
        <f>(SUMIFS(tblData[AP Spend],tblData[Scenario],"Actual",tblData[Year],selFY,tblData[Month],"&gt;="&amp;mFrom,tblData[Month],"&lt;="&amp;MIN(mTo,mSel),tblData[Channel],$B347)+SUMIFS(tblData[AP Spend],tblData[Scenario],"Forecast",tblData[Year],selFY,tblData[Month],"&gt;="&amp;MAX(mFrom,mSel+1),tblData[Month],"&lt;="&amp;mTo,tblData[Channel],$B347))/Unit</f>
        <v>-8.5579999999999998</v>
      </c>
      <c r="K347" s="79">
        <f>(SUMIFS(tblData[Cost to Serve],tblData[Scenario],"Actual",tblData[Year],selFY,tblData[Month],"&gt;="&amp;mFrom,tblData[Month],"&lt;="&amp;MIN(mTo,mSel),tblData[Channel],$B347)+SUMIFS(tblData[Cost to Serve],tblData[Scenario],"Forecast",tblData[Year],selFY,tblData[Month],"&gt;="&amp;MAX(mFrom,mSel+1),tblData[Month],"&lt;="&amp;mTo,tblData[Channel],$B347))/Unit</f>
        <v>-8.6270000000000007</v>
      </c>
      <c r="L347" s="79">
        <f>(SUMIFS(tblData[Contribution Margin],tblData[Scenario],"Actual",tblData[Year],selFY,tblData[Month],"&gt;="&amp;mFrom,tblData[Month],"&lt;="&amp;MIN(mTo,mSel),tblData[Channel],$B347)+SUMIFS(tblData[Contribution Margin],tblData[Scenario],"Forecast",tblData[Year],selFY,tblData[Month],"&gt;="&amp;MAX(mFrom,mSel+1),tblData[Month],"&lt;="&amp;mTo,tblData[Channel],$B347))/Unit</f>
        <v>39.052999999999997</v>
      </c>
      <c r="M347" s="79">
        <f>SUMIFS(tblData[Receivables],tblData[Scenario],IF(mTo&lt;=mSel,"Actual","Forecast"),tblData[Year],selFY,tblData[Month],mTo,tblData[Channel],$B347)/Unit</f>
        <v>19.613</v>
      </c>
      <c r="N347" s="79">
        <f>(SUMIFS(tblData[Net Revenue],tblData[Scenario],"Actual",tblData[Year],selFY,tblData[Month],"&gt;="&amp;(mTo-WinM+1),tblData[Month],"&lt;="&amp;MIN(mTo,mSel),tblData[Channel],$B347)+SUMIFS(tblData[Net Revenue],tblData[Scenario],"Forecast",tblData[Year],selFY,tblData[Month],"&gt;="&amp;MAX(mTo-WinM+1,mSel+1),tblData[Month],"&lt;="&amp;mTo,tblData[Channel],$B347))/Unit</f>
        <v>33.75</v>
      </c>
    </row>
    <row r="348" spans="1:15" x14ac:dyDescent="0.25">
      <c r="A348" s="77" t="s">
        <v>90</v>
      </c>
      <c r="B348" s="77" t="str">
        <f>INDEX(lstChannel,3)</f>
        <v>Discounters</v>
      </c>
      <c r="C348" s="79">
        <f>(SUMIFS(tblData[Units],tblData[Scenario],"Actual",tblData[Year],selFY,tblData[Month],"&gt;="&amp;mFrom,tblData[Month],"&lt;="&amp;MIN(mTo,mSel),tblData[Channel],$B348)+SUMIFS(tblData[Units],tblData[Scenario],"Forecast",tblData[Year],selFY,tblData[Month],"&gt;="&amp;MAX(mFrom,mSel+1),tblData[Month],"&lt;="&amp;mTo,tblData[Channel],$B348))</f>
        <v>7131.7999999999984</v>
      </c>
      <c r="D348" s="79">
        <f>(SUMIFS(tblData[Gross Sales],tblData[Scenario],"Actual",tblData[Year],selFY,tblData[Month],"&gt;="&amp;mFrom,tblData[Month],"&lt;="&amp;MIN(mTo,mSel),tblData[Channel],$B348)+SUMIFS(tblData[Gross Sales],tblData[Scenario],"Forecast",tblData[Year],selFY,tblData[Month],"&gt;="&amp;MAX(mFrom,mSel+1),tblData[Month],"&lt;="&amp;mTo,tblData[Channel],$B348))/Unit</f>
        <v>67.759</v>
      </c>
      <c r="E348" s="79">
        <f>(SUMIFS(tblData[Trade Discounts],tblData[Scenario],"Actual",tblData[Year],selFY,tblData[Month],"&gt;="&amp;mFrom,tblData[Month],"&lt;="&amp;MIN(mTo,mSel),tblData[Channel],$B348)+SUMIFS(tblData[Trade Discounts],tblData[Scenario],"Forecast",tblData[Year],selFY,tblData[Month],"&gt;="&amp;MAX(mFrom,mSel+1),tblData[Month],"&lt;="&amp;mTo,tblData[Channel],$B348))/Unit</f>
        <v>-15.717000000000001</v>
      </c>
      <c r="F348" s="79">
        <f>(SUMIFS(tblData[Returns],tblData[Scenario],"Actual",tblData[Year],selFY,tblData[Month],"&gt;="&amp;mFrom,tblData[Month],"&lt;="&amp;MIN(mTo,mSel),tblData[Channel],$B348)+SUMIFS(tblData[Returns],tblData[Scenario],"Forecast",tblData[Year],selFY,tblData[Month],"&gt;="&amp;MAX(mFrom,mSel+1),tblData[Month],"&lt;="&amp;mTo,tblData[Channel],$B348))/Unit</f>
        <v>-0.67900000000000005</v>
      </c>
      <c r="G348" s="79">
        <f>(SUMIFS(tblData[Net Revenue],tblData[Scenario],"Actual",tblData[Year],selFY,tblData[Month],"&gt;="&amp;mFrom,tblData[Month],"&lt;="&amp;MIN(mTo,mSel),tblData[Channel],$B348)+SUMIFS(tblData[Net Revenue],tblData[Scenario],"Forecast",tblData[Year],selFY,tblData[Month],"&gt;="&amp;MAX(mFrom,mSel+1),tblData[Month],"&lt;="&amp;mTo,tblData[Channel],$B348))/Unit</f>
        <v>51.363</v>
      </c>
      <c r="H348" s="79">
        <f>(SUMIFS(tblData[COGS],tblData[Scenario],"Actual",tblData[Year],selFY,tblData[Month],"&gt;="&amp;mFrom,tblData[Month],"&lt;="&amp;MIN(mTo,mSel),tblData[Channel],$B348)+SUMIFS(tblData[COGS],tblData[Scenario],"Forecast",tblData[Year],selFY,tblData[Month],"&gt;="&amp;MAX(mFrom,mSel+1),tblData[Month],"&lt;="&amp;mTo,tblData[Channel],$B348))/Unit</f>
        <v>-24.521000000000001</v>
      </c>
      <c r="I348" s="79">
        <f>(SUMIFS(tblData[Gross Profit],tblData[Scenario],"Actual",tblData[Year],selFY,tblData[Month],"&gt;="&amp;mFrom,tblData[Month],"&lt;="&amp;MIN(mTo,mSel),tblData[Channel],$B348)+SUMIFS(tblData[Gross Profit],tblData[Scenario],"Forecast",tblData[Year],selFY,tblData[Month],"&gt;="&amp;MAX(mFrom,mSel+1),tblData[Month],"&lt;="&amp;mTo,tblData[Channel],$B348))/Unit</f>
        <v>26.841999999999999</v>
      </c>
      <c r="J348" s="79">
        <f>(SUMIFS(tblData[AP Spend],tblData[Scenario],"Actual",tblData[Year],selFY,tblData[Month],"&gt;="&amp;mFrom,tblData[Month],"&lt;="&amp;MIN(mTo,mSel),tblData[Channel],$B348)+SUMIFS(tblData[AP Spend],tblData[Scenario],"Forecast",tblData[Year],selFY,tblData[Month],"&gt;="&amp;MAX(mFrom,mSel+1),tblData[Month],"&lt;="&amp;mTo,tblData[Channel],$B348))/Unit</f>
        <v>-4.99</v>
      </c>
      <c r="K348" s="79">
        <f>(SUMIFS(tblData[Cost to Serve],tblData[Scenario],"Actual",tblData[Year],selFY,tblData[Month],"&gt;="&amp;mFrom,tblData[Month],"&lt;="&amp;MIN(mTo,mSel),tblData[Channel],$B348)+SUMIFS(tblData[Cost to Serve],tblData[Scenario],"Forecast",tblData[Year],selFY,tblData[Month],"&gt;="&amp;MAX(mFrom,mSel+1),tblData[Month],"&lt;="&amp;mTo,tblData[Channel],$B348))/Unit</f>
        <v>-3.7959999999999998</v>
      </c>
      <c r="L348" s="79">
        <f>(SUMIFS(tblData[Contribution Margin],tblData[Scenario],"Actual",tblData[Year],selFY,tblData[Month],"&gt;="&amp;mFrom,tblData[Month],"&lt;="&amp;MIN(mTo,mSel),tblData[Channel],$B348)+SUMIFS(tblData[Contribution Margin],tblData[Scenario],"Forecast",tblData[Year],selFY,tblData[Month],"&gt;="&amp;MAX(mFrom,mSel+1),tblData[Month],"&lt;="&amp;mTo,tblData[Channel],$B348))/Unit</f>
        <v>18.056000000000001</v>
      </c>
      <c r="M348" s="79">
        <f>SUMIFS(tblData[Receivables],tblData[Scenario],IF(mTo&lt;=mSel,"Actual","Forecast"),tblData[Year],selFY,tblData[Month],mTo,tblData[Channel],$B348)/Unit</f>
        <v>9.032</v>
      </c>
      <c r="N348" s="79">
        <f>(SUMIFS(tblData[Net Revenue],tblData[Scenario],"Actual",tblData[Year],selFY,tblData[Month],"&gt;="&amp;(mTo-WinM+1),tblData[Month],"&lt;="&amp;MIN(mTo,mSel),tblData[Channel],$B348)+SUMIFS(tblData[Net Revenue],tblData[Scenario],"Forecast",tblData[Year],selFY,tblData[Month],"&gt;="&amp;MAX(mTo-WinM+1,mSel+1),tblData[Month],"&lt;="&amp;mTo,tblData[Channel],$B348))/Unit</f>
        <v>17.158999999999999</v>
      </c>
    </row>
    <row r="349" spans="1:15" x14ac:dyDescent="0.25">
      <c r="A349" s="77" t="s">
        <v>90</v>
      </c>
      <c r="B349" s="77" t="str">
        <f>INDEX(lstChannel,4)</f>
        <v>Marketplaces</v>
      </c>
      <c r="C349" s="79">
        <f>(SUMIFS(tblData[Units],tblData[Scenario],"Actual",tblData[Year],selFY,tblData[Month],"&gt;="&amp;mFrom,tblData[Month],"&lt;="&amp;MIN(mTo,mSel),tblData[Channel],$B349)+SUMIFS(tblData[Units],tblData[Scenario],"Forecast",tblData[Year],selFY,tblData[Month],"&gt;="&amp;MAX(mFrom,mSel+1),tblData[Month],"&lt;="&amp;mTo,tblData[Channel],$B349))</f>
        <v>9101.6000000000022</v>
      </c>
      <c r="D349" s="79">
        <f>(SUMIFS(tblData[Gross Sales],tblData[Scenario],"Actual",tblData[Year],selFY,tblData[Month],"&gt;="&amp;mFrom,tblData[Month],"&lt;="&amp;MIN(mTo,mSel),tblData[Channel],$B349)+SUMIFS(tblData[Gross Sales],tblData[Scenario],"Forecast",tblData[Year],selFY,tblData[Month],"&gt;="&amp;MAX(mFrom,mSel+1),tblData[Month],"&lt;="&amp;mTo,tblData[Channel],$B349))/Unit</f>
        <v>87.406999999999996</v>
      </c>
      <c r="E349" s="79">
        <f>(SUMIFS(tblData[Trade Discounts],tblData[Scenario],"Actual",tblData[Year],selFY,tblData[Month],"&gt;="&amp;mFrom,tblData[Month],"&lt;="&amp;MIN(mTo,mSel),tblData[Channel],$B349)+SUMIFS(tblData[Trade Discounts],tblData[Scenario],"Forecast",tblData[Year],selFY,tblData[Month],"&gt;="&amp;MAX(mFrom,mSel+1),tblData[Month],"&lt;="&amp;mTo,tblData[Channel],$B349))/Unit</f>
        <v>-9.4390000000000001</v>
      </c>
      <c r="F349" s="79">
        <f>(SUMIFS(tblData[Returns],tblData[Scenario],"Actual",tblData[Year],selFY,tblData[Month],"&gt;="&amp;mFrom,tblData[Month],"&lt;="&amp;MIN(mTo,mSel),tblData[Channel],$B349)+SUMIFS(tblData[Returns],tblData[Scenario],"Forecast",tblData[Year],selFY,tblData[Month],"&gt;="&amp;MAX(mFrom,mSel+1),tblData[Month],"&lt;="&amp;mTo,tblData[Channel],$B349))/Unit</f>
        <v>-3.4969999999999999</v>
      </c>
      <c r="G349" s="79">
        <f>(SUMIFS(tblData[Net Revenue],tblData[Scenario],"Actual",tblData[Year],selFY,tblData[Month],"&gt;="&amp;mFrom,tblData[Month],"&lt;="&amp;MIN(mTo,mSel),tblData[Channel],$B349)+SUMIFS(tblData[Net Revenue],tblData[Scenario],"Forecast",tblData[Year],selFY,tblData[Month],"&gt;="&amp;MAX(mFrom,mSel+1),tblData[Month],"&lt;="&amp;mTo,tblData[Channel],$B349))/Unit</f>
        <v>74.471000000000004</v>
      </c>
      <c r="H349" s="79">
        <f>(SUMIFS(tblData[COGS],tblData[Scenario],"Actual",tblData[Year],selFY,tblData[Month],"&gt;="&amp;mFrom,tblData[Month],"&lt;="&amp;MIN(mTo,mSel),tblData[Channel],$B349)+SUMIFS(tblData[COGS],tblData[Scenario],"Forecast",tblData[Year],selFY,tblData[Month],"&gt;="&amp;MAX(mFrom,mSel+1),tblData[Month],"&lt;="&amp;mTo,tblData[Channel],$B349))/Unit</f>
        <v>-31.640999999999998</v>
      </c>
      <c r="I349" s="79">
        <f>(SUMIFS(tblData[Gross Profit],tblData[Scenario],"Actual",tblData[Year],selFY,tblData[Month],"&gt;="&amp;mFrom,tblData[Month],"&lt;="&amp;MIN(mTo,mSel),tblData[Channel],$B349)+SUMIFS(tblData[Gross Profit],tblData[Scenario],"Forecast",tblData[Year],selFY,tblData[Month],"&gt;="&amp;MAX(mFrom,mSel+1),tblData[Month],"&lt;="&amp;mTo,tblData[Channel],$B349))/Unit</f>
        <v>42.83</v>
      </c>
      <c r="J349" s="79">
        <f>(SUMIFS(tblData[AP Spend],tblData[Scenario],"Actual",tblData[Year],selFY,tblData[Month],"&gt;="&amp;mFrom,tblData[Month],"&lt;="&amp;MIN(mTo,mSel),tblData[Channel],$B349)+SUMIFS(tblData[AP Spend],tblData[Scenario],"Forecast",tblData[Year],selFY,tblData[Month],"&gt;="&amp;MAX(mFrom,mSel+1),tblData[Month],"&lt;="&amp;mTo,tblData[Channel],$B349))/Unit</f>
        <v>-5.7039999999999997</v>
      </c>
      <c r="K349" s="79">
        <f>(SUMIFS(tblData[Cost to Serve],tblData[Scenario],"Actual",tblData[Year],selFY,tblData[Month],"&gt;="&amp;mFrom,tblData[Month],"&lt;="&amp;MIN(mTo,mSel),tblData[Channel],$B349)+SUMIFS(tblData[Cost to Serve],tblData[Scenario],"Forecast",tblData[Year],selFY,tblData[Month],"&gt;="&amp;MAX(mFrom,mSel+1),tblData[Month],"&lt;="&amp;mTo,tblData[Channel],$B349))/Unit</f>
        <v>-8.5030000000000001</v>
      </c>
      <c r="L349" s="79">
        <f>(SUMIFS(tblData[Contribution Margin],tblData[Scenario],"Actual",tblData[Year],selFY,tblData[Month],"&gt;="&amp;mFrom,tblData[Month],"&lt;="&amp;MIN(mTo,mSel),tblData[Channel],$B349)+SUMIFS(tblData[Contribution Margin],tblData[Scenario],"Forecast",tblData[Year],selFY,tblData[Month],"&gt;="&amp;MAX(mFrom,mSel+1),tblData[Month],"&lt;="&amp;mTo,tblData[Channel],$B349))/Unit</f>
        <v>28.623000000000001</v>
      </c>
      <c r="M349" s="79">
        <f>SUMIFS(tblData[Receivables],tblData[Scenario],IF(mTo&lt;=mSel,"Actual","Forecast"),tblData[Year],selFY,tblData[Month],mTo,tblData[Channel],$B349)/Unit</f>
        <v>7.7160000000000002</v>
      </c>
      <c r="N349" s="79">
        <f>(SUMIFS(tblData[Net Revenue],tblData[Scenario],"Actual",tblData[Year],selFY,tblData[Month],"&gt;="&amp;(mTo-WinM+1),tblData[Month],"&lt;="&amp;MIN(mTo,mSel),tblData[Channel],$B349)+SUMIFS(tblData[Net Revenue],tblData[Scenario],"Forecast",tblData[Year],selFY,tblData[Month],"&gt;="&amp;MAX(mTo-WinM+1,mSel+1),tblData[Month],"&lt;="&amp;mTo,tblData[Channel],$B349))/Unit</f>
        <v>25.132000000000001</v>
      </c>
    </row>
    <row r="350" spans="1:15" x14ac:dyDescent="0.25">
      <c r="A350" s="77" t="s">
        <v>90</v>
      </c>
      <c r="B350" s="77" t="str">
        <f>INDEX(lstChannel,5)</f>
        <v>Direct to Consumer</v>
      </c>
      <c r="C350" s="79">
        <f>(SUMIFS(tblData[Units],tblData[Scenario],"Actual",tblData[Year],selFY,tblData[Month],"&gt;="&amp;mFrom,tblData[Month],"&lt;="&amp;MIN(mTo,mSel),tblData[Channel],$B350)+SUMIFS(tblData[Units],tblData[Scenario],"Forecast",tblData[Year],selFY,tblData[Month],"&gt;="&amp;MAX(mFrom,mSel+1),tblData[Month],"&lt;="&amp;mTo,tblData[Channel],$B350))</f>
        <v>3323.2000000000007</v>
      </c>
      <c r="D350" s="79">
        <f>(SUMIFS(tblData[Gross Sales],tblData[Scenario],"Actual",tblData[Year],selFY,tblData[Month],"&gt;="&amp;mFrom,tblData[Month],"&lt;="&amp;MIN(mTo,mSel),tblData[Channel],$B350)+SUMIFS(tblData[Gross Sales],tblData[Scenario],"Forecast",tblData[Year],selFY,tblData[Month],"&gt;="&amp;MAX(mFrom,mSel+1),tblData[Month],"&lt;="&amp;mTo,tblData[Channel],$B350))/Unit</f>
        <v>32.018999999999998</v>
      </c>
      <c r="E350" s="79">
        <f>(SUMIFS(tblData[Trade Discounts],tblData[Scenario],"Actual",tblData[Year],selFY,tblData[Month],"&gt;="&amp;mFrom,tblData[Month],"&lt;="&amp;MIN(mTo,mSel),tblData[Channel],$B350)+SUMIFS(tblData[Trade Discounts],tblData[Scenario],"Forecast",tblData[Year],selFY,tblData[Month],"&gt;="&amp;MAX(mFrom,mSel+1),tblData[Month],"&lt;="&amp;mTo,tblData[Channel],$B350))/Unit</f>
        <v>-0.96099999999999997</v>
      </c>
      <c r="F350" s="79">
        <f>(SUMIFS(tblData[Returns],tblData[Scenario],"Actual",tblData[Year],selFY,tblData[Month],"&gt;="&amp;mFrom,tblData[Month],"&lt;="&amp;MIN(mTo,mSel),tblData[Channel],$B350)+SUMIFS(tblData[Returns],tblData[Scenario],"Forecast",tblData[Year],selFY,tblData[Month],"&gt;="&amp;MAX(mFrom,mSel+1),tblData[Month],"&lt;="&amp;mTo,tblData[Channel],$B350))/Unit</f>
        <v>-1.6020000000000001</v>
      </c>
      <c r="G350" s="79">
        <f>(SUMIFS(tblData[Net Revenue],tblData[Scenario],"Actual",tblData[Year],selFY,tblData[Month],"&gt;="&amp;mFrom,tblData[Month],"&lt;="&amp;MIN(mTo,mSel),tblData[Channel],$B350)+SUMIFS(tblData[Net Revenue],tblData[Scenario],"Forecast",tblData[Year],selFY,tblData[Month],"&gt;="&amp;MAX(mFrom,mSel+1),tblData[Month],"&lt;="&amp;mTo,tblData[Channel],$B350))/Unit</f>
        <v>29.456</v>
      </c>
      <c r="H350" s="79">
        <f>(SUMIFS(tblData[COGS],tblData[Scenario],"Actual",tblData[Year],selFY,tblData[Month],"&gt;="&amp;mFrom,tblData[Month],"&lt;="&amp;MIN(mTo,mSel),tblData[Channel],$B350)+SUMIFS(tblData[COGS],tblData[Scenario],"Forecast",tblData[Year],selFY,tblData[Month],"&gt;="&amp;MAX(mFrom,mSel+1),tblData[Month],"&lt;="&amp;mTo,tblData[Channel],$B350))/Unit</f>
        <v>-11.585000000000001</v>
      </c>
      <c r="I350" s="79">
        <f>(SUMIFS(tblData[Gross Profit],tblData[Scenario],"Actual",tblData[Year],selFY,tblData[Month],"&gt;="&amp;mFrom,tblData[Month],"&lt;="&amp;MIN(mTo,mSel),tblData[Channel],$B350)+SUMIFS(tblData[Gross Profit],tblData[Scenario],"Forecast",tblData[Year],selFY,tblData[Month],"&gt;="&amp;MAX(mFrom,mSel+1),tblData[Month],"&lt;="&amp;mTo,tblData[Channel],$B350))/Unit</f>
        <v>17.870999999999999</v>
      </c>
      <c r="J350" s="79">
        <f>(SUMIFS(tblData[AP Spend],tblData[Scenario],"Actual",tblData[Year],selFY,tblData[Month],"&gt;="&amp;mFrom,tblData[Month],"&lt;="&amp;MIN(mTo,mSel),tblData[Channel],$B350)+SUMIFS(tblData[AP Spend],tblData[Scenario],"Forecast",tblData[Year],selFY,tblData[Month],"&gt;="&amp;MAX(mFrom,mSel+1),tblData[Month],"&lt;="&amp;mTo,tblData[Channel],$B350))/Unit</f>
        <v>-2.14</v>
      </c>
      <c r="K350" s="79">
        <f>(SUMIFS(tblData[Cost to Serve],tblData[Scenario],"Actual",tblData[Year],selFY,tblData[Month],"&gt;="&amp;mFrom,tblData[Month],"&lt;="&amp;MIN(mTo,mSel),tblData[Channel],$B350)+SUMIFS(tblData[Cost to Serve],tblData[Scenario],"Forecast",tblData[Year],selFY,tblData[Month],"&gt;="&amp;MAX(mFrom,mSel+1),tblData[Month],"&lt;="&amp;mTo,tblData[Channel],$B350))/Unit</f>
        <v>-5.2409999999999997</v>
      </c>
      <c r="L350" s="79">
        <f>(SUMIFS(tblData[Contribution Margin],tblData[Scenario],"Actual",tblData[Year],selFY,tblData[Month],"&gt;="&amp;mFrom,tblData[Month],"&lt;="&amp;MIN(mTo,mSel),tblData[Channel],$B350)+SUMIFS(tblData[Contribution Margin],tblData[Scenario],"Forecast",tblData[Year],selFY,tblData[Month],"&gt;="&amp;MAX(mFrom,mSel+1),tblData[Month],"&lt;="&amp;mTo,tblData[Channel],$B350))/Unit</f>
        <v>10.49</v>
      </c>
      <c r="M350" s="79">
        <f>SUMIFS(tblData[Receivables],tblData[Scenario],IF(mTo&lt;=mSel,"Actual","Forecast"),tblData[Year],selFY,tblData[Month],mTo,tblData[Channel],$B350)/Unit</f>
        <v>0.65100000000000002</v>
      </c>
      <c r="N350" s="79">
        <f>(SUMIFS(tblData[Net Revenue],tblData[Scenario],"Actual",tblData[Year],selFY,tblData[Month],"&gt;="&amp;(mTo-WinM+1),tblData[Month],"&lt;="&amp;MIN(mTo,mSel),tblData[Channel],$B350)+SUMIFS(tblData[Net Revenue],tblData[Scenario],"Forecast",tblData[Year],selFY,tblData[Month],"&gt;="&amp;MAX(mTo-WinM+1,mSel+1),tblData[Month],"&lt;="&amp;mTo,tblData[Channel],$B350))/Unit</f>
        <v>9.9079999999999995</v>
      </c>
    </row>
    <row r="351" spans="1:15" x14ac:dyDescent="0.25">
      <c r="A351" s="77" t="s">
        <v>90</v>
      </c>
      <c r="B351" s="77" t="str">
        <f>INDEX(lstChannel,6)</f>
        <v>Distributors</v>
      </c>
      <c r="C351" s="79">
        <f>(SUMIFS(tblData[Units],tblData[Scenario],"Actual",tblData[Year],selFY,tblData[Month],"&gt;="&amp;mFrom,tblData[Month],"&lt;="&amp;MIN(mTo,mSel),tblData[Channel],$B351)+SUMIFS(tblData[Units],tblData[Scenario],"Forecast",tblData[Year],selFY,tblData[Month],"&gt;="&amp;MAX(mFrom,mSel+1),tblData[Month],"&lt;="&amp;mTo,tblData[Channel],$B351))</f>
        <v>5328.0000000000009</v>
      </c>
      <c r="D351" s="79">
        <f>(SUMIFS(tblData[Gross Sales],tblData[Scenario],"Actual",tblData[Year],selFY,tblData[Month],"&gt;="&amp;mFrom,tblData[Month],"&lt;="&amp;MIN(mTo,mSel),tblData[Channel],$B351)+SUMIFS(tblData[Gross Sales],tblData[Scenario],"Forecast",tblData[Year],selFY,tblData[Month],"&gt;="&amp;MAX(mFrom,mSel+1),tblData[Month],"&lt;="&amp;mTo,tblData[Channel],$B351))/Unit</f>
        <v>51.006999999999998</v>
      </c>
      <c r="E351" s="79">
        <f>(SUMIFS(tblData[Trade Discounts],tblData[Scenario],"Actual",tblData[Year],selFY,tblData[Month],"&gt;="&amp;mFrom,tblData[Month],"&lt;="&amp;MIN(mTo,mSel),tblData[Channel],$B351)+SUMIFS(tblData[Trade Discounts],tblData[Scenario],"Forecast",tblData[Year],selFY,tblData[Month],"&gt;="&amp;MAX(mFrom,mSel+1),tblData[Month],"&lt;="&amp;mTo,tblData[Channel],$B351))/Unit</f>
        <v>-4.59</v>
      </c>
      <c r="F351" s="79">
        <f>(SUMIFS(tblData[Returns],tblData[Scenario],"Actual",tblData[Year],selFY,tblData[Month],"&gt;="&amp;mFrom,tblData[Month],"&lt;="&amp;MIN(mTo,mSel),tblData[Channel],$B351)+SUMIFS(tblData[Returns],tblData[Scenario],"Forecast",tblData[Year],selFY,tblData[Month],"&gt;="&amp;MAX(mFrom,mSel+1),tblData[Month],"&lt;="&amp;mTo,tblData[Channel],$B351))/Unit</f>
        <v>-0.50800000000000001</v>
      </c>
      <c r="G351" s="79">
        <f>(SUMIFS(tblData[Net Revenue],tblData[Scenario],"Actual",tblData[Year],selFY,tblData[Month],"&gt;="&amp;mFrom,tblData[Month],"&lt;="&amp;MIN(mTo,mSel),tblData[Channel],$B351)+SUMIFS(tblData[Net Revenue],tblData[Scenario],"Forecast",tblData[Year],selFY,tblData[Month],"&gt;="&amp;MAX(mFrom,mSel+1),tblData[Month],"&lt;="&amp;mTo,tblData[Channel],$B351))/Unit</f>
        <v>45.908999999999999</v>
      </c>
      <c r="H351" s="79">
        <f>(SUMIFS(tblData[COGS],tblData[Scenario],"Actual",tblData[Year],selFY,tblData[Month],"&gt;="&amp;mFrom,tblData[Month],"&lt;="&amp;MIN(mTo,mSel),tblData[Channel],$B351)+SUMIFS(tblData[COGS],tblData[Scenario],"Forecast",tblData[Year],selFY,tblData[Month],"&gt;="&amp;MAX(mFrom,mSel+1),tblData[Month],"&lt;="&amp;mTo,tblData[Channel],$B351))/Unit</f>
        <v>-18.466000000000001</v>
      </c>
      <c r="I351" s="79">
        <f>(SUMIFS(tblData[Gross Profit],tblData[Scenario],"Actual",tblData[Year],selFY,tblData[Month],"&gt;="&amp;mFrom,tblData[Month],"&lt;="&amp;MIN(mTo,mSel),tblData[Channel],$B351)+SUMIFS(tblData[Gross Profit],tblData[Scenario],"Forecast",tblData[Year],selFY,tblData[Month],"&gt;="&amp;MAX(mFrom,mSel+1),tblData[Month],"&lt;="&amp;mTo,tblData[Channel],$B351))/Unit</f>
        <v>27.443000000000001</v>
      </c>
      <c r="J351" s="79">
        <f>(SUMIFS(tblData[AP Spend],tblData[Scenario],"Actual",tblData[Year],selFY,tblData[Month],"&gt;="&amp;mFrom,tblData[Month],"&lt;="&amp;MIN(mTo,mSel),tblData[Channel],$B351)+SUMIFS(tblData[AP Spend],tblData[Scenario],"Forecast",tblData[Year],selFY,tblData[Month],"&gt;="&amp;MAX(mFrom,mSel+1),tblData[Month],"&lt;="&amp;mTo,tblData[Channel],$B351))/Unit</f>
        <v>-3.5659999999999998</v>
      </c>
      <c r="K351" s="79">
        <f>(SUMIFS(tblData[Cost to Serve],tblData[Scenario],"Actual",tblData[Year],selFY,tblData[Month],"&gt;="&amp;mFrom,tblData[Month],"&lt;="&amp;MIN(mTo,mSel),tblData[Channel],$B351)+SUMIFS(tblData[Cost to Serve],tblData[Scenario],"Forecast",tblData[Year],selFY,tblData[Month],"&gt;="&amp;MAX(mFrom,mSel+1),tblData[Month],"&lt;="&amp;mTo,tblData[Channel],$B351))/Unit</f>
        <v>-2.3420000000000001</v>
      </c>
      <c r="L351" s="79">
        <f>(SUMIFS(tblData[Contribution Margin],tblData[Scenario],"Actual",tblData[Year],selFY,tblData[Month],"&gt;="&amp;mFrom,tblData[Month],"&lt;="&amp;MIN(mTo,mSel),tblData[Channel],$B351)+SUMIFS(tblData[Contribution Margin],tblData[Scenario],"Forecast",tblData[Year],selFY,tblData[Month],"&gt;="&amp;MAX(mFrom,mSel+1),tblData[Month],"&lt;="&amp;mTo,tblData[Channel],$B351))/Unit</f>
        <v>21.535</v>
      </c>
      <c r="M351" s="79">
        <f>SUMIFS(tblData[Receivables],tblData[Scenario],IF(mTo&lt;=mSel,"Actual","Forecast"),tblData[Year],selFY,tblData[Month],mTo,tblData[Channel],$B351)/Unit</f>
        <v>12.33</v>
      </c>
      <c r="N351" s="79">
        <f>(SUMIFS(tblData[Net Revenue],tblData[Scenario],"Actual",tblData[Year],selFY,tblData[Month],"&gt;="&amp;(mTo-WinM+1),tblData[Month],"&lt;="&amp;MIN(mTo,mSel),tblData[Channel],$B351)+SUMIFS(tblData[Net Revenue],tblData[Scenario],"Forecast",tblData[Year],selFY,tblData[Month],"&gt;="&amp;MAX(mTo-WinM+1,mSel+1),tblData[Month],"&lt;="&amp;mTo,tblData[Channel],$B351))/Unit</f>
        <v>15.404</v>
      </c>
    </row>
    <row r="352" spans="1:15" x14ac:dyDescent="0.25">
      <c r="A352" s="78" t="s">
        <v>225</v>
      </c>
      <c r="B352" s="78" t="s">
        <v>222</v>
      </c>
      <c r="C352" s="78" t="s">
        <v>5</v>
      </c>
      <c r="D352" s="78" t="s">
        <v>6</v>
      </c>
      <c r="E352" s="78" t="s">
        <v>7</v>
      </c>
      <c r="F352" s="78" t="s">
        <v>8</v>
      </c>
      <c r="G352" s="78" t="s">
        <v>30</v>
      </c>
      <c r="H352" s="78" t="s">
        <v>31</v>
      </c>
      <c r="I352" s="78" t="s">
        <v>32</v>
      </c>
      <c r="J352" s="78" t="s">
        <v>33</v>
      </c>
      <c r="K352" s="78" t="s">
        <v>34</v>
      </c>
      <c r="L352" s="78" t="s">
        <v>35</v>
      </c>
      <c r="M352" s="78" t="s">
        <v>223</v>
      </c>
      <c r="N352" s="78" t="s">
        <v>224</v>
      </c>
    </row>
    <row r="353" spans="1:14" x14ac:dyDescent="0.25">
      <c r="A353" s="77" t="s">
        <v>91</v>
      </c>
      <c r="B353" s="77" t="str">
        <f>INDEX(lstChannel,1)</f>
        <v>Hypermarkets</v>
      </c>
      <c r="C353" s="79">
        <f>SUMIFS(tblData[Units],tblData[Scenario],"Budget",tblData[Year],selFY,tblData[Month],"&gt;="&amp;mFrom,tblData[Month],"&lt;="&amp;mTo,tblData[Channel],$B353)</f>
        <v>15892.200000000003</v>
      </c>
      <c r="D353" s="79">
        <f>SUMIFS(tblData[Gross Sales],tblData[Scenario],"Budget",tblData[Year],selFY,tblData[Month],"&gt;="&amp;mFrom,tblData[Month],"&lt;="&amp;mTo,tblData[Channel],$B353)/Unit</f>
        <v>151.202</v>
      </c>
      <c r="E353" s="79">
        <f>SUMIFS(tblData[Trade Discounts],tblData[Scenario],"Budget",tblData[Year],selFY,tblData[Month],"&gt;="&amp;mFrom,tblData[Month],"&lt;="&amp;mTo,tblData[Channel],$B353)/Unit</f>
        <v>-28.724</v>
      </c>
      <c r="F353" s="79">
        <f>SUMIFS(tblData[Returns],tblData[Scenario],"Budget",tblData[Year],selFY,tblData[Month],"&gt;="&amp;mFrom,tblData[Month],"&lt;="&amp;mTo,tblData[Channel],$B353)/Unit</f>
        <v>-2.2730000000000001</v>
      </c>
      <c r="G353" s="79">
        <f>SUMIFS(tblData[Net Revenue],tblData[Scenario],"Budget",tblData[Year],selFY,tblData[Month],"&gt;="&amp;mFrom,tblData[Month],"&lt;="&amp;mTo,tblData[Channel],$B353)/Unit</f>
        <v>120.205</v>
      </c>
      <c r="H353" s="79">
        <f>SUMIFS(tblData[COGS],tblData[Scenario],"Budget",tblData[Year],selFY,tblData[Month],"&gt;="&amp;mFrom,tblData[Month],"&lt;="&amp;mTo,tblData[Channel],$B353)/Unit</f>
        <v>-53.741999999999997</v>
      </c>
      <c r="I353" s="79">
        <f>SUMIFS(tblData[Gross Profit],tblData[Scenario],"Budget",tblData[Year],selFY,tblData[Month],"&gt;="&amp;mFrom,tblData[Month],"&lt;="&amp;mTo,tblData[Channel],$B353)/Unit</f>
        <v>66.462999999999994</v>
      </c>
      <c r="J353" s="79">
        <f>SUMIFS(tblData[AP Spend],tblData[Scenario],"Budget",tblData[Year],selFY,tblData[Month],"&gt;="&amp;mFrom,tblData[Month],"&lt;="&amp;mTo,tblData[Channel],$B353)/Unit</f>
        <v>-11.122</v>
      </c>
      <c r="K353" s="79">
        <f>SUMIFS(tblData[Cost to Serve],tblData[Scenario],"Budget",tblData[Year],selFY,tblData[Month],"&gt;="&amp;mFrom,tblData[Month],"&lt;="&amp;mTo,tblData[Channel],$B353)/Unit</f>
        <v>-10.584</v>
      </c>
      <c r="L353" s="79">
        <f>SUMIFS(tblData[Contribution Margin],tblData[Scenario],"Budget",tblData[Year],selFY,tblData[Month],"&gt;="&amp;mFrom,tblData[Month],"&lt;="&amp;mTo,tblData[Channel],$B353)/Unit</f>
        <v>44.756999999999998</v>
      </c>
      <c r="M353" s="79">
        <f>SUMIFS(tblData[Receivables],tblData[Scenario],"Budget",tblData[Year],selFY,tblData[Month],mTo,tblData[Channel],$B353)/Unit</f>
        <v>24.466000000000001</v>
      </c>
      <c r="N353" s="79">
        <f>SUMIFS(tblData[Net Revenue],tblData[Scenario],"Budget",tblData[Year],selFY,tblData[Month],"&gt;="&amp;(mTo-WinM+1),tblData[Month],"&lt;="&amp;mTo,tblData[Channel],$B353)/Unit</f>
        <v>40.567999999999998</v>
      </c>
    </row>
    <row r="354" spans="1:14" x14ac:dyDescent="0.25">
      <c r="A354" s="77" t="s">
        <v>91</v>
      </c>
      <c r="B354" s="77" t="str">
        <f>INDEX(lstChannel,2)</f>
        <v>Supermarkets</v>
      </c>
      <c r="C354" s="79">
        <f>SUMIFS(tblData[Units],tblData[Scenario],"Budget",tblData[Year],selFY,tblData[Month],"&gt;="&amp;mFrom,tblData[Month],"&lt;="&amp;mTo,tblData[Channel],$B354)</f>
        <v>12713.9</v>
      </c>
      <c r="D354" s="79">
        <f>SUMIFS(tblData[Gross Sales],tblData[Scenario],"Budget",tblData[Year],selFY,tblData[Month],"&gt;="&amp;mFrom,tblData[Month],"&lt;="&amp;mTo,tblData[Channel],$B354)/Unit</f>
        <v>120.961</v>
      </c>
      <c r="E354" s="79">
        <f>SUMIFS(tblData[Trade Discounts],tblData[Scenario],"Budget",tblData[Year],selFY,tblData[Month],"&gt;="&amp;mFrom,tblData[Month],"&lt;="&amp;mTo,tblData[Channel],$B354)/Unit</f>
        <v>-19.353999999999999</v>
      </c>
      <c r="F354" s="79">
        <f>SUMIFS(tblData[Returns],tblData[Scenario],"Budget",tblData[Year],selFY,tblData[Month],"&gt;="&amp;mFrom,tblData[Month],"&lt;="&amp;mTo,tblData[Channel],$B354)/Unit</f>
        <v>-1.4570000000000001</v>
      </c>
      <c r="G354" s="79">
        <f>SUMIFS(tblData[Net Revenue],tblData[Scenario],"Budget",tblData[Year],selFY,tblData[Month],"&gt;="&amp;mFrom,tblData[Month],"&lt;="&amp;mTo,tblData[Channel],$B354)/Unit</f>
        <v>100.15</v>
      </c>
      <c r="H354" s="79">
        <f>SUMIFS(tblData[COGS],tblData[Scenario],"Budget",tblData[Year],selFY,tblData[Month],"&gt;="&amp;mFrom,tblData[Month],"&lt;="&amp;mTo,tblData[Channel],$B354)/Unit</f>
        <v>-42.991999999999997</v>
      </c>
      <c r="I354" s="79">
        <f>SUMIFS(tblData[Gross Profit],tblData[Scenario],"Budget",tblData[Year],selFY,tblData[Month],"&gt;="&amp;mFrom,tblData[Month],"&lt;="&amp;mTo,tblData[Channel],$B354)/Unit</f>
        <v>57.158000000000001</v>
      </c>
      <c r="J354" s="79">
        <f>SUMIFS(tblData[AP Spend],tblData[Scenario],"Budget",tblData[Year],selFY,tblData[Month],"&gt;="&amp;mFrom,tblData[Month],"&lt;="&amp;mTo,tblData[Channel],$B354)/Unit</f>
        <v>-8.8979999999999997</v>
      </c>
      <c r="K354" s="79">
        <f>SUMIFS(tblData[Cost to Serve],tblData[Scenario],"Budget",tblData[Year],selFY,tblData[Month],"&gt;="&amp;mFrom,tblData[Month],"&lt;="&amp;mTo,tblData[Channel],$B354)/Unit</f>
        <v>-8.4649999999999999</v>
      </c>
      <c r="L354" s="79">
        <f>SUMIFS(tblData[Contribution Margin],tblData[Scenario],"Budget",tblData[Year],selFY,tblData[Month],"&gt;="&amp;mFrom,tblData[Month],"&lt;="&amp;mTo,tblData[Channel],$B354)/Unit</f>
        <v>39.795000000000002</v>
      </c>
      <c r="M354" s="79">
        <f>SUMIFS(tblData[Receivables],tblData[Scenario],"Budget",tblData[Year],selFY,tblData[Month],mTo,tblData[Channel],$B354)/Unit</f>
        <v>18.532</v>
      </c>
      <c r="N354" s="79">
        <f>SUMIFS(tblData[Net Revenue],tblData[Scenario],"Budget",tblData[Year],selFY,tblData[Month],"&gt;="&amp;(mTo-WinM+1),tblData[Month],"&lt;="&amp;mTo,tblData[Channel],$B354)/Unit</f>
        <v>33.798999999999999</v>
      </c>
    </row>
    <row r="355" spans="1:14" x14ac:dyDescent="0.25">
      <c r="A355" s="77" t="s">
        <v>91</v>
      </c>
      <c r="B355" s="77" t="str">
        <f>INDEX(lstChannel,3)</f>
        <v>Discounters</v>
      </c>
      <c r="C355" s="79">
        <f>SUMIFS(tblData[Units],tblData[Scenario],"Budget",tblData[Year],selFY,tblData[Month],"&gt;="&amp;mFrom,tblData[Month],"&lt;="&amp;mTo,tblData[Channel],$B355)</f>
        <v>7416.4000000000015</v>
      </c>
      <c r="D355" s="79">
        <f>SUMIFS(tblData[Gross Sales],tblData[Scenario],"Budget",tblData[Year],selFY,tblData[Month],"&gt;="&amp;mFrom,tblData[Month],"&lt;="&amp;mTo,tblData[Channel],$B355)/Unit</f>
        <v>70.56</v>
      </c>
      <c r="E355" s="79">
        <f>SUMIFS(tblData[Trade Discounts],tblData[Scenario],"Budget",tblData[Year],selFY,tblData[Month],"&gt;="&amp;mFrom,tblData[Month],"&lt;="&amp;mTo,tblData[Channel],$B355)/Unit</f>
        <v>-15.519</v>
      </c>
      <c r="F355" s="79">
        <f>SUMIFS(tblData[Returns],tblData[Scenario],"Budget",tblData[Year],selFY,tblData[Month],"&gt;="&amp;mFrom,tblData[Month],"&lt;="&amp;mTo,tblData[Channel],$B355)/Unit</f>
        <v>-0.70299999999999996</v>
      </c>
      <c r="G355" s="79">
        <f>SUMIFS(tblData[Net Revenue],tblData[Scenario],"Budget",tblData[Year],selFY,tblData[Month],"&gt;="&amp;mFrom,tblData[Month],"&lt;="&amp;mTo,tblData[Channel],$B355)/Unit</f>
        <v>54.338000000000001</v>
      </c>
      <c r="H355" s="79">
        <f>SUMIFS(tblData[COGS],tblData[Scenario],"Budget",tblData[Year],selFY,tblData[Month],"&gt;="&amp;mFrom,tblData[Month],"&lt;="&amp;mTo,tblData[Channel],$B355)/Unit</f>
        <v>-25.08</v>
      </c>
      <c r="I355" s="79">
        <f>SUMIFS(tblData[Gross Profit],tblData[Scenario],"Budget",tblData[Year],selFY,tblData[Month],"&gt;="&amp;mFrom,tblData[Month],"&lt;="&amp;mTo,tblData[Channel],$B355)/Unit</f>
        <v>29.257999999999999</v>
      </c>
      <c r="J355" s="79">
        <f>SUMIFS(tblData[AP Spend],tblData[Scenario],"Budget",tblData[Year],selFY,tblData[Month],"&gt;="&amp;mFrom,tblData[Month],"&lt;="&amp;mTo,tblData[Channel],$B355)/Unit</f>
        <v>-5.19</v>
      </c>
      <c r="K355" s="79">
        <f>SUMIFS(tblData[Cost to Serve],tblData[Scenario],"Budget",tblData[Year],selFY,tblData[Month],"&gt;="&amp;mFrom,tblData[Month],"&lt;="&amp;mTo,tblData[Channel],$B355)/Unit</f>
        <v>-3.8809999999999998</v>
      </c>
      <c r="L355" s="79">
        <f>SUMIFS(tblData[Contribution Margin],tblData[Scenario],"Budget",tblData[Year],selFY,tblData[Month],"&gt;="&amp;mFrom,tblData[Month],"&lt;="&amp;mTo,tblData[Channel],$B355)/Unit</f>
        <v>20.187000000000001</v>
      </c>
      <c r="M355" s="79">
        <f>SUMIFS(tblData[Receivables],tblData[Scenario],"Budget",tblData[Year],selFY,tblData[Month],mTo,tblData[Channel],$B355)/Unit</f>
        <v>9.048</v>
      </c>
      <c r="N355" s="79">
        <f>SUMIFS(tblData[Net Revenue],tblData[Scenario],"Budget",tblData[Year],selFY,tblData[Month],"&gt;="&amp;(mTo-WinM+1),tblData[Month],"&lt;="&amp;mTo,tblData[Channel],$B355)/Unit</f>
        <v>18.34</v>
      </c>
    </row>
    <row r="356" spans="1:14" x14ac:dyDescent="0.25">
      <c r="A356" s="77" t="s">
        <v>91</v>
      </c>
      <c r="B356" s="77" t="str">
        <f>INDEX(lstChannel,4)</f>
        <v>Marketplaces</v>
      </c>
      <c r="C356" s="79">
        <f>SUMIFS(tblData[Units],tblData[Scenario],"Budget",tblData[Year],selFY,tblData[Month],"&gt;="&amp;mFrom,tblData[Month],"&lt;="&amp;mTo,tblData[Channel],$B356)</f>
        <v>8475.9</v>
      </c>
      <c r="D356" s="79">
        <f>SUMIFS(tblData[Gross Sales],tblData[Scenario],"Budget",tblData[Year],selFY,tblData[Month],"&gt;="&amp;mFrom,tblData[Month],"&lt;="&amp;mTo,tblData[Channel],$B356)/Unit</f>
        <v>80.641000000000005</v>
      </c>
      <c r="E356" s="79">
        <f>SUMIFS(tblData[Trade Discounts],tblData[Scenario],"Budget",tblData[Year],selFY,tblData[Month],"&gt;="&amp;mFrom,tblData[Month],"&lt;="&amp;mTo,tblData[Channel],$B356)/Unit</f>
        <v>-8.8740000000000006</v>
      </c>
      <c r="F356" s="79">
        <f>SUMIFS(tblData[Returns],tblData[Scenario],"Budget",tblData[Year],selFY,tblData[Month],"&gt;="&amp;mFrom,tblData[Month],"&lt;="&amp;mTo,tblData[Channel],$B356)/Unit</f>
        <v>-3.2240000000000002</v>
      </c>
      <c r="G356" s="79">
        <f>SUMIFS(tblData[Net Revenue],tblData[Scenario],"Budget",tblData[Year],selFY,tblData[Month],"&gt;="&amp;mFrom,tblData[Month],"&lt;="&amp;mTo,tblData[Channel],$B356)/Unit</f>
        <v>68.543000000000006</v>
      </c>
      <c r="H356" s="79">
        <f>SUMIFS(tblData[COGS],tblData[Scenario],"Budget",tblData[Year],selFY,tblData[Month],"&gt;="&amp;mFrom,tblData[Month],"&lt;="&amp;mTo,tblData[Channel],$B356)/Unit</f>
        <v>-28.655000000000001</v>
      </c>
      <c r="I356" s="79">
        <f>SUMIFS(tblData[Gross Profit],tblData[Scenario],"Budget",tblData[Year],selFY,tblData[Month],"&gt;="&amp;mFrom,tblData[Month],"&lt;="&amp;mTo,tblData[Channel],$B356)/Unit</f>
        <v>39.887999999999998</v>
      </c>
      <c r="J356" s="79">
        <f>SUMIFS(tblData[AP Spend],tblData[Scenario],"Budget",tblData[Year],selFY,tblData[Month],"&gt;="&amp;mFrom,tblData[Month],"&lt;="&amp;mTo,tblData[Channel],$B356)/Unit</f>
        <v>-5.9379999999999997</v>
      </c>
      <c r="K356" s="79">
        <f>SUMIFS(tblData[Cost to Serve],tblData[Scenario],"Budget",tblData[Year],selFY,tblData[Month],"&gt;="&amp;mFrom,tblData[Month],"&lt;="&amp;mTo,tblData[Channel],$B356)/Unit</f>
        <v>-7.6630000000000003</v>
      </c>
      <c r="L356" s="79">
        <f>SUMIFS(tblData[Contribution Margin],tblData[Scenario],"Budget",tblData[Year],selFY,tblData[Month],"&gt;="&amp;mFrom,tblData[Month],"&lt;="&amp;mTo,tblData[Channel],$B356)/Unit</f>
        <v>26.286999999999999</v>
      </c>
      <c r="M356" s="79">
        <f>SUMIFS(tblData[Receivables],tblData[Scenario],"Budget",tblData[Year],selFY,tblData[Month],mTo,tblData[Channel],$B356)/Unit</f>
        <v>6.3410000000000002</v>
      </c>
      <c r="N356" s="79">
        <f>SUMIFS(tblData[Net Revenue],tblData[Scenario],"Budget",tblData[Year],selFY,tblData[Month],"&gt;="&amp;(mTo-WinM+1),tblData[Month],"&lt;="&amp;mTo,tblData[Channel],$B356)/Unit</f>
        <v>23.13</v>
      </c>
    </row>
    <row r="357" spans="1:14" x14ac:dyDescent="0.25">
      <c r="A357" s="77" t="s">
        <v>91</v>
      </c>
      <c r="B357" s="77" t="str">
        <f>INDEX(lstChannel,5)</f>
        <v>Direct to Consumer</v>
      </c>
      <c r="C357" s="79">
        <f>SUMIFS(tblData[Units],tblData[Scenario],"Budget",tblData[Year],selFY,tblData[Month],"&gt;="&amp;mFrom,tblData[Month],"&lt;="&amp;mTo,tblData[Channel],$B357)</f>
        <v>3178.4999999999995</v>
      </c>
      <c r="D357" s="79">
        <f>SUMIFS(tblData[Gross Sales],tblData[Scenario],"Budget",tblData[Year],selFY,tblData[Month],"&gt;="&amp;mFrom,tblData[Month],"&lt;="&amp;mTo,tblData[Channel],$B357)/Unit</f>
        <v>30.238</v>
      </c>
      <c r="E357" s="79">
        <f>SUMIFS(tblData[Trade Discounts],tblData[Scenario],"Budget",tblData[Year],selFY,tblData[Month],"&gt;="&amp;mFrom,tblData[Month],"&lt;="&amp;mTo,tblData[Channel],$B357)/Unit</f>
        <v>-0.90600000000000003</v>
      </c>
      <c r="F357" s="79">
        <f>SUMIFS(tblData[Returns],tblData[Scenario],"Budget",tblData[Year],selFY,tblData[Month],"&gt;="&amp;mFrom,tblData[Month],"&lt;="&amp;mTo,tblData[Channel],$B357)/Unit</f>
        <v>-1.5069999999999999</v>
      </c>
      <c r="G357" s="79">
        <f>SUMIFS(tblData[Net Revenue],tblData[Scenario],"Budget",tblData[Year],selFY,tblData[Month],"&gt;="&amp;mFrom,tblData[Month],"&lt;="&amp;mTo,tblData[Channel],$B357)/Unit</f>
        <v>27.824999999999999</v>
      </c>
      <c r="H357" s="79">
        <f>SUMIFS(tblData[COGS],tblData[Scenario],"Budget",tblData[Year],selFY,tblData[Month],"&gt;="&amp;mFrom,tblData[Month],"&lt;="&amp;mTo,tblData[Channel],$B357)/Unit</f>
        <v>-10.749000000000001</v>
      </c>
      <c r="I357" s="79">
        <f>SUMIFS(tblData[Gross Profit],tblData[Scenario],"Budget",tblData[Year],selFY,tblData[Month],"&gt;="&amp;mFrom,tblData[Month],"&lt;="&amp;mTo,tblData[Channel],$B357)/Unit</f>
        <v>17.076000000000001</v>
      </c>
      <c r="J357" s="79">
        <f>SUMIFS(tblData[AP Spend],tblData[Scenario],"Budget",tblData[Year],selFY,tblData[Month],"&gt;="&amp;mFrom,tblData[Month],"&lt;="&amp;mTo,tblData[Channel],$B357)/Unit</f>
        <v>-2.2309999999999999</v>
      </c>
      <c r="K357" s="79">
        <f>SUMIFS(tblData[Cost to Serve],tblData[Scenario],"Budget",tblData[Year],selFY,tblData[Month],"&gt;="&amp;mFrom,tblData[Month],"&lt;="&amp;mTo,tblData[Channel],$B357)/Unit</f>
        <v>-4.8360000000000003</v>
      </c>
      <c r="L357" s="79">
        <f>SUMIFS(tblData[Contribution Margin],tblData[Scenario],"Budget",tblData[Year],selFY,tblData[Month],"&gt;="&amp;mFrom,tblData[Month],"&lt;="&amp;mTo,tblData[Channel],$B357)/Unit</f>
        <v>10.009</v>
      </c>
      <c r="M357" s="79">
        <f>SUMIFS(tblData[Receivables],tblData[Scenario],"Budget",tblData[Year],selFY,tblData[Month],mTo,tblData[Channel],$B357)/Unit</f>
        <v>0.309</v>
      </c>
      <c r="N357" s="79">
        <f>SUMIFS(tblData[Net Revenue],tblData[Scenario],"Budget",tblData[Year],selFY,tblData[Month],"&gt;="&amp;(mTo-WinM+1),tblData[Month],"&lt;="&amp;mTo,tblData[Channel],$B357)/Unit</f>
        <v>9.3889999999999993</v>
      </c>
    </row>
    <row r="358" spans="1:14" x14ac:dyDescent="0.25">
      <c r="A358" s="77" t="s">
        <v>91</v>
      </c>
      <c r="B358" s="77" t="str">
        <f>INDEX(lstChannel,6)</f>
        <v>Distributors</v>
      </c>
      <c r="C358" s="79">
        <f>SUMIFS(tblData[Units],tblData[Scenario],"Budget",tblData[Year],selFY,tblData[Month],"&gt;="&amp;mFrom,tblData[Month],"&lt;="&amp;mTo,tblData[Channel],$B358)</f>
        <v>5297.4000000000005</v>
      </c>
      <c r="D358" s="79">
        <f>SUMIFS(tblData[Gross Sales],tblData[Scenario],"Budget",tblData[Year],selFY,tblData[Month],"&gt;="&amp;mFrom,tblData[Month],"&lt;="&amp;mTo,tblData[Channel],$B358)/Unit</f>
        <v>50.399000000000001</v>
      </c>
      <c r="E358" s="79">
        <f>SUMIFS(tblData[Trade Discounts],tblData[Scenario],"Budget",tblData[Year],selFY,tblData[Month],"&gt;="&amp;mFrom,tblData[Month],"&lt;="&amp;mTo,tblData[Channel],$B358)/Unit</f>
        <v>-4.5369999999999999</v>
      </c>
      <c r="F358" s="79">
        <f>SUMIFS(tblData[Returns],tblData[Scenario],"Budget",tblData[Year],selFY,tblData[Month],"&gt;="&amp;mFrom,tblData[Month],"&lt;="&amp;mTo,tblData[Channel],$B358)/Unit</f>
        <v>-0.501</v>
      </c>
      <c r="G358" s="79">
        <f>SUMIFS(tblData[Net Revenue],tblData[Scenario],"Budget",tblData[Year],selFY,tblData[Month],"&gt;="&amp;mFrom,tblData[Month],"&lt;="&amp;mTo,tblData[Channel],$B358)/Unit</f>
        <v>45.360999999999997</v>
      </c>
      <c r="H358" s="79">
        <f>SUMIFS(tblData[COGS],tblData[Scenario],"Budget",tblData[Year],selFY,tblData[Month],"&gt;="&amp;mFrom,tblData[Month],"&lt;="&amp;mTo,tblData[Channel],$B358)/Unit</f>
        <v>-17.911999999999999</v>
      </c>
      <c r="I358" s="79">
        <f>SUMIFS(tblData[Gross Profit],tblData[Scenario],"Budget",tblData[Year],selFY,tblData[Month],"&gt;="&amp;mFrom,tblData[Month],"&lt;="&amp;mTo,tblData[Channel],$B358)/Unit</f>
        <v>27.449000000000002</v>
      </c>
      <c r="J358" s="79">
        <f>SUMIFS(tblData[AP Spend],tblData[Scenario],"Budget",tblData[Year],selFY,tblData[Month],"&gt;="&amp;mFrom,tblData[Month],"&lt;="&amp;mTo,tblData[Channel],$B358)/Unit</f>
        <v>-3.706</v>
      </c>
      <c r="K358" s="79">
        <f>SUMIFS(tblData[Cost to Serve],tblData[Scenario],"Budget",tblData[Year],selFY,tblData[Month],"&gt;="&amp;mFrom,tblData[Month],"&lt;="&amp;mTo,tblData[Channel],$B358)/Unit</f>
        <v>-2.2669999999999999</v>
      </c>
      <c r="L358" s="79">
        <f>SUMIFS(tblData[Contribution Margin],tblData[Scenario],"Budget",tblData[Year],selFY,tblData[Month],"&gt;="&amp;mFrom,tblData[Month],"&lt;="&amp;mTo,tblData[Channel],$B358)/Unit</f>
        <v>21.475999999999999</v>
      </c>
      <c r="M358" s="79">
        <f>SUMIFS(tblData[Receivables],tblData[Scenario],"Budget",tblData[Year],selFY,tblData[Month],mTo,tblData[Channel],$B358)/Unit</f>
        <v>11.75</v>
      </c>
      <c r="N358" s="79">
        <f>SUMIFS(tblData[Net Revenue],tblData[Scenario],"Budget",tblData[Year],selFY,tblData[Month],"&gt;="&amp;(mTo-WinM+1),tblData[Month],"&lt;="&amp;mTo,tblData[Channel],$B358)/Unit</f>
        <v>15.31</v>
      </c>
    </row>
    <row r="359" spans="1:14" x14ac:dyDescent="0.25">
      <c r="A359" s="78" t="s">
        <v>226</v>
      </c>
      <c r="B359" s="78" t="s">
        <v>222</v>
      </c>
      <c r="C359" s="78" t="s">
        <v>5</v>
      </c>
      <c r="D359" s="78" t="s">
        <v>6</v>
      </c>
      <c r="E359" s="78" t="s">
        <v>7</v>
      </c>
      <c r="F359" s="78" t="s">
        <v>8</v>
      </c>
      <c r="G359" s="78" t="s">
        <v>30</v>
      </c>
      <c r="H359" s="78" t="s">
        <v>31</v>
      </c>
      <c r="I359" s="78" t="s">
        <v>32</v>
      </c>
      <c r="J359" s="78" t="s">
        <v>33</v>
      </c>
      <c r="K359" s="78" t="s">
        <v>34</v>
      </c>
      <c r="L359" s="78" t="s">
        <v>35</v>
      </c>
      <c r="M359" s="78" t="s">
        <v>223</v>
      </c>
      <c r="N359" s="78" t="s">
        <v>224</v>
      </c>
    </row>
    <row r="360" spans="1:14" x14ac:dyDescent="0.25">
      <c r="A360" s="77" t="s">
        <v>92</v>
      </c>
      <c r="B360" s="77" t="str">
        <f>INDEX(lstChannel,1)</f>
        <v>Hypermarkets</v>
      </c>
      <c r="C360" s="79">
        <f>SUMIFS(tblData[Units],tblData[Scenario],"Forecast",tblData[Year],selFY,tblData[Month],"&gt;="&amp;mFrom,tblData[Month],"&lt;="&amp;mTo,tblData[Channel],$B360)</f>
        <v>15296.999999999998</v>
      </c>
      <c r="D360" s="79">
        <f>SUMIFS(tblData[Gross Sales],tblData[Scenario],"Forecast",tblData[Year],selFY,tblData[Month],"&gt;="&amp;mFrom,tblData[Month],"&lt;="&amp;mTo,tblData[Channel],$B360)/Unit</f>
        <v>146.261</v>
      </c>
      <c r="E360" s="79">
        <f>SUMIFS(tblData[Trade Discounts],tblData[Scenario],"Forecast",tblData[Year],selFY,tblData[Month],"&gt;="&amp;mFrom,tblData[Month],"&lt;="&amp;mTo,tblData[Channel],$B360)/Unit</f>
        <v>-28.420999999999999</v>
      </c>
      <c r="F360" s="79">
        <f>SUMIFS(tblData[Returns],tblData[Scenario],"Forecast",tblData[Year],selFY,tblData[Month],"&gt;="&amp;mFrom,tblData[Month],"&lt;="&amp;mTo,tblData[Channel],$B360)/Unit</f>
        <v>-2.1909999999999998</v>
      </c>
      <c r="G360" s="79">
        <f>SUMIFS(tblData[Net Revenue],tblData[Scenario],"Forecast",tblData[Year],selFY,tblData[Month],"&gt;="&amp;mFrom,tblData[Month],"&lt;="&amp;mTo,tblData[Channel],$B360)/Unit</f>
        <v>115.649</v>
      </c>
      <c r="H360" s="79">
        <f>SUMIFS(tblData[COGS],tblData[Scenario],"Forecast",tblData[Year],selFY,tblData[Month],"&gt;="&amp;mFrom,tblData[Month],"&lt;="&amp;mTo,tblData[Channel],$B360)/Unit</f>
        <v>-52.665999999999997</v>
      </c>
      <c r="I360" s="79">
        <f>SUMIFS(tblData[Gross Profit],tblData[Scenario],"Forecast",tblData[Year],selFY,tblData[Month],"&gt;="&amp;mFrom,tblData[Month],"&lt;="&amp;mTo,tblData[Channel],$B360)/Unit</f>
        <v>62.982999999999997</v>
      </c>
      <c r="J360" s="79">
        <f>SUMIFS(tblData[AP Spend],tblData[Scenario],"Forecast",tblData[Year],selFY,tblData[Month],"&gt;="&amp;mFrom,tblData[Month],"&lt;="&amp;mTo,tblData[Channel],$B360)/Unit</f>
        <v>-10.821</v>
      </c>
      <c r="K360" s="79">
        <f>SUMIFS(tblData[Cost to Serve],tblData[Scenario],"Forecast",tblData[Year],selFY,tblData[Month],"&gt;="&amp;mFrom,tblData[Month],"&lt;="&amp;mTo,tblData[Channel],$B360)/Unit</f>
        <v>-10.367000000000001</v>
      </c>
      <c r="L360" s="79">
        <f>SUMIFS(tblData[Contribution Margin],tblData[Scenario],"Forecast",tblData[Year],selFY,tblData[Month],"&gt;="&amp;mFrom,tblData[Month],"&lt;="&amp;mTo,tblData[Channel],$B360)/Unit</f>
        <v>41.795000000000002</v>
      </c>
      <c r="M360" s="79">
        <f>SUMIFS(tblData[Receivables],tblData[Scenario],"Forecast",tblData[Year],selFY,tblData[Month],mTo,tblData[Channel],$B360)/Unit</f>
        <v>24.37</v>
      </c>
      <c r="N360" s="79">
        <f>SUMIFS(tblData[Net Revenue],tblData[Scenario],"Forecast",tblData[Year],selFY,tblData[Month],"&gt;="&amp;(mTo-WinM+1),tblData[Month],"&lt;="&amp;mTo,tblData[Channel],$B360)/Unit</f>
        <v>38.99</v>
      </c>
    </row>
    <row r="361" spans="1:14" x14ac:dyDescent="0.25">
      <c r="A361" s="77" t="s">
        <v>92</v>
      </c>
      <c r="B361" s="77" t="str">
        <f>INDEX(lstChannel,2)</f>
        <v>Supermarkets</v>
      </c>
      <c r="C361" s="79">
        <f>SUMIFS(tblData[Units],tblData[Scenario],"Forecast",tblData[Year],selFY,tblData[Month],"&gt;="&amp;mFrom,tblData[Month],"&lt;="&amp;mTo,tblData[Channel],$B361)</f>
        <v>12685.399999999998</v>
      </c>
      <c r="D361" s="79">
        <f>SUMIFS(tblData[Gross Sales],tblData[Scenario],"Forecast",tblData[Year],selFY,tblData[Month],"&gt;="&amp;mFrom,tblData[Month],"&lt;="&amp;mTo,tblData[Channel],$B361)/Unit</f>
        <v>121.586</v>
      </c>
      <c r="E361" s="79">
        <f>SUMIFS(tblData[Trade Discounts],tblData[Scenario],"Forecast",tblData[Year],selFY,tblData[Month],"&gt;="&amp;mFrom,tblData[Month],"&lt;="&amp;mTo,tblData[Channel],$B361)/Unit</f>
        <v>-19.631</v>
      </c>
      <c r="F361" s="79">
        <f>SUMIFS(tblData[Returns],tblData[Scenario],"Forecast",tblData[Year],selFY,tblData[Month],"&gt;="&amp;mFrom,tblData[Month],"&lt;="&amp;mTo,tblData[Channel],$B361)/Unit</f>
        <v>-1.4590000000000001</v>
      </c>
      <c r="G361" s="79">
        <f>SUMIFS(tblData[Net Revenue],tblData[Scenario],"Forecast",tblData[Year],selFY,tblData[Month],"&gt;="&amp;mFrom,tblData[Month],"&lt;="&amp;mTo,tblData[Channel],$B361)/Unit</f>
        <v>100.496</v>
      </c>
      <c r="H361" s="79">
        <f>SUMIFS(tblData[COGS],tblData[Scenario],"Forecast",tblData[Year],selFY,tblData[Month],"&gt;="&amp;mFrom,tblData[Month],"&lt;="&amp;mTo,tblData[Channel],$B361)/Unit</f>
        <v>-43.795999999999999</v>
      </c>
      <c r="I361" s="79">
        <f>SUMIFS(tblData[Gross Profit],tblData[Scenario],"Forecast",tblData[Year],selFY,tblData[Month],"&gt;="&amp;mFrom,tblData[Month],"&lt;="&amp;mTo,tblData[Channel],$B361)/Unit</f>
        <v>56.7</v>
      </c>
      <c r="J361" s="79">
        <f>SUMIFS(tblData[AP Spend],tblData[Scenario],"Forecast",tblData[Year],selFY,tblData[Month],"&gt;="&amp;mFrom,tblData[Month],"&lt;="&amp;mTo,tblData[Channel],$B361)/Unit</f>
        <v>-8.657</v>
      </c>
      <c r="K361" s="79">
        <f>SUMIFS(tblData[Cost to Serve],tblData[Scenario],"Forecast",tblData[Year],selFY,tblData[Month],"&gt;="&amp;mFrom,tblData[Month],"&lt;="&amp;mTo,tblData[Channel],$B361)/Unit</f>
        <v>-8.6180000000000003</v>
      </c>
      <c r="L361" s="79">
        <f>SUMIFS(tblData[Contribution Margin],tblData[Scenario],"Forecast",tblData[Year],selFY,tblData[Month],"&gt;="&amp;mFrom,tblData[Month],"&lt;="&amp;mTo,tblData[Channel],$B361)/Unit</f>
        <v>39.424999999999997</v>
      </c>
      <c r="M361" s="79">
        <f>SUMIFS(tblData[Receivables],tblData[Scenario],"Forecast",tblData[Year],selFY,tblData[Month],mTo,tblData[Channel],$B361)/Unit</f>
        <v>19.331</v>
      </c>
      <c r="N361" s="79">
        <f>SUMIFS(tblData[Net Revenue],tblData[Scenario],"Forecast",tblData[Year],selFY,tblData[Month],"&gt;="&amp;(mTo-WinM+1),tblData[Month],"&lt;="&amp;mTo,tblData[Channel],$B361)/Unit</f>
        <v>33.902000000000001</v>
      </c>
    </row>
    <row r="362" spans="1:14" x14ac:dyDescent="0.25">
      <c r="A362" s="77" t="s">
        <v>92</v>
      </c>
      <c r="B362" s="77" t="str">
        <f>INDEX(lstChannel,3)</f>
        <v>Discounters</v>
      </c>
      <c r="C362" s="79">
        <f>SUMIFS(tblData[Units],tblData[Scenario],"Forecast",tblData[Year],selFY,tblData[Month],"&gt;="&amp;mFrom,tblData[Month],"&lt;="&amp;mTo,tblData[Channel],$B362)</f>
        <v>7219.6000000000013</v>
      </c>
      <c r="D362" s="79">
        <f>SUMIFS(tblData[Gross Sales],tblData[Scenario],"Forecast",tblData[Year],selFY,tblData[Month],"&gt;="&amp;mFrom,tblData[Month],"&lt;="&amp;mTo,tblData[Channel],$B362)/Unit</f>
        <v>68.644999999999996</v>
      </c>
      <c r="E362" s="79">
        <f>SUMIFS(tblData[Trade Discounts],tblData[Scenario],"Forecast",tblData[Year],selFY,tblData[Month],"&gt;="&amp;mFrom,tblData[Month],"&lt;="&amp;mTo,tblData[Channel],$B362)/Unit</f>
        <v>-15.696</v>
      </c>
      <c r="F362" s="79">
        <f>SUMIFS(tblData[Returns],tblData[Scenario],"Forecast",tblData[Year],selFY,tblData[Month],"&gt;="&amp;mFrom,tblData[Month],"&lt;="&amp;mTo,tblData[Channel],$B362)/Unit</f>
        <v>-0.68799999999999994</v>
      </c>
      <c r="G362" s="79">
        <f>SUMIFS(tblData[Net Revenue],tblData[Scenario],"Forecast",tblData[Year],selFY,tblData[Month],"&gt;="&amp;mFrom,tblData[Month],"&lt;="&amp;mTo,tblData[Channel],$B362)/Unit</f>
        <v>52.261000000000003</v>
      </c>
      <c r="H362" s="79">
        <f>SUMIFS(tblData[COGS],tblData[Scenario],"Forecast",tblData[Year],selFY,tblData[Month],"&gt;="&amp;mFrom,tblData[Month],"&lt;="&amp;mTo,tblData[Channel],$B362)/Unit</f>
        <v>-24.710999999999999</v>
      </c>
      <c r="I362" s="79">
        <f>SUMIFS(tblData[Gross Profit],tblData[Scenario],"Forecast",tblData[Year],selFY,tblData[Month],"&gt;="&amp;mFrom,tblData[Month],"&lt;="&amp;mTo,tblData[Channel],$B362)/Unit</f>
        <v>27.55</v>
      </c>
      <c r="J362" s="79">
        <f>SUMIFS(tblData[AP Spend],tblData[Scenario],"Forecast",tblData[Year],selFY,tblData[Month],"&gt;="&amp;mFrom,tblData[Month],"&lt;="&amp;mTo,tblData[Channel],$B362)/Unit</f>
        <v>-5.05</v>
      </c>
      <c r="K362" s="79">
        <f>SUMIFS(tblData[Cost to Serve],tblData[Scenario],"Forecast",tblData[Year],selFY,tblData[Month],"&gt;="&amp;mFrom,tblData[Month],"&lt;="&amp;mTo,tblData[Channel],$B362)/Unit</f>
        <v>-3.8260000000000001</v>
      </c>
      <c r="L362" s="79">
        <f>SUMIFS(tblData[Contribution Margin],tblData[Scenario],"Forecast",tblData[Year],selFY,tblData[Month],"&gt;="&amp;mFrom,tblData[Month],"&lt;="&amp;mTo,tblData[Channel],$B362)/Unit</f>
        <v>18.673999999999999</v>
      </c>
      <c r="M362" s="79">
        <f>SUMIFS(tblData[Receivables],tblData[Scenario],"Forecast",tblData[Year],selFY,tblData[Month],mTo,tblData[Channel],$B362)/Unit</f>
        <v>9.093</v>
      </c>
      <c r="N362" s="79">
        <f>SUMIFS(tblData[Net Revenue],tblData[Scenario],"Forecast",tblData[Year],selFY,tblData[Month],"&gt;="&amp;(mTo-WinM+1),tblData[Month],"&lt;="&amp;mTo,tblData[Channel],$B362)/Unit</f>
        <v>17.645</v>
      </c>
    </row>
    <row r="363" spans="1:14" x14ac:dyDescent="0.25">
      <c r="A363" s="77" t="s">
        <v>92</v>
      </c>
      <c r="B363" s="77" t="str">
        <f>INDEX(lstChannel,4)</f>
        <v>Marketplaces</v>
      </c>
      <c r="C363" s="79">
        <f>SUMIFS(tblData[Units],tblData[Scenario],"Forecast",tblData[Year],selFY,tblData[Month],"&gt;="&amp;mFrom,tblData[Month],"&lt;="&amp;mTo,tblData[Channel],$B363)</f>
        <v>8945.5</v>
      </c>
      <c r="D363" s="79">
        <f>SUMIFS(tblData[Gross Sales],tblData[Scenario],"Forecast",tblData[Year],selFY,tblData[Month],"&gt;="&amp;mFrom,tblData[Month],"&lt;="&amp;mTo,tblData[Channel],$B363)/Unit</f>
        <v>85.62</v>
      </c>
      <c r="E363" s="79">
        <f>SUMIFS(tblData[Trade Discounts],tblData[Scenario],"Forecast",tblData[Year],selFY,tblData[Month],"&gt;="&amp;mFrom,tblData[Month],"&lt;="&amp;mTo,tblData[Channel],$B363)/Unit</f>
        <v>-9.2959999999999994</v>
      </c>
      <c r="F363" s="79">
        <f>SUMIFS(tblData[Returns],tblData[Scenario],"Forecast",tblData[Year],selFY,tblData[Month],"&gt;="&amp;mFrom,tblData[Month],"&lt;="&amp;mTo,tblData[Channel],$B363)/Unit</f>
        <v>-3.427</v>
      </c>
      <c r="G363" s="79">
        <f>SUMIFS(tblData[Net Revenue],tblData[Scenario],"Forecast",tblData[Year],selFY,tblData[Month],"&gt;="&amp;mFrom,tblData[Month],"&lt;="&amp;mTo,tblData[Channel],$B363)/Unit</f>
        <v>72.897000000000006</v>
      </c>
      <c r="H363" s="79">
        <f>SUMIFS(tblData[COGS],tblData[Scenario],"Forecast",tblData[Year],selFY,tblData[Month],"&gt;="&amp;mFrom,tblData[Month],"&lt;="&amp;mTo,tblData[Channel],$B363)/Unit</f>
        <v>-30.835000000000001</v>
      </c>
      <c r="I363" s="79">
        <f>SUMIFS(tblData[Gross Profit],tblData[Scenario],"Forecast",tblData[Year],selFY,tblData[Month],"&gt;="&amp;mFrom,tblData[Month],"&lt;="&amp;mTo,tblData[Channel],$B363)/Unit</f>
        <v>42.061999999999998</v>
      </c>
      <c r="J363" s="79">
        <f>SUMIFS(tblData[AP Spend],tblData[Scenario],"Forecast",tblData[Year],selFY,tblData[Month],"&gt;="&amp;mFrom,tblData[Month],"&lt;="&amp;mTo,tblData[Channel],$B363)/Unit</f>
        <v>-5.7720000000000002</v>
      </c>
      <c r="K363" s="79">
        <f>SUMIFS(tblData[Cost to Serve],tblData[Scenario],"Forecast",tblData[Year],selFY,tblData[Month],"&gt;="&amp;mFrom,tblData[Month],"&lt;="&amp;mTo,tblData[Channel],$B363)/Unit</f>
        <v>-8.2690000000000001</v>
      </c>
      <c r="L363" s="79">
        <f>SUMIFS(tblData[Contribution Margin],tblData[Scenario],"Forecast",tblData[Year],selFY,tblData[Month],"&gt;="&amp;mFrom,tblData[Month],"&lt;="&amp;mTo,tblData[Channel],$B363)/Unit</f>
        <v>28.021000000000001</v>
      </c>
      <c r="M363" s="79">
        <f>SUMIFS(tblData[Receivables],tblData[Scenario],"Forecast",tblData[Year],selFY,tblData[Month],mTo,tblData[Channel],$B363)/Unit</f>
        <v>7.2709999999999999</v>
      </c>
      <c r="N363" s="79">
        <f>SUMIFS(tblData[Net Revenue],tblData[Scenario],"Forecast",tblData[Year],selFY,tblData[Month],"&gt;="&amp;(mTo-WinM+1),tblData[Month],"&lt;="&amp;mTo,tblData[Channel],$B363)/Unit</f>
        <v>24.559000000000001</v>
      </c>
    </row>
    <row r="364" spans="1:14" x14ac:dyDescent="0.25">
      <c r="A364" s="77" t="s">
        <v>92</v>
      </c>
      <c r="B364" s="77" t="str">
        <f>INDEX(lstChannel,5)</f>
        <v>Direct to Consumer</v>
      </c>
      <c r="C364" s="79">
        <f>SUMIFS(tblData[Units],tblData[Scenario],"Forecast",tblData[Year],selFY,tblData[Month],"&gt;="&amp;mFrom,tblData[Month],"&lt;="&amp;mTo,tblData[Channel],$B364)</f>
        <v>3289.2000000000007</v>
      </c>
      <c r="D364" s="79">
        <f>SUMIFS(tblData[Gross Sales],tblData[Scenario],"Forecast",tblData[Year],selFY,tblData[Month],"&gt;="&amp;mFrom,tblData[Month],"&lt;="&amp;mTo,tblData[Channel],$B364)/Unit</f>
        <v>31.574999999999999</v>
      </c>
      <c r="E364" s="79">
        <f>SUMIFS(tblData[Trade Discounts],tblData[Scenario],"Forecast",tblData[Year],selFY,tblData[Month],"&gt;="&amp;mFrom,tblData[Month],"&lt;="&amp;mTo,tblData[Channel],$B364)/Unit</f>
        <v>-0.94599999999999995</v>
      </c>
      <c r="F364" s="79">
        <f>SUMIFS(tblData[Returns],tblData[Scenario],"Forecast",tblData[Year],selFY,tblData[Month],"&gt;="&amp;mFrom,tblData[Month],"&lt;="&amp;mTo,tblData[Channel],$B364)/Unit</f>
        <v>-1.577</v>
      </c>
      <c r="G364" s="79">
        <f>SUMIFS(tblData[Net Revenue],tblData[Scenario],"Forecast",tblData[Year],selFY,tblData[Month],"&gt;="&amp;mFrom,tblData[Month],"&lt;="&amp;mTo,tblData[Channel],$B364)/Unit</f>
        <v>29.052</v>
      </c>
      <c r="H364" s="79">
        <f>SUMIFS(tblData[COGS],tblData[Scenario],"Forecast",tblData[Year],selFY,tblData[Month],"&gt;="&amp;mFrom,tblData[Month],"&lt;="&amp;mTo,tblData[Channel],$B364)/Unit</f>
        <v>-11.375999999999999</v>
      </c>
      <c r="I364" s="79">
        <f>SUMIFS(tblData[Gross Profit],tblData[Scenario],"Forecast",tblData[Year],selFY,tblData[Month],"&gt;="&amp;mFrom,tblData[Month],"&lt;="&amp;mTo,tblData[Channel],$B364)/Unit</f>
        <v>17.675999999999998</v>
      </c>
      <c r="J364" s="79">
        <f>SUMIFS(tblData[AP Spend],tblData[Scenario],"Forecast",tblData[Year],selFY,tblData[Month],"&gt;="&amp;mFrom,tblData[Month],"&lt;="&amp;mTo,tblData[Channel],$B364)/Unit</f>
        <v>-2.165</v>
      </c>
      <c r="K364" s="79">
        <f>SUMIFS(tblData[Cost to Serve],tblData[Scenario],"Forecast",tblData[Year],selFY,tblData[Month],"&gt;="&amp;mFrom,tblData[Month],"&lt;="&amp;mTo,tblData[Channel],$B364)/Unit</f>
        <v>-5.1319999999999997</v>
      </c>
      <c r="L364" s="79">
        <f>SUMIFS(tblData[Contribution Margin],tblData[Scenario],"Forecast",tblData[Year],selFY,tblData[Month],"&gt;="&amp;mFrom,tblData[Month],"&lt;="&amp;mTo,tblData[Channel],$B364)/Unit</f>
        <v>10.379</v>
      </c>
      <c r="M364" s="79">
        <f>SUMIFS(tblData[Receivables],tblData[Scenario],"Forecast",tblData[Year],selFY,tblData[Month],mTo,tblData[Channel],$B364)/Unit</f>
        <v>0.53700000000000003</v>
      </c>
      <c r="N364" s="79">
        <f>SUMIFS(tblData[Net Revenue],tblData[Scenario],"Forecast",tblData[Year],selFY,tblData[Month],"&gt;="&amp;(mTo-WinM+1),tblData[Month],"&lt;="&amp;mTo,tblData[Channel],$B364)/Unit</f>
        <v>9.8019999999999996</v>
      </c>
    </row>
    <row r="365" spans="1:14" x14ac:dyDescent="0.25">
      <c r="A365" s="77" t="s">
        <v>92</v>
      </c>
      <c r="B365" s="77" t="str">
        <f>INDEX(lstChannel,6)</f>
        <v>Distributors</v>
      </c>
      <c r="C365" s="79">
        <f>SUMIFS(tblData[Units],tblData[Scenario],"Forecast",tblData[Year],selFY,tblData[Month],"&gt;="&amp;mFrom,tblData[Month],"&lt;="&amp;mTo,tblData[Channel],$B365)</f>
        <v>5305.6</v>
      </c>
      <c r="D365" s="79">
        <f>SUMIFS(tblData[Gross Sales],tblData[Scenario],"Forecast",tblData[Year],selFY,tblData[Month],"&gt;="&amp;mFrom,tblData[Month],"&lt;="&amp;mTo,tblData[Channel],$B365)/Unit</f>
        <v>50.722000000000001</v>
      </c>
      <c r="E365" s="79">
        <f>SUMIFS(tblData[Trade Discounts],tblData[Scenario],"Forecast",tblData[Year],selFY,tblData[Month],"&gt;="&amp;mFrom,tblData[Month],"&lt;="&amp;mTo,tblData[Channel],$B365)/Unit</f>
        <v>-4.5629999999999997</v>
      </c>
      <c r="F365" s="79">
        <f>SUMIFS(tblData[Returns],tblData[Scenario],"Forecast",tblData[Year],selFY,tblData[Month],"&gt;="&amp;mFrom,tblData[Month],"&lt;="&amp;mTo,tblData[Channel],$B365)/Unit</f>
        <v>-0.50700000000000001</v>
      </c>
      <c r="G365" s="79">
        <f>SUMIFS(tblData[Net Revenue],tblData[Scenario],"Forecast",tblData[Year],selFY,tblData[Month],"&gt;="&amp;mFrom,tblData[Month],"&lt;="&amp;mTo,tblData[Channel],$B365)/Unit</f>
        <v>45.652000000000001</v>
      </c>
      <c r="H365" s="79">
        <f>SUMIFS(tblData[COGS],tblData[Scenario],"Forecast",tblData[Year],selFY,tblData[Month],"&gt;="&amp;mFrom,tblData[Month],"&lt;="&amp;mTo,tblData[Channel],$B365)/Unit</f>
        <v>-18.268000000000001</v>
      </c>
      <c r="I365" s="79">
        <f>SUMIFS(tblData[Gross Profit],tblData[Scenario],"Forecast",tblData[Year],selFY,tblData[Month],"&gt;="&amp;mFrom,tblData[Month],"&lt;="&amp;mTo,tblData[Channel],$B365)/Unit</f>
        <v>27.384</v>
      </c>
      <c r="J365" s="79">
        <f>SUMIFS(tblData[AP Spend],tblData[Scenario],"Forecast",tblData[Year],selFY,tblData[Month],"&gt;="&amp;mFrom,tblData[Month],"&lt;="&amp;mTo,tblData[Channel],$B365)/Unit</f>
        <v>-3.6030000000000002</v>
      </c>
      <c r="K365" s="79">
        <f>SUMIFS(tblData[Cost to Serve],tblData[Scenario],"Forecast",tblData[Year],selFY,tblData[Month],"&gt;="&amp;mFrom,tblData[Month],"&lt;="&amp;mTo,tblData[Channel],$B365)/Unit</f>
        <v>-2.319</v>
      </c>
      <c r="L365" s="79">
        <f>SUMIFS(tblData[Contribution Margin],tblData[Scenario],"Forecast",tblData[Year],selFY,tblData[Month],"&gt;="&amp;mFrom,tblData[Month],"&lt;="&amp;mTo,tblData[Channel],$B365)/Unit</f>
        <v>21.462</v>
      </c>
      <c r="M365" s="79">
        <f>SUMIFS(tblData[Receivables],tblData[Scenario],"Forecast",tblData[Year],selFY,tblData[Month],mTo,tblData[Channel],$B365)/Unit</f>
        <v>12.164999999999999</v>
      </c>
      <c r="N365" s="79">
        <f>SUMIFS(tblData[Net Revenue],tblData[Scenario],"Forecast",tblData[Year],selFY,tblData[Month],"&gt;="&amp;(mTo-WinM+1),tblData[Month],"&lt;="&amp;mTo,tblData[Channel],$B365)/Unit</f>
        <v>15.412000000000001</v>
      </c>
    </row>
    <row r="366" spans="1:14" x14ac:dyDescent="0.25">
      <c r="A366" s="78" t="s">
        <v>227</v>
      </c>
      <c r="B366" s="78" t="s">
        <v>222</v>
      </c>
      <c r="C366" s="78" t="s">
        <v>5</v>
      </c>
      <c r="D366" s="78" t="s">
        <v>6</v>
      </c>
      <c r="E366" s="78" t="s">
        <v>7</v>
      </c>
      <c r="F366" s="78" t="s">
        <v>8</v>
      </c>
      <c r="G366" s="78" t="s">
        <v>30</v>
      </c>
      <c r="H366" s="78" t="s">
        <v>31</v>
      </c>
      <c r="I366" s="78" t="s">
        <v>32</v>
      </c>
      <c r="J366" s="78" t="s">
        <v>33</v>
      </c>
      <c r="K366" s="78" t="s">
        <v>34</v>
      </c>
      <c r="L366" s="78" t="s">
        <v>35</v>
      </c>
      <c r="M366" s="78" t="s">
        <v>223</v>
      </c>
      <c r="N366" s="78" t="s">
        <v>224</v>
      </c>
    </row>
    <row r="367" spans="1:14" x14ac:dyDescent="0.25">
      <c r="A367" s="77" t="s">
        <v>93</v>
      </c>
      <c r="B367" s="77" t="str">
        <f>INDEX(lstChannel,1)</f>
        <v>Hypermarkets</v>
      </c>
      <c r="C367" s="79">
        <f>SUMIFS(tblData[Units],tblData[Scenario],"Actual",tblData[Year],selFY-1,tblData[Month],"&gt;="&amp;mFrom,tblData[Month],"&lt;="&amp;mTo,tblData[Channel],$B367)</f>
        <v>15123.099999999999</v>
      </c>
      <c r="D367" s="79">
        <f>SUMIFS(tblData[Gross Sales],tblData[Scenario],"Actual",tblData[Year],selFY-1,tblData[Month],"&gt;="&amp;mFrom,tblData[Month],"&lt;="&amp;mTo,tblData[Channel],$B367)/Unit</f>
        <v>141.05099999999999</v>
      </c>
      <c r="E367" s="79">
        <f>SUMIFS(tblData[Trade Discounts],tblData[Scenario],"Actual",tblData[Year],selFY-1,tblData[Month],"&gt;="&amp;mFrom,tblData[Month],"&lt;="&amp;mTo,tblData[Channel],$B367)/Unit</f>
        <v>-26.231999999999999</v>
      </c>
      <c r="F367" s="79">
        <f>SUMIFS(tblData[Returns],tblData[Scenario],"Actual",tblData[Year],selFY-1,tblData[Month],"&gt;="&amp;mFrom,tblData[Month],"&lt;="&amp;mTo,tblData[Channel],$B367)/Unit</f>
        <v>-2.117</v>
      </c>
      <c r="G367" s="79">
        <f>SUMIFS(tblData[Net Revenue],tblData[Scenario],"Actual",tblData[Year],selFY-1,tblData[Month],"&gt;="&amp;mFrom,tblData[Month],"&lt;="&amp;mTo,tblData[Channel],$B367)/Unit</f>
        <v>112.702</v>
      </c>
      <c r="H367" s="79">
        <f>SUMIFS(tblData[COGS],tblData[Scenario],"Actual",tblData[Year],selFY-1,tblData[Month],"&gt;="&amp;mFrom,tblData[Month],"&lt;="&amp;mTo,tblData[Channel],$B367)/Unit</f>
        <v>-49.326999999999998</v>
      </c>
      <c r="I367" s="79">
        <f>SUMIFS(tblData[Gross Profit],tblData[Scenario],"Actual",tblData[Year],selFY-1,tblData[Month],"&gt;="&amp;mFrom,tblData[Month],"&lt;="&amp;mTo,tblData[Channel],$B367)/Unit</f>
        <v>63.375</v>
      </c>
      <c r="J367" s="79">
        <f>SUMIFS(tblData[AP Spend],tblData[Scenario],"Actual",tblData[Year],selFY-1,tblData[Month],"&gt;="&amp;mFrom,tblData[Month],"&lt;="&amp;mTo,tblData[Channel],$B367)/Unit</f>
        <v>-11.122</v>
      </c>
      <c r="K367" s="79">
        <f>SUMIFS(tblData[Cost to Serve],tblData[Scenario],"Actual",tblData[Year],selFY-1,tblData[Month],"&gt;="&amp;mFrom,tblData[Month],"&lt;="&amp;mTo,tblData[Channel],$B367)/Unit</f>
        <v>-9.8800000000000008</v>
      </c>
      <c r="L367" s="79">
        <f>SUMIFS(tblData[Contribution Margin],tblData[Scenario],"Actual",tblData[Year],selFY-1,tblData[Month],"&gt;="&amp;mFrom,tblData[Month],"&lt;="&amp;mTo,tblData[Channel],$B367)/Unit</f>
        <v>42.372999999999998</v>
      </c>
      <c r="M367" s="79">
        <f>SUMIFS(tblData[Receivables],tblData[Scenario],"Actual",tblData[Year],selFY-1,tblData[Month],mTo,tblData[Channel],$B367)/Unit</f>
        <v>22.917000000000002</v>
      </c>
      <c r="N367" s="79">
        <f>SUMIFS(tblData[Net Revenue],tblData[Scenario],"Actual",tblData[Year],selFY-1,tblData[Month],"&gt;="&amp;(mTo-WinM+1),tblData[Month],"&lt;="&amp;mTo,tblData[Channel],$B367)/Unit</f>
        <v>37.997999999999998</v>
      </c>
    </row>
    <row r="368" spans="1:14" x14ac:dyDescent="0.25">
      <c r="A368" s="77" t="s">
        <v>93</v>
      </c>
      <c r="B368" s="77" t="str">
        <f>INDEX(lstChannel,2)</f>
        <v>Supermarkets</v>
      </c>
      <c r="C368" s="79">
        <f>SUMIFS(tblData[Units],tblData[Scenario],"Actual",tblData[Year],selFY-1,tblData[Month],"&gt;="&amp;mFrom,tblData[Month],"&lt;="&amp;mTo,tblData[Channel],$B368)</f>
        <v>12122.8</v>
      </c>
      <c r="D368" s="79">
        <f>SUMIFS(tblData[Gross Sales],tblData[Scenario],"Actual",tblData[Year],selFY-1,tblData[Month],"&gt;="&amp;mFrom,tblData[Month],"&lt;="&amp;mTo,tblData[Channel],$B368)/Unit</f>
        <v>113.077</v>
      </c>
      <c r="E368" s="79">
        <f>SUMIFS(tblData[Trade Discounts],tblData[Scenario],"Actual",tblData[Year],selFY-1,tblData[Month],"&gt;="&amp;mFrom,tblData[Month],"&lt;="&amp;mTo,tblData[Channel],$B368)/Unit</f>
        <v>-17.641999999999999</v>
      </c>
      <c r="F368" s="79">
        <f>SUMIFS(tblData[Returns],tblData[Scenario],"Actual",tblData[Year],selFY-1,tblData[Month],"&gt;="&amp;mFrom,tblData[Month],"&lt;="&amp;mTo,tblData[Channel],$B368)/Unit</f>
        <v>-1.353</v>
      </c>
      <c r="G368" s="79">
        <f>SUMIFS(tblData[Net Revenue],tblData[Scenario],"Actual",tblData[Year],selFY-1,tblData[Month],"&gt;="&amp;mFrom,tblData[Month],"&lt;="&amp;mTo,tblData[Channel],$B368)/Unit</f>
        <v>94.081999999999994</v>
      </c>
      <c r="H368" s="79">
        <f>SUMIFS(tblData[COGS],tblData[Scenario],"Actual",tblData[Year],selFY-1,tblData[Month],"&gt;="&amp;mFrom,tblData[Month],"&lt;="&amp;mTo,tblData[Channel],$B368)/Unit</f>
        <v>-39.552999999999997</v>
      </c>
      <c r="I368" s="79">
        <f>SUMIFS(tblData[Gross Profit],tblData[Scenario],"Actual",tblData[Year],selFY-1,tblData[Month],"&gt;="&amp;mFrom,tblData[Month],"&lt;="&amp;mTo,tblData[Channel],$B368)/Unit</f>
        <v>54.529000000000003</v>
      </c>
      <c r="J368" s="79">
        <f>SUMIFS(tblData[AP Spend],tblData[Scenario],"Actual",tblData[Year],selFY-1,tblData[Month],"&gt;="&amp;mFrom,tblData[Month],"&lt;="&amp;mTo,tblData[Channel],$B368)/Unit</f>
        <v>-8.8979999999999997</v>
      </c>
      <c r="K368" s="79">
        <f>SUMIFS(tblData[Cost to Serve],tblData[Scenario],"Actual",tblData[Year],selFY-1,tblData[Month],"&gt;="&amp;mFrom,tblData[Month],"&lt;="&amp;mTo,tblData[Channel],$B368)/Unit</f>
        <v>-7.9160000000000004</v>
      </c>
      <c r="L368" s="79">
        <f>SUMIFS(tblData[Contribution Margin],tblData[Scenario],"Actual",tblData[Year],selFY-1,tblData[Month],"&gt;="&amp;mFrom,tblData[Month],"&lt;="&amp;mTo,tblData[Channel],$B368)/Unit</f>
        <v>37.715000000000003</v>
      </c>
      <c r="M368" s="79">
        <f>SUMIFS(tblData[Receivables],tblData[Scenario],"Actual",tblData[Year],selFY-1,tblData[Month],mTo,tblData[Channel],$B368)/Unit</f>
        <v>17.445</v>
      </c>
      <c r="N368" s="79">
        <f>SUMIFS(tblData[Net Revenue],tblData[Scenario],"Actual",tblData[Year],selFY-1,tblData[Month],"&gt;="&amp;(mTo-WinM+1),tblData[Month],"&lt;="&amp;mTo,tblData[Channel],$B368)/Unit</f>
        <v>31.821999999999999</v>
      </c>
    </row>
    <row r="369" spans="1:14" x14ac:dyDescent="0.25">
      <c r="A369" s="77" t="s">
        <v>93</v>
      </c>
      <c r="B369" s="77" t="str">
        <f>INDEX(lstChannel,3)</f>
        <v>Discounters</v>
      </c>
      <c r="C369" s="79">
        <f>SUMIFS(tblData[Units],tblData[Scenario],"Actual",tblData[Year],selFY-1,tblData[Month],"&gt;="&amp;mFrom,tblData[Month],"&lt;="&amp;mTo,tblData[Channel],$B369)</f>
        <v>7096.5</v>
      </c>
      <c r="D369" s="79">
        <f>SUMIFS(tblData[Gross Sales],tblData[Scenario],"Actual",tblData[Year],selFY-1,tblData[Month],"&gt;="&amp;mFrom,tblData[Month],"&lt;="&amp;mTo,tblData[Channel],$B369)/Unit</f>
        <v>66.094999999999999</v>
      </c>
      <c r="E369" s="79">
        <f>SUMIFS(tblData[Trade Discounts],tblData[Scenario],"Actual",tblData[Year],selFY-1,tblData[Month],"&gt;="&amp;mFrom,tblData[Month],"&lt;="&amp;mTo,tblData[Channel],$B369)/Unit</f>
        <v>-14.278</v>
      </c>
      <c r="F369" s="79">
        <f>SUMIFS(tblData[Returns],tblData[Scenario],"Actual",tblData[Year],selFY-1,tblData[Month],"&gt;="&amp;mFrom,tblData[Month],"&lt;="&amp;mTo,tblData[Channel],$B369)/Unit</f>
        <v>-0.66100000000000003</v>
      </c>
      <c r="G369" s="79">
        <f>SUMIFS(tblData[Net Revenue],tblData[Scenario],"Actual",tblData[Year],selFY-1,tblData[Month],"&gt;="&amp;mFrom,tblData[Month],"&lt;="&amp;mTo,tblData[Channel],$B369)/Unit</f>
        <v>51.155999999999999</v>
      </c>
      <c r="H369" s="79">
        <f>SUMIFS(tblData[COGS],tblData[Scenario],"Actual",tblData[Year],selFY-1,tblData[Month],"&gt;="&amp;mFrom,tblData[Month],"&lt;="&amp;mTo,tblData[Channel],$B369)/Unit</f>
        <v>-23.123999999999999</v>
      </c>
      <c r="I369" s="79">
        <f>SUMIFS(tblData[Gross Profit],tblData[Scenario],"Actual",tblData[Year],selFY-1,tblData[Month],"&gt;="&amp;mFrom,tblData[Month],"&lt;="&amp;mTo,tblData[Channel],$B369)/Unit</f>
        <v>28.032</v>
      </c>
      <c r="J369" s="79">
        <f>SUMIFS(tblData[AP Spend],tblData[Scenario],"Actual",tblData[Year],selFY-1,tblData[Month],"&gt;="&amp;mFrom,tblData[Month],"&lt;="&amp;mTo,tblData[Channel],$B369)/Unit</f>
        <v>-5.19</v>
      </c>
      <c r="K369" s="79">
        <f>SUMIFS(tblData[Cost to Serve],tblData[Scenario],"Actual",tblData[Year],selFY-1,tblData[Month],"&gt;="&amp;mFrom,tblData[Month],"&lt;="&amp;mTo,tblData[Channel],$B369)/Unit</f>
        <v>-3.64</v>
      </c>
      <c r="L369" s="79">
        <f>SUMIFS(tblData[Contribution Margin],tblData[Scenario],"Actual",tblData[Year],selFY-1,tblData[Month],"&gt;="&amp;mFrom,tblData[Month],"&lt;="&amp;mTo,tblData[Channel],$B369)/Unit</f>
        <v>19.202000000000002</v>
      </c>
      <c r="M369" s="79">
        <f>SUMIFS(tblData[Receivables],tblData[Scenario],"Actual",tblData[Year],selFY-1,tblData[Month],mTo,tblData[Channel],$B369)/Unit</f>
        <v>8.5009999999999994</v>
      </c>
      <c r="N369" s="79">
        <f>SUMIFS(tblData[Net Revenue],tblData[Scenario],"Actual",tblData[Year],selFY-1,tblData[Month],"&gt;="&amp;(mTo-WinM+1),tblData[Month],"&lt;="&amp;mTo,tblData[Channel],$B369)/Unit</f>
        <v>17.222999999999999</v>
      </c>
    </row>
    <row r="370" spans="1:14" x14ac:dyDescent="0.25">
      <c r="A370" s="77" t="s">
        <v>93</v>
      </c>
      <c r="B370" s="77" t="str">
        <f>INDEX(lstChannel,4)</f>
        <v>Marketplaces</v>
      </c>
      <c r="C370" s="79">
        <f>SUMIFS(tblData[Units],tblData[Scenario],"Actual",tblData[Year],selFY-1,tblData[Month],"&gt;="&amp;mFrom,tblData[Month],"&lt;="&amp;mTo,tblData[Channel],$B370)</f>
        <v>7330.4999999999982</v>
      </c>
      <c r="D370" s="79">
        <f>SUMIFS(tblData[Gross Sales],tblData[Scenario],"Actual",tblData[Year],selFY-1,tblData[Month],"&gt;="&amp;mFrom,tblData[Month],"&lt;="&amp;mTo,tblData[Channel],$B370)/Unit</f>
        <v>68.317999999999998</v>
      </c>
      <c r="E370" s="79">
        <f>SUMIFS(tblData[Trade Discounts],tblData[Scenario],"Actual",tblData[Year],selFY-1,tblData[Month],"&gt;="&amp;mFrom,tblData[Month],"&lt;="&amp;mTo,tblData[Channel],$B370)/Unit</f>
        <v>-7.242</v>
      </c>
      <c r="F370" s="79">
        <f>SUMIFS(tblData[Returns],tblData[Scenario],"Actual",tblData[Year],selFY-1,tblData[Month],"&gt;="&amp;mFrom,tblData[Month],"&lt;="&amp;mTo,tblData[Channel],$B370)/Unit</f>
        <v>-2.7320000000000002</v>
      </c>
      <c r="G370" s="79">
        <f>SUMIFS(tblData[Net Revenue],tblData[Scenario],"Actual",tblData[Year],selFY-1,tblData[Month],"&gt;="&amp;mFrom,tblData[Month],"&lt;="&amp;mTo,tblData[Channel],$B370)/Unit</f>
        <v>58.344000000000001</v>
      </c>
      <c r="H370" s="79">
        <f>SUMIFS(tblData[COGS],tblData[Scenario],"Actual",tblData[Year],selFY-1,tblData[Month],"&gt;="&amp;mFrom,tblData[Month],"&lt;="&amp;mTo,tblData[Channel],$B370)/Unit</f>
        <v>-23.896000000000001</v>
      </c>
      <c r="I370" s="79">
        <f>SUMIFS(tblData[Gross Profit],tblData[Scenario],"Actual",tblData[Year],selFY-1,tblData[Month],"&gt;="&amp;mFrom,tblData[Month],"&lt;="&amp;mTo,tblData[Channel],$B370)/Unit</f>
        <v>34.448</v>
      </c>
      <c r="J370" s="79">
        <f>SUMIFS(tblData[AP Spend],tblData[Scenario],"Actual",tblData[Year],selFY-1,tblData[Month],"&gt;="&amp;mFrom,tblData[Month],"&lt;="&amp;mTo,tblData[Channel],$B370)/Unit</f>
        <v>-5.9379999999999997</v>
      </c>
      <c r="K370" s="79">
        <f>SUMIFS(tblData[Cost to Serve],tblData[Scenario],"Actual",tblData[Year],selFY-1,tblData[Month],"&gt;="&amp;mFrom,tblData[Month],"&lt;="&amp;mTo,tblData[Channel],$B370)/Unit</f>
        <v>-6.4909999999999997</v>
      </c>
      <c r="L370" s="79">
        <f>SUMIFS(tblData[Contribution Margin],tblData[Scenario],"Actual",tblData[Year],selFY-1,tblData[Month],"&gt;="&amp;mFrom,tblData[Month],"&lt;="&amp;mTo,tblData[Channel],$B370)/Unit</f>
        <v>22.018999999999998</v>
      </c>
      <c r="M370" s="79">
        <f>SUMIFS(tblData[Receivables],tblData[Scenario],"Actual",tblData[Year],selFY-1,tblData[Month],mTo,tblData[Channel],$B370)/Unit</f>
        <v>5.39</v>
      </c>
      <c r="N370" s="79">
        <f>SUMIFS(tblData[Net Revenue],tblData[Scenario],"Actual",tblData[Year],selFY-1,tblData[Month],"&gt;="&amp;(mTo-WinM+1),tblData[Month],"&lt;="&amp;mTo,tblData[Channel],$B370)/Unit</f>
        <v>19.664999999999999</v>
      </c>
    </row>
    <row r="371" spans="1:14" x14ac:dyDescent="0.25">
      <c r="A371" s="77" t="s">
        <v>93</v>
      </c>
      <c r="B371" s="77" t="str">
        <f>INDEX(lstChannel,5)</f>
        <v>Direct to Consumer</v>
      </c>
      <c r="C371" s="79">
        <f>SUMIFS(tblData[Units],tblData[Scenario],"Actual",tblData[Year],selFY-1,tblData[Month],"&gt;="&amp;mFrom,tblData[Month],"&lt;="&amp;mTo,tblData[Channel],$B371)</f>
        <v>3022.1000000000004</v>
      </c>
      <c r="D371" s="79">
        <f>SUMIFS(tblData[Gross Sales],tblData[Scenario],"Actual",tblData[Year],selFY-1,tblData[Month],"&gt;="&amp;mFrom,tblData[Month],"&lt;="&amp;mTo,tblData[Channel],$B371)/Unit</f>
        <v>28.204999999999998</v>
      </c>
      <c r="E371" s="79">
        <f>SUMIFS(tblData[Trade Discounts],tblData[Scenario],"Actual",tblData[Year],selFY-1,tblData[Month],"&gt;="&amp;mFrom,tblData[Month],"&lt;="&amp;mTo,tblData[Channel],$B371)/Unit</f>
        <v>-0.72899999999999998</v>
      </c>
      <c r="F371" s="79">
        <f>SUMIFS(tblData[Returns],tblData[Scenario],"Actual",tblData[Year],selFY-1,tblData[Month],"&gt;="&amp;mFrom,tblData[Month],"&lt;="&amp;mTo,tblData[Channel],$B371)/Unit</f>
        <v>-1.41</v>
      </c>
      <c r="G371" s="79">
        <f>SUMIFS(tblData[Net Revenue],tblData[Scenario],"Actual",tblData[Year],selFY-1,tblData[Month],"&gt;="&amp;mFrom,tblData[Month],"&lt;="&amp;mTo,tblData[Channel],$B371)/Unit</f>
        <v>26.065999999999999</v>
      </c>
      <c r="H371" s="79">
        <f>SUMIFS(tblData[COGS],tblData[Scenario],"Actual",tblData[Year],selFY-1,tblData[Month],"&gt;="&amp;mFrom,tblData[Month],"&lt;="&amp;mTo,tblData[Channel],$B371)/Unit</f>
        <v>-9.859</v>
      </c>
      <c r="I371" s="79">
        <f>SUMIFS(tblData[Gross Profit],tblData[Scenario],"Actual",tblData[Year],selFY-1,tblData[Month],"&gt;="&amp;mFrom,tblData[Month],"&lt;="&amp;mTo,tblData[Channel],$B371)/Unit</f>
        <v>16.207000000000001</v>
      </c>
      <c r="J371" s="79">
        <f>SUMIFS(tblData[AP Spend],tblData[Scenario],"Actual",tblData[Year],selFY-1,tblData[Month],"&gt;="&amp;mFrom,tblData[Month],"&lt;="&amp;mTo,tblData[Channel],$B371)/Unit</f>
        <v>-2.2309999999999999</v>
      </c>
      <c r="K371" s="79">
        <f>SUMIFS(tblData[Cost to Serve],tblData[Scenario],"Actual",tblData[Year],selFY-1,tblData[Month],"&gt;="&amp;mFrom,tblData[Month],"&lt;="&amp;mTo,tblData[Channel],$B371)/Unit</f>
        <v>-4.5069999999999997</v>
      </c>
      <c r="L371" s="79">
        <f>SUMIFS(tblData[Contribution Margin],tblData[Scenario],"Actual",tblData[Year],selFY-1,tblData[Month],"&gt;="&amp;mFrom,tblData[Month],"&lt;="&amp;mTo,tblData[Channel],$B371)/Unit</f>
        <v>9.4689999999999994</v>
      </c>
      <c r="M371" s="79">
        <f>SUMIFS(tblData[Receivables],tblData[Scenario],"Actual",tblData[Year],selFY-1,tblData[Month],mTo,tblData[Channel],$B371)/Unit</f>
        <v>0.28799999999999998</v>
      </c>
      <c r="N371" s="79">
        <f>SUMIFS(tblData[Net Revenue],tblData[Scenario],"Actual",tblData[Year],selFY-1,tblData[Month],"&gt;="&amp;(mTo-WinM+1),tblData[Month],"&lt;="&amp;mTo,tblData[Channel],$B371)/Unit</f>
        <v>8.7520000000000007</v>
      </c>
    </row>
    <row r="372" spans="1:14" x14ac:dyDescent="0.25">
      <c r="A372" s="77" t="s">
        <v>93</v>
      </c>
      <c r="B372" s="77" t="str">
        <f>INDEX(lstChannel,6)</f>
        <v>Distributors</v>
      </c>
      <c r="C372" s="79">
        <f>SUMIFS(tblData[Units],tblData[Scenario],"Actual",tblData[Year],selFY-1,tblData[Month],"&gt;="&amp;mFrom,tblData[Month],"&lt;="&amp;mTo,tblData[Channel],$B372)</f>
        <v>5005.5000000000009</v>
      </c>
      <c r="D372" s="79">
        <f>SUMIFS(tblData[Gross Sales],tblData[Scenario],"Actual",tblData[Year],selFY-1,tblData[Month],"&gt;="&amp;mFrom,tblData[Month],"&lt;="&amp;mTo,tblData[Channel],$B372)/Unit</f>
        <v>46.646999999999998</v>
      </c>
      <c r="E372" s="79">
        <f>SUMIFS(tblData[Trade Discounts],tblData[Scenario],"Actual",tblData[Year],selFY-1,tblData[Month],"&gt;="&amp;mFrom,tblData[Month],"&lt;="&amp;mTo,tblData[Channel],$B372)/Unit</f>
        <v>-4.0110000000000001</v>
      </c>
      <c r="F372" s="79">
        <f>SUMIFS(tblData[Returns],tblData[Scenario],"Actual",tblData[Year],selFY-1,tblData[Month],"&gt;="&amp;mFrom,tblData[Month],"&lt;="&amp;mTo,tblData[Channel],$B372)/Unit</f>
        <v>-0.46800000000000003</v>
      </c>
      <c r="G372" s="79">
        <f>SUMIFS(tblData[Net Revenue],tblData[Scenario],"Actual",tblData[Year],selFY-1,tblData[Month],"&gt;="&amp;mFrom,tblData[Month],"&lt;="&amp;mTo,tblData[Channel],$B372)/Unit</f>
        <v>42.167999999999999</v>
      </c>
      <c r="H372" s="79">
        <f>SUMIFS(tblData[COGS],tblData[Scenario],"Actual",tblData[Year],selFY-1,tblData[Month],"&gt;="&amp;mFrom,tblData[Month],"&lt;="&amp;mTo,tblData[Channel],$B372)/Unit</f>
        <v>-16.332000000000001</v>
      </c>
      <c r="I372" s="79">
        <f>SUMIFS(tblData[Gross Profit],tblData[Scenario],"Actual",tblData[Year],selFY-1,tblData[Month],"&gt;="&amp;mFrom,tblData[Month],"&lt;="&amp;mTo,tblData[Channel],$B372)/Unit</f>
        <v>25.835999999999999</v>
      </c>
      <c r="J372" s="79">
        <f>SUMIFS(tblData[AP Spend],tblData[Scenario],"Actual",tblData[Year],selFY-1,tblData[Month],"&gt;="&amp;mFrom,tblData[Month],"&lt;="&amp;mTo,tblData[Channel],$B372)/Unit</f>
        <v>-3.706</v>
      </c>
      <c r="K372" s="79">
        <f>SUMIFS(tblData[Cost to Serve],tblData[Scenario],"Actual",tblData[Year],selFY-1,tblData[Month],"&gt;="&amp;mFrom,tblData[Month],"&lt;="&amp;mTo,tblData[Channel],$B372)/Unit</f>
        <v>-2.101</v>
      </c>
      <c r="L372" s="79">
        <f>SUMIFS(tblData[Contribution Margin],tblData[Scenario],"Actual",tblData[Year],selFY-1,tblData[Month],"&gt;="&amp;mFrom,tblData[Month],"&lt;="&amp;mTo,tblData[Channel],$B372)/Unit</f>
        <v>20.029</v>
      </c>
      <c r="M372" s="79">
        <f>SUMIFS(tblData[Receivables],tblData[Scenario],"Actual",tblData[Year],selFY-1,tblData[Month],mTo,tblData[Channel],$B372)/Unit</f>
        <v>10.933999999999999</v>
      </c>
      <c r="N372" s="79">
        <f>SUMIFS(tblData[Net Revenue],tblData[Scenario],"Actual",tblData[Year],selFY-1,tblData[Month],"&gt;="&amp;(mTo-WinM+1),tblData[Month],"&lt;="&amp;mTo,tblData[Channel],$B372)/Unit</f>
        <v>14.243</v>
      </c>
    </row>
    <row r="373" spans="1:14" x14ac:dyDescent="0.25">
      <c r="A373" s="78" t="s">
        <v>228</v>
      </c>
      <c r="B373" s="78" t="s">
        <v>229</v>
      </c>
      <c r="C373" s="78" t="s">
        <v>230</v>
      </c>
    </row>
    <row r="374" spans="1:14" x14ac:dyDescent="0.25">
      <c r="B374" s="77">
        <f>RANK(G346,G$346:G$351)+COUNTIF(G$346:G346,G346)-1</f>
        <v>1</v>
      </c>
      <c r="C374" s="77">
        <f>MATCH(1,$B$374:$B$379,0)</f>
        <v>1</v>
      </c>
    </row>
    <row r="375" spans="1:14" x14ac:dyDescent="0.25">
      <c r="B375" s="77">
        <f>RANK(G347,G$346:G$351)+COUNTIF(G$346:G347,G347)-1</f>
        <v>2</v>
      </c>
      <c r="C375" s="77">
        <f>MATCH(2,$B$374:$B$379,0)</f>
        <v>2</v>
      </c>
    </row>
    <row r="376" spans="1:14" x14ac:dyDescent="0.25">
      <c r="B376" s="77">
        <f>RANK(G348,G$346:G$351)+COUNTIF(G$346:G348,G348)-1</f>
        <v>4</v>
      </c>
      <c r="C376" s="77">
        <f>MATCH(3,$B$374:$B$379,0)</f>
        <v>4</v>
      </c>
    </row>
    <row r="377" spans="1:14" x14ac:dyDescent="0.25">
      <c r="B377" s="77">
        <f>RANK(G349,G$346:G$351)+COUNTIF(G$346:G349,G349)-1</f>
        <v>3</v>
      </c>
      <c r="C377" s="77">
        <f>MATCH(4,$B$374:$B$379,0)</f>
        <v>3</v>
      </c>
    </row>
    <row r="378" spans="1:14" x14ac:dyDescent="0.25">
      <c r="B378" s="77">
        <f>RANK(G350,G$346:G$351)+COUNTIF(G$346:G350,G350)-1</f>
        <v>6</v>
      </c>
      <c r="C378" s="77">
        <f>MATCH(5,$B$374:$B$379,0)</f>
        <v>6</v>
      </c>
    </row>
    <row r="379" spans="1:14" x14ac:dyDescent="0.25">
      <c r="B379" s="77">
        <f>RANK(G351,G$346:G$351)+COUNTIF(G$346:G351,G351)-1</f>
        <v>5</v>
      </c>
      <c r="C379" s="77">
        <f>MATCH(6,$B$374:$B$379,0)</f>
        <v>5</v>
      </c>
    </row>
    <row r="381" spans="1:14" x14ac:dyDescent="0.25">
      <c r="A381" s="78" t="s">
        <v>231</v>
      </c>
      <c r="B381" s="78" t="s">
        <v>222</v>
      </c>
      <c r="C381" s="78" t="s">
        <v>5</v>
      </c>
      <c r="D381" s="78" t="s">
        <v>6</v>
      </c>
      <c r="E381" s="78" t="s">
        <v>7</v>
      </c>
      <c r="F381" s="78" t="s">
        <v>8</v>
      </c>
      <c r="G381" s="78" t="s">
        <v>30</v>
      </c>
      <c r="H381" s="78" t="s">
        <v>31</v>
      </c>
      <c r="I381" s="78" t="s">
        <v>32</v>
      </c>
      <c r="J381" s="78" t="s">
        <v>33</v>
      </c>
      <c r="K381" s="78" t="s">
        <v>34</v>
      </c>
      <c r="L381" s="78" t="s">
        <v>35</v>
      </c>
      <c r="M381" s="78" t="s">
        <v>223</v>
      </c>
      <c r="N381" s="78" t="s">
        <v>224</v>
      </c>
    </row>
    <row r="382" spans="1:14" x14ac:dyDescent="0.25">
      <c r="A382" s="77" t="s">
        <v>90</v>
      </c>
      <c r="B382" s="77" t="str">
        <f>INDEX(lstBrand,1)</f>
        <v>Aurelia</v>
      </c>
      <c r="C382" s="79">
        <f>(SUMIFS(tblData[Units],tblData[Scenario],"Actual",tblData[Year],selFY,tblData[Month],"&gt;="&amp;mFrom,tblData[Month],"&lt;="&amp;MIN(mTo,mSel),tblData[Brand],$B382)+SUMIFS(tblData[Units],tblData[Scenario],"Forecast",tblData[Year],selFY,tblData[Month],"&gt;="&amp;MAX(mFrom,mSel+1),tblData[Month],"&lt;="&amp;mTo,tblData[Brand],$B382))</f>
        <v>10428.599999999999</v>
      </c>
      <c r="D382" s="79">
        <f>(SUMIFS(tblData[Gross Sales],tblData[Scenario],"Actual",tblData[Year],selFY,tblData[Month],"&gt;="&amp;mFrom,tblData[Month],"&lt;="&amp;MIN(mTo,mSel),tblData[Brand],$B382)+SUMIFS(tblData[Gross Sales],tblData[Scenario],"Forecast",tblData[Year],selFY,tblData[Month],"&gt;="&amp;MAX(mFrom,mSel+1),tblData[Month],"&lt;="&amp;mTo,tblData[Brand],$B382))/Unit</f>
        <v>146.96700000000001</v>
      </c>
      <c r="E382" s="79">
        <f>(SUMIFS(tblData[Trade Discounts],tblData[Scenario],"Actual",tblData[Year],selFY,tblData[Month],"&gt;="&amp;mFrom,tblData[Month],"&lt;="&amp;MIN(mTo,mSel),tblData[Brand],$B382)+SUMIFS(tblData[Trade Discounts],tblData[Scenario],"Forecast",tblData[Year],selFY,tblData[Month],"&gt;="&amp;MAX(mFrom,mSel+1),tblData[Month],"&lt;="&amp;mTo,tblData[Brand],$B382))/Unit</f>
        <v>-22.975000000000001</v>
      </c>
      <c r="F382" s="79">
        <f>(SUMIFS(tblData[Returns],tblData[Scenario],"Actual",tblData[Year],selFY,tblData[Month],"&gt;="&amp;mFrom,tblData[Month],"&lt;="&amp;MIN(mTo,mSel),tblData[Brand],$B382)+SUMIFS(tblData[Returns],tblData[Scenario],"Forecast",tblData[Year],selFY,tblData[Month],"&gt;="&amp;MAX(mFrom,mSel+1),tblData[Month],"&lt;="&amp;mTo,tblData[Brand],$B382))/Unit</f>
        <v>-2.8860000000000001</v>
      </c>
      <c r="G382" s="79">
        <f>(SUMIFS(tblData[Net Revenue],tblData[Scenario],"Actual",tblData[Year],selFY,tblData[Month],"&gt;="&amp;mFrom,tblData[Month],"&lt;="&amp;MIN(mTo,mSel),tblData[Brand],$B382)+SUMIFS(tblData[Net Revenue],tblData[Scenario],"Forecast",tblData[Year],selFY,tblData[Month],"&gt;="&amp;MAX(mFrom,mSel+1),tblData[Month],"&lt;="&amp;mTo,tblData[Brand],$B382))/Unit</f>
        <v>121.10599999999999</v>
      </c>
      <c r="H382" s="79">
        <f>(SUMIFS(tblData[COGS],tblData[Scenario],"Actual",tblData[Year],selFY,tblData[Month],"&gt;="&amp;mFrom,tblData[Month],"&lt;="&amp;MIN(mTo,mSel),tblData[Brand],$B382)+SUMIFS(tblData[COGS],tblData[Scenario],"Forecast",tblData[Year],selFY,tblData[Month],"&gt;="&amp;MAX(mFrom,mSel+1),tblData[Month],"&lt;="&amp;mTo,tblData[Brand],$B382))/Unit</f>
        <v>-45.094999999999999</v>
      </c>
      <c r="I382" s="79">
        <f>(SUMIFS(tblData[Gross Profit],tblData[Scenario],"Actual",tblData[Year],selFY,tblData[Month],"&gt;="&amp;mFrom,tblData[Month],"&lt;="&amp;MIN(mTo,mSel),tblData[Brand],$B382)+SUMIFS(tblData[Gross Profit],tblData[Scenario],"Forecast",tblData[Year],selFY,tblData[Month],"&gt;="&amp;MAX(mFrom,mSel+1),tblData[Month],"&lt;="&amp;mTo,tblData[Brand],$B382))/Unit</f>
        <v>76.010999999999996</v>
      </c>
      <c r="J382" s="79">
        <f>(SUMIFS(tblData[AP Spend],tblData[Scenario],"Actual",tblData[Year],selFY,tblData[Month],"&gt;="&amp;mFrom,tblData[Month],"&lt;="&amp;MIN(mTo,mSel),tblData[Brand],$B382)+SUMIFS(tblData[AP Spend],tblData[Scenario],"Forecast",tblData[Year],selFY,tblData[Month],"&gt;="&amp;MAX(mFrom,mSel+1),tblData[Month],"&lt;="&amp;mTo,tblData[Brand],$B382))/Unit</f>
        <v>-12.208</v>
      </c>
      <c r="K382" s="79">
        <f>(SUMIFS(tblData[Cost to Serve],tblData[Scenario],"Actual",tblData[Year],selFY,tblData[Month],"&gt;="&amp;mFrom,tblData[Month],"&lt;="&amp;MIN(mTo,mSel),tblData[Brand],$B382)+SUMIFS(tblData[Cost to Serve],tblData[Scenario],"Forecast",tblData[Year],selFY,tblData[Month],"&gt;="&amp;MAX(mFrom,mSel+1),tblData[Month],"&lt;="&amp;mTo,tblData[Brand],$B382))/Unit</f>
        <v>-11.316000000000001</v>
      </c>
      <c r="L382" s="79">
        <f>(SUMIFS(tblData[Contribution Margin],tblData[Scenario],"Actual",tblData[Year],selFY,tblData[Month],"&gt;="&amp;mFrom,tblData[Month],"&lt;="&amp;MIN(mTo,mSel),tblData[Brand],$B382)+SUMIFS(tblData[Contribution Margin],tblData[Scenario],"Forecast",tblData[Year],selFY,tblData[Month],"&gt;="&amp;MAX(mFrom,mSel+1),tblData[Month],"&lt;="&amp;mTo,tblData[Brand],$B382))/Unit</f>
        <v>52.487000000000002</v>
      </c>
      <c r="M382" s="79">
        <f>SUMIFS(tblData[Inventory],tblData[Scenario],IF(mTo&lt;=mSel,"Actual","Forecast"),tblData[Year],selFY,tblData[Month],mTo,tblData[Brand],$B382)/Unit</f>
        <v>16.785</v>
      </c>
      <c r="N382" s="79">
        <f>-(SUMIFS(tblData[COGS],tblData[Scenario],"Actual",tblData[Year],selFY,tblData[Month],"&gt;="&amp;(mTo-WinM+1),tblData[Month],"&lt;="&amp;MIN(mTo,mSel),tblData[Brand],$B382)+SUMIFS(tblData[COGS],tblData[Scenario],"Forecast",tblData[Year],selFY,tblData[Month],"&gt;="&amp;MAX(mTo-WinM+1,mSel+1),tblData[Month],"&lt;="&amp;mTo,tblData[Brand],$B382))/Unit</f>
        <v>15.151</v>
      </c>
    </row>
    <row r="383" spans="1:14" x14ac:dyDescent="0.25">
      <c r="A383" s="77" t="s">
        <v>90</v>
      </c>
      <c r="B383" s="77" t="str">
        <f>INDEX(lstBrand,2)</f>
        <v>Novara</v>
      </c>
      <c r="C383" s="79">
        <f>(SUMIFS(tblData[Units],tblData[Scenario],"Actual",tblData[Year],selFY,tblData[Month],"&gt;="&amp;mFrom,tblData[Month],"&lt;="&amp;MIN(mTo,mSel),tblData[Brand],$B383)+SUMIFS(tblData[Units],tblData[Scenario],"Forecast",tblData[Year],selFY,tblData[Month],"&gt;="&amp;MAX(mFrom,mSel+1),tblData[Month],"&lt;="&amp;mTo,tblData[Brand],$B383))</f>
        <v>13516.300000000003</v>
      </c>
      <c r="D383" s="79">
        <f>(SUMIFS(tblData[Gross Sales],tblData[Scenario],"Actual",tblData[Year],selFY,tblData[Month],"&gt;="&amp;mFrom,tblData[Month],"&lt;="&amp;MIN(mTo,mSel),tblData[Brand],$B383)+SUMIFS(tblData[Gross Sales],tblData[Scenario],"Forecast",tblData[Year],selFY,tblData[Month],"&gt;="&amp;MAX(mFrom,mSel+1),tblData[Month],"&lt;="&amp;mTo,tblData[Brand],$B383))/Unit</f>
        <v>121.96</v>
      </c>
      <c r="E383" s="79">
        <f>(SUMIFS(tblData[Trade Discounts],tblData[Scenario],"Actual",tblData[Year],selFY,tblData[Month],"&gt;="&amp;mFrom,tblData[Month],"&lt;="&amp;MIN(mTo,mSel),tblData[Brand],$B383)+SUMIFS(tblData[Trade Discounts],tblData[Scenario],"Forecast",tblData[Year],selFY,tblData[Month],"&gt;="&amp;MAX(mFrom,mSel+1),tblData[Month],"&lt;="&amp;mTo,tblData[Brand],$B383))/Unit</f>
        <v>-19.018000000000001</v>
      </c>
      <c r="F383" s="79">
        <f>(SUMIFS(tblData[Returns],tblData[Scenario],"Actual",tblData[Year],selFY,tblData[Month],"&gt;="&amp;mFrom,tblData[Month],"&lt;="&amp;MIN(mTo,mSel),tblData[Brand],$B383)+SUMIFS(tblData[Returns],tblData[Scenario],"Forecast",tblData[Year],selFY,tblData[Month],"&gt;="&amp;MAX(mFrom,mSel+1),tblData[Month],"&lt;="&amp;mTo,tblData[Brand],$B383))/Unit</f>
        <v>-2.403</v>
      </c>
      <c r="G383" s="79">
        <f>(SUMIFS(tblData[Net Revenue],tblData[Scenario],"Actual",tblData[Year],selFY,tblData[Month],"&gt;="&amp;mFrom,tblData[Month],"&lt;="&amp;MIN(mTo,mSel),tblData[Brand],$B383)+SUMIFS(tblData[Net Revenue],tblData[Scenario],"Forecast",tblData[Year],selFY,tblData[Month],"&gt;="&amp;MAX(mFrom,mSel+1),tblData[Month],"&lt;="&amp;mTo,tblData[Brand],$B383))/Unit</f>
        <v>100.539</v>
      </c>
      <c r="H383" s="79">
        <f>(SUMIFS(tblData[COGS],tblData[Scenario],"Actual",tblData[Year],selFY,tblData[Month],"&gt;="&amp;mFrom,tblData[Month],"&lt;="&amp;MIN(mTo,mSel),tblData[Brand],$B383)+SUMIFS(tblData[COGS],tblData[Scenario],"Forecast",tblData[Year],selFY,tblData[Month],"&gt;="&amp;MAX(mFrom,mSel+1),tblData[Month],"&lt;="&amp;mTo,tblData[Brand],$B383))/Unit</f>
        <v>-44.908000000000001</v>
      </c>
      <c r="I383" s="79">
        <f>(SUMIFS(tblData[Gross Profit],tblData[Scenario],"Actual",tblData[Year],selFY,tblData[Month],"&gt;="&amp;mFrom,tblData[Month],"&lt;="&amp;MIN(mTo,mSel),tblData[Brand],$B383)+SUMIFS(tblData[Gross Profit],tblData[Scenario],"Forecast",tblData[Year],selFY,tblData[Month],"&gt;="&amp;MAX(mFrom,mSel+1),tblData[Month],"&lt;="&amp;mTo,tblData[Brand],$B383))/Unit</f>
        <v>55.631</v>
      </c>
      <c r="J383" s="79">
        <f>(SUMIFS(tblData[AP Spend],tblData[Scenario],"Actual",tblData[Year],selFY,tblData[Month],"&gt;="&amp;mFrom,tblData[Month],"&lt;="&amp;MIN(mTo,mSel),tblData[Brand],$B383)+SUMIFS(tblData[AP Spend],tblData[Scenario],"Forecast",tblData[Year],selFY,tblData[Month],"&gt;="&amp;MAX(mFrom,mSel+1),tblData[Month],"&lt;="&amp;mTo,tblData[Brand],$B383))/Unit</f>
        <v>-6.9749999999999996</v>
      </c>
      <c r="K383" s="79">
        <f>(SUMIFS(tblData[Cost to Serve],tblData[Scenario],"Actual",tblData[Year],selFY,tblData[Month],"&gt;="&amp;mFrom,tblData[Month],"&lt;="&amp;MIN(mTo,mSel),tblData[Brand],$B383)+SUMIFS(tblData[Cost to Serve],tblData[Scenario],"Forecast",tblData[Year],selFY,tblData[Month],"&gt;="&amp;MAX(mFrom,mSel+1),tblData[Month],"&lt;="&amp;mTo,tblData[Brand],$B383))/Unit</f>
        <v>-9.391</v>
      </c>
      <c r="L383" s="79">
        <f>(SUMIFS(tblData[Contribution Margin],tblData[Scenario],"Actual",tblData[Year],selFY,tblData[Month],"&gt;="&amp;mFrom,tblData[Month],"&lt;="&amp;MIN(mTo,mSel),tblData[Brand],$B383)+SUMIFS(tblData[Contribution Margin],tblData[Scenario],"Forecast",tblData[Year],selFY,tblData[Month],"&gt;="&amp;MAX(mFrom,mSel+1),tblData[Month],"&lt;="&amp;mTo,tblData[Brand],$B383))/Unit</f>
        <v>39.265000000000001</v>
      </c>
      <c r="M383" s="79">
        <f>SUMIFS(tblData[Inventory],tblData[Scenario],IF(mTo&lt;=mSel,"Actual","Forecast"),tblData[Year],selFY,tblData[Month],mTo,tblData[Brand],$B383)/Unit</f>
        <v>14.221</v>
      </c>
      <c r="N383" s="79">
        <f>-(SUMIFS(tblData[COGS],tblData[Scenario],"Actual",tblData[Year],selFY,tblData[Month],"&gt;="&amp;(mTo-WinM+1),tblData[Month],"&lt;="&amp;MIN(mTo,mSel),tblData[Brand],$B383)+SUMIFS(tblData[COGS],tblData[Scenario],"Forecast",tblData[Year],selFY,tblData[Month],"&gt;="&amp;MAX(mTo-WinM+1,mSel+1),tblData[Month],"&lt;="&amp;mTo,tblData[Brand],$B383))/Unit</f>
        <v>15.081</v>
      </c>
    </row>
    <row r="384" spans="1:14" x14ac:dyDescent="0.25">
      <c r="A384" s="77" t="s">
        <v>90</v>
      </c>
      <c r="B384" s="77" t="str">
        <f>INDEX(lstBrand,3)</f>
        <v>Kestrel</v>
      </c>
      <c r="C384" s="79">
        <f>(SUMIFS(tblData[Units],tblData[Scenario],"Actual",tblData[Year],selFY,tblData[Month],"&gt;="&amp;mFrom,tblData[Month],"&lt;="&amp;MIN(mTo,mSel),tblData[Brand],$B384)+SUMIFS(tblData[Units],tblData[Scenario],"Forecast",tblData[Year],selFY,tblData[Month],"&gt;="&amp;MAX(mFrom,mSel+1),tblData[Month],"&lt;="&amp;mTo,tblData[Brand],$B384))</f>
        <v>12850.099999999999</v>
      </c>
      <c r="D384" s="79">
        <f>(SUMIFS(tblData[Gross Sales],tblData[Scenario],"Actual",tblData[Year],selFY,tblData[Month],"&gt;="&amp;mFrom,tblData[Month],"&lt;="&amp;MIN(mTo,mSel),tblData[Brand],$B384)+SUMIFS(tblData[Gross Sales],tblData[Scenario],"Forecast",tblData[Year],selFY,tblData[Month],"&gt;="&amp;MAX(mFrom,mSel+1),tblData[Month],"&lt;="&amp;mTo,tblData[Brand],$B384))/Unit</f>
        <v>90.001000000000005</v>
      </c>
      <c r="E384" s="79">
        <f>(SUMIFS(tblData[Trade Discounts],tblData[Scenario],"Actual",tblData[Year],selFY,tblData[Month],"&gt;="&amp;mFrom,tblData[Month],"&lt;="&amp;MIN(mTo,mSel),tblData[Brand],$B384)+SUMIFS(tblData[Trade Discounts],tblData[Scenario],"Forecast",tblData[Year],selFY,tblData[Month],"&gt;="&amp;MAX(mFrom,mSel+1),tblData[Month],"&lt;="&amp;mTo,tblData[Brand],$B384))/Unit</f>
        <v>-14.061</v>
      </c>
      <c r="F384" s="79">
        <f>(SUMIFS(tblData[Returns],tblData[Scenario],"Actual",tblData[Year],selFY,tblData[Month],"&gt;="&amp;mFrom,tblData[Month],"&lt;="&amp;MIN(mTo,mSel),tblData[Brand],$B384)+SUMIFS(tblData[Returns],tblData[Scenario],"Forecast",tblData[Year],selFY,tblData[Month],"&gt;="&amp;MAX(mFrom,mSel+1),tblData[Month],"&lt;="&amp;mTo,tblData[Brand],$B384))/Unit</f>
        <v>-1.7689999999999999</v>
      </c>
      <c r="G384" s="79">
        <f>(SUMIFS(tblData[Net Revenue],tblData[Scenario],"Actual",tblData[Year],selFY,tblData[Month],"&gt;="&amp;mFrom,tblData[Month],"&lt;="&amp;MIN(mTo,mSel),tblData[Brand],$B384)+SUMIFS(tblData[Net Revenue],tblData[Scenario],"Forecast",tblData[Year],selFY,tblData[Month],"&gt;="&amp;MAX(mFrom,mSel+1),tblData[Month],"&lt;="&amp;mTo,tblData[Brand],$B384))/Unit</f>
        <v>74.171000000000006</v>
      </c>
      <c r="H384" s="79">
        <f>(SUMIFS(tblData[COGS],tblData[Scenario],"Actual",tblData[Year],selFY,tblData[Month],"&gt;="&amp;mFrom,tblData[Month],"&lt;="&amp;MIN(mTo,mSel),tblData[Brand],$B384)+SUMIFS(tblData[COGS],tblData[Scenario],"Forecast",tblData[Year],selFY,tblData[Month],"&gt;="&amp;MAX(mFrom,mSel+1),tblData[Month],"&lt;="&amp;mTo,tblData[Brand],$B384))/Unit</f>
        <v>-36.832000000000001</v>
      </c>
      <c r="I384" s="79">
        <f>(SUMIFS(tblData[Gross Profit],tblData[Scenario],"Actual",tblData[Year],selFY,tblData[Month],"&gt;="&amp;mFrom,tblData[Month],"&lt;="&amp;MIN(mTo,mSel),tblData[Brand],$B384)+SUMIFS(tblData[Gross Profit],tblData[Scenario],"Forecast",tblData[Year],selFY,tblData[Month],"&gt;="&amp;MAX(mFrom,mSel+1),tblData[Month],"&lt;="&amp;mTo,tblData[Brand],$B384))/Unit</f>
        <v>37.338999999999999</v>
      </c>
      <c r="J384" s="79">
        <f>(SUMIFS(tblData[AP Spend],tblData[Scenario],"Actual",tblData[Year],selFY,tblData[Month],"&gt;="&amp;mFrom,tblData[Month],"&lt;="&amp;MIN(mTo,mSel),tblData[Brand],$B384)+SUMIFS(tblData[AP Spend],tblData[Scenario],"Forecast",tblData[Year],selFY,tblData[Month],"&gt;="&amp;MAX(mFrom,mSel+1),tblData[Month],"&lt;="&amp;mTo,tblData[Brand],$B384))/Unit</f>
        <v>-3.4889999999999999</v>
      </c>
      <c r="K384" s="79">
        <f>(SUMIFS(tblData[Cost to Serve],tblData[Scenario],"Actual",tblData[Year],selFY,tblData[Month],"&gt;="&amp;mFrom,tblData[Month],"&lt;="&amp;MIN(mTo,mSel),tblData[Brand],$B384)+SUMIFS(tblData[Cost to Serve],tblData[Scenario],"Forecast",tblData[Year],selFY,tblData[Month],"&gt;="&amp;MAX(mFrom,mSel+1),tblData[Month],"&lt;="&amp;mTo,tblData[Brand],$B384))/Unit</f>
        <v>-6.9290000000000003</v>
      </c>
      <c r="L384" s="79">
        <f>(SUMIFS(tblData[Contribution Margin],tblData[Scenario],"Actual",tblData[Year],selFY,tblData[Month],"&gt;="&amp;mFrom,tblData[Month],"&lt;="&amp;MIN(mTo,mSel),tblData[Brand],$B384)+SUMIFS(tblData[Contribution Margin],tblData[Scenario],"Forecast",tblData[Year],selFY,tblData[Month],"&gt;="&amp;MAX(mFrom,mSel+1),tblData[Month],"&lt;="&amp;mTo,tblData[Brand],$B384))/Unit</f>
        <v>26.920999999999999</v>
      </c>
      <c r="M384" s="79">
        <f>SUMIFS(tblData[Inventory],tblData[Scenario],IF(mTo&lt;=mSel,"Actual","Forecast"),tblData[Year],selFY,tblData[Month],mTo,tblData[Brand],$B384)/Unit</f>
        <v>10.973000000000001</v>
      </c>
      <c r="N384" s="79">
        <f>-(SUMIFS(tblData[COGS],tblData[Scenario],"Actual",tblData[Year],selFY,tblData[Month],"&gt;="&amp;(mTo-WinM+1),tblData[Month],"&lt;="&amp;MIN(mTo,mSel),tblData[Brand],$B384)+SUMIFS(tblData[COGS],tblData[Scenario],"Forecast",tblData[Year],selFY,tblData[Month],"&gt;="&amp;MAX(mTo-WinM+1,mSel+1),tblData[Month],"&lt;="&amp;mTo,tblData[Brand],$B384))/Unit</f>
        <v>12.358000000000001</v>
      </c>
    </row>
    <row r="385" spans="1:14" x14ac:dyDescent="0.25">
      <c r="A385" s="77" t="s">
        <v>90</v>
      </c>
      <c r="B385" s="77" t="str">
        <f>INDEX(lstBrand,4)</f>
        <v>Lumio</v>
      </c>
      <c r="C385" s="79">
        <f>(SUMIFS(tblData[Units],tblData[Scenario],"Actual",tblData[Year],selFY,tblData[Month],"&gt;="&amp;mFrom,tblData[Month],"&lt;="&amp;MIN(mTo,mSel),tblData[Brand],$B385)+SUMIFS(tblData[Units],tblData[Scenario],"Forecast",tblData[Year],selFY,tblData[Month],"&gt;="&amp;MAX(mFrom,mSel+1),tblData[Month],"&lt;="&amp;mTo,tblData[Brand],$B385))</f>
        <v>6517.7000000000025</v>
      </c>
      <c r="D385" s="79">
        <f>(SUMIFS(tblData[Gross Sales],tblData[Scenario],"Actual",tblData[Year],selFY,tblData[Month],"&gt;="&amp;mFrom,tblData[Month],"&lt;="&amp;MIN(mTo,mSel),tblData[Brand],$B385)+SUMIFS(tblData[Gross Sales],tblData[Scenario],"Forecast",tblData[Year],selFY,tblData[Month],"&gt;="&amp;MAX(mFrom,mSel+1),tblData[Month],"&lt;="&amp;mTo,tblData[Brand],$B385))/Unit</f>
        <v>71.954999999999998</v>
      </c>
      <c r="E385" s="79">
        <f>(SUMIFS(tblData[Trade Discounts],tblData[Scenario],"Actual",tblData[Year],selFY,tblData[Month],"&gt;="&amp;mFrom,tblData[Month],"&lt;="&amp;MIN(mTo,mSel),tblData[Brand],$B385)+SUMIFS(tblData[Trade Discounts],tblData[Scenario],"Forecast",tblData[Year],selFY,tblData[Month],"&gt;="&amp;MAX(mFrom,mSel+1),tblData[Month],"&lt;="&amp;mTo,tblData[Brand],$B385))/Unit</f>
        <v>-11.227</v>
      </c>
      <c r="F385" s="79">
        <f>(SUMIFS(tblData[Returns],tblData[Scenario],"Actual",tblData[Year],selFY,tblData[Month],"&gt;="&amp;mFrom,tblData[Month],"&lt;="&amp;MIN(mTo,mSel),tblData[Brand],$B385)+SUMIFS(tblData[Returns],tblData[Scenario],"Forecast",tblData[Year],selFY,tblData[Month],"&gt;="&amp;MAX(mFrom,mSel+1),tblData[Month],"&lt;="&amp;mTo,tblData[Brand],$B385))/Unit</f>
        <v>-1.41</v>
      </c>
      <c r="G385" s="79">
        <f>(SUMIFS(tblData[Net Revenue],tblData[Scenario],"Actual",tblData[Year],selFY,tblData[Month],"&gt;="&amp;mFrom,tblData[Month],"&lt;="&amp;MIN(mTo,mSel),tblData[Brand],$B385)+SUMIFS(tblData[Net Revenue],tblData[Scenario],"Forecast",tblData[Year],selFY,tblData[Month],"&gt;="&amp;MAX(mFrom,mSel+1),tblData[Month],"&lt;="&amp;mTo,tblData[Brand],$B385))/Unit</f>
        <v>59.317999999999998</v>
      </c>
      <c r="H385" s="79">
        <f>(SUMIFS(tblData[COGS],tblData[Scenario],"Actual",tblData[Year],selFY,tblData[Month],"&gt;="&amp;mFrom,tblData[Month],"&lt;="&amp;MIN(mTo,mSel),tblData[Brand],$B385)+SUMIFS(tblData[COGS],tblData[Scenario],"Forecast",tblData[Year],selFY,tblData[Month],"&gt;="&amp;MAX(mFrom,mSel+1),tblData[Month],"&lt;="&amp;mTo,tblData[Brand],$B385))/Unit</f>
        <v>-24.283000000000001</v>
      </c>
      <c r="I385" s="79">
        <f>(SUMIFS(tblData[Gross Profit],tblData[Scenario],"Actual",tblData[Year],selFY,tblData[Month],"&gt;="&amp;mFrom,tblData[Month],"&lt;="&amp;MIN(mTo,mSel),tblData[Brand],$B385)+SUMIFS(tblData[Gross Profit],tblData[Scenario],"Forecast",tblData[Year],selFY,tblData[Month],"&gt;="&amp;MAX(mFrom,mSel+1),tblData[Month],"&lt;="&amp;mTo,tblData[Brand],$B385))/Unit</f>
        <v>35.034999999999997</v>
      </c>
      <c r="J385" s="79">
        <f>(SUMIFS(tblData[AP Spend],tblData[Scenario],"Actual",tblData[Year],selFY,tblData[Month],"&gt;="&amp;mFrom,tblData[Month],"&lt;="&amp;MIN(mTo,mSel),tblData[Brand],$B385)+SUMIFS(tblData[AP Spend],tblData[Scenario],"Forecast",tblData[Year],selFY,tblData[Month],"&gt;="&amp;MAX(mFrom,mSel+1),tblData[Month],"&lt;="&amp;mTo,tblData[Brand],$B385))/Unit</f>
        <v>-7.4649999999999999</v>
      </c>
      <c r="K385" s="79">
        <f>(SUMIFS(tblData[Cost to Serve],tblData[Scenario],"Actual",tblData[Year],selFY,tblData[Month],"&gt;="&amp;mFrom,tblData[Month],"&lt;="&amp;MIN(mTo,mSel),tblData[Brand],$B385)+SUMIFS(tblData[Cost to Serve],tblData[Scenario],"Forecast",tblData[Year],selFY,tblData[Month],"&gt;="&amp;MAX(mFrom,mSel+1),tblData[Month],"&lt;="&amp;mTo,tblData[Brand],$B385))/Unit</f>
        <v>-5.54</v>
      </c>
      <c r="L385" s="79">
        <f>(SUMIFS(tblData[Contribution Margin],tblData[Scenario],"Actual",tblData[Year],selFY,tblData[Month],"&gt;="&amp;mFrom,tblData[Month],"&lt;="&amp;MIN(mTo,mSel),tblData[Brand],$B385)+SUMIFS(tblData[Contribution Margin],tblData[Scenario],"Forecast",tblData[Year],selFY,tblData[Month],"&gt;="&amp;MAX(mFrom,mSel+1),tblData[Month],"&lt;="&amp;mTo,tblData[Brand],$B385))/Unit</f>
        <v>22.03</v>
      </c>
      <c r="M385" s="79">
        <f>SUMIFS(tblData[Inventory],tblData[Scenario],IF(mTo&lt;=mSel,"Actual","Forecast"),tblData[Year],selFY,tblData[Month],mTo,tblData[Brand],$B385)/Unit</f>
        <v>8.6639999999999997</v>
      </c>
      <c r="N385" s="79">
        <f>-(SUMIFS(tblData[COGS],tblData[Scenario],"Actual",tblData[Year],selFY,tblData[Month],"&gt;="&amp;(mTo-WinM+1),tblData[Month],"&lt;="&amp;MIN(mTo,mSel),tblData[Brand],$B385)+SUMIFS(tblData[COGS],tblData[Scenario],"Forecast",tblData[Year],selFY,tblData[Month],"&gt;="&amp;MAX(mTo-WinM+1,mSel+1),tblData[Month],"&lt;="&amp;mTo,tblData[Brand],$B385))/Unit</f>
        <v>8.2309999999999999</v>
      </c>
    </row>
    <row r="386" spans="1:14" x14ac:dyDescent="0.25">
      <c r="A386" s="77" t="s">
        <v>90</v>
      </c>
      <c r="B386" s="77" t="str">
        <f>INDEX(lstBrand,5)</f>
        <v>Everwood</v>
      </c>
      <c r="C386" s="79">
        <f>(SUMIFS(tblData[Units],tblData[Scenario],"Actual",tblData[Year],selFY,tblData[Month],"&gt;="&amp;mFrom,tblData[Month],"&lt;="&amp;MIN(mTo,mSel),tblData[Brand],$B386)+SUMIFS(tblData[Units],tblData[Scenario],"Forecast",tblData[Year],selFY,tblData[Month],"&gt;="&amp;MAX(mFrom,mSel+1),tblData[Month],"&lt;="&amp;mTo,tblData[Brand],$B386))</f>
        <v>7815.0999999999967</v>
      </c>
      <c r="D386" s="79">
        <f>(SUMIFS(tblData[Gross Sales],tblData[Scenario],"Actual",tblData[Year],selFY,tblData[Month],"&gt;="&amp;mFrom,tblData[Month],"&lt;="&amp;MIN(mTo,mSel),tblData[Brand],$B386)+SUMIFS(tblData[Gross Sales],tblData[Scenario],"Forecast",tblData[Year],selFY,tblData[Month],"&gt;="&amp;MAX(mFrom,mSel+1),tblData[Month],"&lt;="&amp;mTo,tblData[Brand],$B386))/Unit</f>
        <v>46.73</v>
      </c>
      <c r="E386" s="79">
        <f>(SUMIFS(tblData[Trade Discounts],tblData[Scenario],"Actual",tblData[Year],selFY,tblData[Month],"&gt;="&amp;mFrom,tblData[Month],"&lt;="&amp;MIN(mTo,mSel),tblData[Brand],$B386)+SUMIFS(tblData[Trade Discounts],tblData[Scenario],"Forecast",tblData[Year],selFY,tblData[Month],"&gt;="&amp;MAX(mFrom,mSel+1),tblData[Month],"&lt;="&amp;mTo,tblData[Brand],$B386))/Unit</f>
        <v>-7.3010000000000002</v>
      </c>
      <c r="F386" s="79">
        <f>(SUMIFS(tblData[Returns],tblData[Scenario],"Actual",tblData[Year],selFY,tblData[Month],"&gt;="&amp;mFrom,tblData[Month],"&lt;="&amp;MIN(mTo,mSel),tblData[Brand],$B386)+SUMIFS(tblData[Returns],tblData[Scenario],"Forecast",tblData[Year],selFY,tblData[Month],"&gt;="&amp;MAX(mFrom,mSel+1),tblData[Month],"&lt;="&amp;mTo,tblData[Brand],$B386))/Unit</f>
        <v>-0.91800000000000004</v>
      </c>
      <c r="G386" s="79">
        <f>(SUMIFS(tblData[Net Revenue],tblData[Scenario],"Actual",tblData[Year],selFY,tblData[Month],"&gt;="&amp;mFrom,tblData[Month],"&lt;="&amp;MIN(mTo,mSel),tblData[Brand],$B386)+SUMIFS(tblData[Net Revenue],tblData[Scenario],"Forecast",tblData[Year],selFY,tblData[Month],"&gt;="&amp;MAX(mFrom,mSel+1),tblData[Month],"&lt;="&amp;mTo,tblData[Brand],$B386))/Unit</f>
        <v>38.511000000000003</v>
      </c>
      <c r="H386" s="79">
        <f>(SUMIFS(tblData[COGS],tblData[Scenario],"Actual",tblData[Year],selFY,tblData[Month],"&gt;="&amp;mFrom,tblData[Month],"&lt;="&amp;MIN(mTo,mSel),tblData[Brand],$B386)+SUMIFS(tblData[COGS],tblData[Scenario],"Forecast",tblData[Year],selFY,tblData[Month],"&gt;="&amp;MAX(mFrom,mSel+1),tblData[Month],"&lt;="&amp;mTo,tblData[Brand],$B386))/Unit</f>
        <v>-21.03</v>
      </c>
      <c r="I386" s="79">
        <f>(SUMIFS(tblData[Gross Profit],tblData[Scenario],"Actual",tblData[Year],selFY,tblData[Month],"&gt;="&amp;mFrom,tblData[Month],"&lt;="&amp;MIN(mTo,mSel),tblData[Brand],$B386)+SUMIFS(tblData[Gross Profit],tblData[Scenario],"Forecast",tblData[Year],selFY,tblData[Month],"&gt;="&amp;MAX(mFrom,mSel+1),tblData[Month],"&lt;="&amp;mTo,tblData[Brand],$B386))/Unit</f>
        <v>17.481000000000002</v>
      </c>
      <c r="J386" s="79">
        <f>(SUMIFS(tblData[AP Spend],tblData[Scenario],"Actual",tblData[Year],selFY,tblData[Month],"&gt;="&amp;mFrom,tblData[Month],"&lt;="&amp;MIN(mTo,mSel),tblData[Brand],$B386)+SUMIFS(tblData[AP Spend],tblData[Scenario],"Forecast",tblData[Year],selFY,tblData[Month],"&gt;="&amp;MAX(mFrom,mSel+1),tblData[Month],"&lt;="&amp;mTo,tblData[Brand],$B386))/Unit</f>
        <v>-1.454</v>
      </c>
      <c r="K386" s="79">
        <f>(SUMIFS(tblData[Cost to Serve],tblData[Scenario],"Actual",tblData[Year],selFY,tblData[Month],"&gt;="&amp;mFrom,tblData[Month],"&lt;="&amp;MIN(mTo,mSel),tblData[Brand],$B386)+SUMIFS(tblData[Cost to Serve],tblData[Scenario],"Forecast",tblData[Year],selFY,tblData[Month],"&gt;="&amp;MAX(mFrom,mSel+1),tblData[Month],"&lt;="&amp;mTo,tblData[Brand],$B386))/Unit</f>
        <v>-3.5939999999999999</v>
      </c>
      <c r="L386" s="79">
        <f>(SUMIFS(tblData[Contribution Margin],tblData[Scenario],"Actual",tblData[Year],selFY,tblData[Month],"&gt;="&amp;mFrom,tblData[Month],"&lt;="&amp;MIN(mTo,mSel),tblData[Brand],$B386)+SUMIFS(tblData[Contribution Margin],tblData[Scenario],"Forecast",tblData[Year],selFY,tblData[Month],"&gt;="&amp;MAX(mFrom,mSel+1),tblData[Month],"&lt;="&amp;mTo,tblData[Brand],$B386))/Unit</f>
        <v>12.433</v>
      </c>
      <c r="M386" s="79">
        <f>SUMIFS(tblData[Inventory],tblData[Scenario],IF(mTo&lt;=mSel,"Actual","Forecast"),tblData[Year],selFY,tblData[Month],mTo,tblData[Brand],$B386)/Unit</f>
        <v>9.7530000000000001</v>
      </c>
      <c r="N386" s="79">
        <f>-(SUMIFS(tblData[COGS],tblData[Scenario],"Actual",tblData[Year],selFY,tblData[Month],"&gt;="&amp;(mTo-WinM+1),tblData[Month],"&lt;="&amp;MIN(mTo,mSel),tblData[Brand],$B386)+SUMIFS(tblData[COGS],tblData[Scenario],"Forecast",tblData[Year],selFY,tblData[Month],"&gt;="&amp;MAX(mTo-WinM+1,mSel+1),tblData[Month],"&lt;="&amp;mTo,tblData[Brand],$B386))/Unit</f>
        <v>7.1150000000000002</v>
      </c>
    </row>
    <row r="387" spans="1:14" x14ac:dyDescent="0.25">
      <c r="A387" s="77" t="s">
        <v>90</v>
      </c>
      <c r="B387" s="77" t="str">
        <f>INDEX(lstBrand,6)</f>
        <v>Tindra</v>
      </c>
      <c r="C387" s="79">
        <f>(SUMIFS(tblData[Units],tblData[Scenario],"Actual",tblData[Year],selFY,tblData[Month],"&gt;="&amp;mFrom,tblData[Month],"&lt;="&amp;MIN(mTo,mSel),tblData[Brand],$B387)+SUMIFS(tblData[Units],tblData[Scenario],"Forecast",tblData[Year],selFY,tblData[Month],"&gt;="&amp;MAX(mFrom,mSel+1),tblData[Month],"&lt;="&amp;mTo,tblData[Brand],$B387))</f>
        <v>1476.8000000000004</v>
      </c>
      <c r="D387" s="79">
        <f>(SUMIFS(tblData[Gross Sales],tblData[Scenario],"Actual",tblData[Year],selFY,tblData[Month],"&gt;="&amp;mFrom,tblData[Month],"&lt;="&amp;MIN(mTo,mSel),tblData[Brand],$B387)+SUMIFS(tblData[Gross Sales],tblData[Scenario],"Forecast",tblData[Year],selFY,tblData[Month],"&gt;="&amp;MAX(mFrom,mSel+1),tblData[Month],"&lt;="&amp;mTo,tblData[Brand],$B387))/Unit</f>
        <v>26.597999999999999</v>
      </c>
      <c r="E387" s="79">
        <f>(SUMIFS(tblData[Trade Discounts],tblData[Scenario],"Actual",tblData[Year],selFY,tblData[Month],"&gt;="&amp;mFrom,tblData[Month],"&lt;="&amp;MIN(mTo,mSel),tblData[Brand],$B387)+SUMIFS(tblData[Trade Discounts],tblData[Scenario],"Forecast",tblData[Year],selFY,tblData[Month],"&gt;="&amp;MAX(mFrom,mSel+1),tblData[Month],"&lt;="&amp;mTo,tblData[Brand],$B387))/Unit</f>
        <v>-4.1440000000000001</v>
      </c>
      <c r="F387" s="79">
        <f>(SUMIFS(tblData[Returns],tblData[Scenario],"Actual",tblData[Year],selFY,tblData[Month],"&gt;="&amp;mFrom,tblData[Month],"&lt;="&amp;MIN(mTo,mSel),tblData[Brand],$B387)+SUMIFS(tblData[Returns],tblData[Scenario],"Forecast",tblData[Year],selFY,tblData[Month],"&gt;="&amp;MAX(mFrom,mSel+1),tblData[Month],"&lt;="&amp;mTo,tblData[Brand],$B387))/Unit</f>
        <v>-0.52900000000000003</v>
      </c>
      <c r="G387" s="79">
        <f>(SUMIFS(tblData[Net Revenue],tblData[Scenario],"Actual",tblData[Year],selFY,tblData[Month],"&gt;="&amp;mFrom,tblData[Month],"&lt;="&amp;MIN(mTo,mSel),tblData[Brand],$B387)+SUMIFS(tblData[Net Revenue],tblData[Scenario],"Forecast",tblData[Year],selFY,tblData[Month],"&gt;="&amp;MAX(mFrom,mSel+1),tblData[Month],"&lt;="&amp;mTo,tblData[Brand],$B387))/Unit</f>
        <v>21.925000000000001</v>
      </c>
      <c r="H387" s="79">
        <f>(SUMIFS(tblData[COGS],tblData[Scenario],"Actual",tblData[Year],selFY,tblData[Month],"&gt;="&amp;mFrom,tblData[Month],"&lt;="&amp;MIN(mTo,mSel),tblData[Brand],$B387)+SUMIFS(tblData[COGS],tblData[Scenario],"Forecast",tblData[Year],selFY,tblData[Month],"&gt;="&amp;MAX(mFrom,mSel+1),tblData[Month],"&lt;="&amp;mTo,tblData[Brand],$B387))/Unit</f>
        <v>-10.346</v>
      </c>
      <c r="I387" s="79">
        <f>(SUMIFS(tblData[Gross Profit],tblData[Scenario],"Actual",tblData[Year],selFY,tblData[Month],"&gt;="&amp;mFrom,tblData[Month],"&lt;="&amp;MIN(mTo,mSel),tblData[Brand],$B387)+SUMIFS(tblData[Gross Profit],tblData[Scenario],"Forecast",tblData[Year],selFY,tblData[Month],"&gt;="&amp;MAX(mFrom,mSel+1),tblData[Month],"&lt;="&amp;mTo,tblData[Brand],$B387))/Unit</f>
        <v>11.579000000000001</v>
      </c>
      <c r="J387" s="79">
        <f>(SUMIFS(tblData[AP Spend],tblData[Scenario],"Actual",tblData[Year],selFY,tblData[Month],"&gt;="&amp;mFrom,tblData[Month],"&lt;="&amp;MIN(mTo,mSel),tblData[Brand],$B387)+SUMIFS(tblData[AP Spend],tblData[Scenario],"Forecast",tblData[Year],selFY,tblData[Month],"&gt;="&amp;MAX(mFrom,mSel+1),tblData[Month],"&lt;="&amp;mTo,tblData[Brand],$B387))/Unit</f>
        <v>-4.0679999999999996</v>
      </c>
      <c r="K387" s="79">
        <f>(SUMIFS(tblData[Cost to Serve],tblData[Scenario],"Actual",tblData[Year],selFY,tblData[Month],"&gt;="&amp;mFrom,tblData[Month],"&lt;="&amp;MIN(mTo,mSel),tblData[Brand],$B387)+SUMIFS(tblData[Cost to Serve],tblData[Scenario],"Forecast",tblData[Year],selFY,tblData[Month],"&gt;="&amp;MAX(mFrom,mSel+1),tblData[Month],"&lt;="&amp;mTo,tblData[Brand],$B387))/Unit</f>
        <v>-2.052</v>
      </c>
      <c r="L387" s="79">
        <f>(SUMIFS(tblData[Contribution Margin],tblData[Scenario],"Actual",tblData[Year],selFY,tblData[Month],"&gt;="&amp;mFrom,tblData[Month],"&lt;="&amp;MIN(mTo,mSel),tblData[Brand],$B387)+SUMIFS(tblData[Contribution Margin],tblData[Scenario],"Forecast",tblData[Year],selFY,tblData[Month],"&gt;="&amp;MAX(mFrom,mSel+1),tblData[Month],"&lt;="&amp;mTo,tblData[Brand],$B387))/Unit</f>
        <v>5.4589999999999996</v>
      </c>
      <c r="M387" s="79">
        <f>SUMIFS(tblData[Inventory],tblData[Scenario],IF(mTo&lt;=mSel,"Actual","Forecast"),tblData[Year],selFY,tblData[Month],mTo,tblData[Brand],$B387)/Unit</f>
        <v>4.8440000000000003</v>
      </c>
      <c r="N387" s="79">
        <f>-(SUMIFS(tblData[COGS],tblData[Scenario],"Actual",tblData[Year],selFY,tblData[Month],"&gt;="&amp;(mTo-WinM+1),tblData[Month],"&lt;="&amp;MIN(mTo,mSel),tblData[Brand],$B387)+SUMIFS(tblData[COGS],tblData[Scenario],"Forecast",tblData[Year],selFY,tblData[Month],"&gt;="&amp;MAX(mTo-WinM+1,mSel+1),tblData[Month],"&lt;="&amp;mTo,tblData[Brand],$B387))/Unit</f>
        <v>3.508</v>
      </c>
    </row>
    <row r="388" spans="1:14" x14ac:dyDescent="0.25">
      <c r="A388" s="78" t="s">
        <v>232</v>
      </c>
      <c r="B388" s="78" t="s">
        <v>222</v>
      </c>
      <c r="C388" s="78" t="s">
        <v>5</v>
      </c>
      <c r="D388" s="78" t="s">
        <v>6</v>
      </c>
      <c r="E388" s="78" t="s">
        <v>7</v>
      </c>
      <c r="F388" s="78" t="s">
        <v>8</v>
      </c>
      <c r="G388" s="78" t="s">
        <v>30</v>
      </c>
      <c r="H388" s="78" t="s">
        <v>31</v>
      </c>
      <c r="I388" s="78" t="s">
        <v>32</v>
      </c>
      <c r="J388" s="78" t="s">
        <v>33</v>
      </c>
      <c r="K388" s="78" t="s">
        <v>34</v>
      </c>
      <c r="L388" s="78" t="s">
        <v>35</v>
      </c>
      <c r="M388" s="78" t="s">
        <v>223</v>
      </c>
      <c r="N388" s="78" t="s">
        <v>224</v>
      </c>
    </row>
    <row r="389" spans="1:14" x14ac:dyDescent="0.25">
      <c r="A389" s="77" t="s">
        <v>91</v>
      </c>
      <c r="B389" s="77" t="str">
        <f>INDEX(lstBrand,1)</f>
        <v>Aurelia</v>
      </c>
      <c r="C389" s="79">
        <f>SUMIFS(tblData[Units],tblData[Scenario],"Budget",tblData[Year],selFY,tblData[Month],"&gt;="&amp;mFrom,tblData[Month],"&lt;="&amp;mTo,tblData[Brand],$B389)</f>
        <v>10080.300000000001</v>
      </c>
      <c r="D389" s="79">
        <f>SUMIFS(tblData[Gross Sales],tblData[Scenario],"Budget",tblData[Year],selFY,tblData[Month],"&gt;="&amp;mFrom,tblData[Month],"&lt;="&amp;mTo,tblData[Brand],$B389)/Unit</f>
        <v>141.12299999999999</v>
      </c>
      <c r="E389" s="79">
        <f>SUMIFS(tblData[Trade Discounts],tblData[Scenario],"Budget",tblData[Year],selFY,tblData[Month],"&gt;="&amp;mFrom,tblData[Month],"&lt;="&amp;mTo,tblData[Brand],$B389)/Unit</f>
        <v>-21.817</v>
      </c>
      <c r="F389" s="79">
        <f>SUMIFS(tblData[Returns],tblData[Scenario],"Budget",tblData[Year],selFY,tblData[Month],"&gt;="&amp;mFrom,tblData[Month],"&lt;="&amp;mTo,tblData[Brand],$B389)/Unit</f>
        <v>-2.7090000000000001</v>
      </c>
      <c r="G389" s="79">
        <f>SUMIFS(tblData[Net Revenue],tblData[Scenario],"Budget",tblData[Year],selFY,tblData[Month],"&gt;="&amp;mFrom,tblData[Month],"&lt;="&amp;mTo,tblData[Brand],$B389)/Unit</f>
        <v>116.59699999999999</v>
      </c>
      <c r="H389" s="79">
        <f>SUMIFS(tblData[COGS],tblData[Scenario],"Budget",tblData[Year],selFY,tblData[Month],"&gt;="&amp;mFrom,tblData[Month],"&lt;="&amp;mTo,tblData[Brand],$B389)/Unit</f>
        <v>-42.332999999999998</v>
      </c>
      <c r="I389" s="79">
        <f>SUMIFS(tblData[Gross Profit],tblData[Scenario],"Budget",tblData[Year],selFY,tblData[Month],"&gt;="&amp;mFrom,tblData[Month],"&lt;="&amp;mTo,tblData[Brand],$B389)/Unit</f>
        <v>74.263999999999996</v>
      </c>
      <c r="J389" s="79">
        <f>SUMIFS(tblData[AP Spend],tblData[Scenario],"Budget",tblData[Year],selFY,tblData[Month],"&gt;="&amp;mFrom,tblData[Month],"&lt;="&amp;mTo,tblData[Brand],$B389)/Unit</f>
        <v>-12.7</v>
      </c>
      <c r="K389" s="79">
        <f>SUMIFS(tblData[Cost to Serve],tblData[Scenario],"Budget",tblData[Year],selFY,tblData[Month],"&gt;="&amp;mFrom,tblData[Month],"&lt;="&amp;mTo,tblData[Brand],$B389)/Unit</f>
        <v>-10.558</v>
      </c>
      <c r="L389" s="79">
        <f>SUMIFS(tblData[Contribution Margin],tblData[Scenario],"Budget",tblData[Year],selFY,tblData[Month],"&gt;="&amp;mFrom,tblData[Month],"&lt;="&amp;mTo,tblData[Brand],$B389)/Unit</f>
        <v>51.006</v>
      </c>
      <c r="M389" s="79">
        <f>SUMIFS(tblData[Inventory],tblData[Scenario],"Budget",tblData[Year],selFY,tblData[Month],mTo,tblData[Brand],$B389)/Unit</f>
        <v>14.882999999999999</v>
      </c>
      <c r="N389" s="79">
        <f>-SUMIFS(tblData[COGS],tblData[Scenario],"Budget",tblData[Year],selFY,tblData[Month],"&gt;="&amp;(mTo-WinM+1),tblData[Month],"&lt;="&amp;mTo,tblData[Brand],$B389)/Unit</f>
        <v>14.285</v>
      </c>
    </row>
    <row r="390" spans="1:14" x14ac:dyDescent="0.25">
      <c r="A390" s="77" t="s">
        <v>91</v>
      </c>
      <c r="B390" s="77" t="str">
        <f>INDEX(lstBrand,2)</f>
        <v>Novara</v>
      </c>
      <c r="C390" s="79">
        <f>SUMIFS(tblData[Units],tblData[Scenario],"Budget",tblData[Year],selFY,tblData[Month],"&gt;="&amp;mFrom,tblData[Month],"&lt;="&amp;mTo,tblData[Brand],$B390)</f>
        <v>13439.9</v>
      </c>
      <c r="D390" s="79">
        <f>SUMIFS(tblData[Gross Sales],tblData[Scenario],"Budget",tblData[Year],selFY,tblData[Month],"&gt;="&amp;mFrom,tblData[Month],"&lt;="&amp;mTo,tblData[Brand],$B390)/Unit</f>
        <v>120.961</v>
      </c>
      <c r="E390" s="79">
        <f>SUMIFS(tblData[Trade Discounts],tblData[Scenario],"Budget",tblData[Year],selFY,tblData[Month],"&gt;="&amp;mFrom,tblData[Month],"&lt;="&amp;mTo,tblData[Brand],$B390)/Unit</f>
        <v>-18.702000000000002</v>
      </c>
      <c r="F390" s="79">
        <f>SUMIFS(tblData[Returns],tblData[Scenario],"Budget",tblData[Year],selFY,tblData[Month],"&gt;="&amp;mFrom,tblData[Month],"&lt;="&amp;mTo,tblData[Brand],$B390)/Unit</f>
        <v>-2.3170000000000002</v>
      </c>
      <c r="G390" s="79">
        <f>SUMIFS(tblData[Net Revenue],tblData[Scenario],"Budget",tblData[Year],selFY,tblData[Month],"&gt;="&amp;mFrom,tblData[Month],"&lt;="&amp;mTo,tblData[Brand],$B390)/Unit</f>
        <v>99.941999999999993</v>
      </c>
      <c r="H390" s="79">
        <f>SUMIFS(tblData[COGS],tblData[Scenario],"Budget",tblData[Year],selFY,tblData[Month],"&gt;="&amp;mFrom,tblData[Month],"&lt;="&amp;mTo,tblData[Brand],$B390)/Unit</f>
        <v>-43.543999999999997</v>
      </c>
      <c r="I390" s="79">
        <f>SUMIFS(tblData[Gross Profit],tblData[Scenario],"Budget",tblData[Year],selFY,tblData[Month],"&gt;="&amp;mFrom,tblData[Month],"&lt;="&amp;mTo,tblData[Brand],$B390)/Unit</f>
        <v>56.398000000000003</v>
      </c>
      <c r="J390" s="79">
        <f>SUMIFS(tblData[AP Spend],tblData[Scenario],"Budget",tblData[Year],selFY,tblData[Month],"&gt;="&amp;mFrom,tblData[Month],"&lt;="&amp;mTo,tblData[Brand],$B390)/Unit</f>
        <v>-7.2560000000000002</v>
      </c>
      <c r="K390" s="79">
        <f>SUMIFS(tblData[Cost to Serve],tblData[Scenario],"Budget",tblData[Year],selFY,tblData[Month],"&gt;="&amp;mFrom,tblData[Month],"&lt;="&amp;mTo,tblData[Brand],$B390)/Unit</f>
        <v>-9.0510000000000002</v>
      </c>
      <c r="L390" s="79">
        <f>SUMIFS(tblData[Contribution Margin],tblData[Scenario],"Budget",tblData[Year],selFY,tblData[Month],"&gt;="&amp;mFrom,tblData[Month],"&lt;="&amp;mTo,tblData[Brand],$B390)/Unit</f>
        <v>40.091000000000001</v>
      </c>
      <c r="M390" s="79">
        <f>SUMIFS(tblData[Inventory],tblData[Scenario],"Budget",tblData[Year],selFY,tblData[Month],mTo,tblData[Brand],$B390)/Unit</f>
        <v>12.893000000000001</v>
      </c>
      <c r="N390" s="79">
        <f>-SUMIFS(tblData[COGS],tblData[Scenario],"Budget",tblData[Year],selFY,tblData[Month],"&gt;="&amp;(mTo-WinM+1),tblData[Month],"&lt;="&amp;mTo,tblData[Brand],$B390)/Unit</f>
        <v>14.696</v>
      </c>
    </row>
    <row r="391" spans="1:14" x14ac:dyDescent="0.25">
      <c r="A391" s="77" t="s">
        <v>91</v>
      </c>
      <c r="B391" s="77" t="str">
        <f>INDEX(lstBrand,3)</f>
        <v>Kestrel</v>
      </c>
      <c r="C391" s="79">
        <f>SUMIFS(tblData[Units],tblData[Scenario],"Budget",tblData[Year],selFY,tblData[Month],"&gt;="&amp;mFrom,tblData[Month],"&lt;="&amp;mTo,tblData[Brand],$B391)</f>
        <v>12960.299999999994</v>
      </c>
      <c r="D391" s="79">
        <f>SUMIFS(tblData[Gross Sales],tblData[Scenario],"Budget",tblData[Year],selFY,tblData[Month],"&gt;="&amp;mFrom,tblData[Month],"&lt;="&amp;mTo,tblData[Brand],$B391)/Unit</f>
        <v>90.724000000000004</v>
      </c>
      <c r="E391" s="79">
        <f>SUMIFS(tblData[Trade Discounts],tblData[Scenario],"Budget",tblData[Year],selFY,tblData[Month],"&gt;="&amp;mFrom,tblData[Month],"&lt;="&amp;mTo,tblData[Brand],$B391)/Unit</f>
        <v>-14.026999999999999</v>
      </c>
      <c r="F391" s="79">
        <f>SUMIFS(tblData[Returns],tblData[Scenario],"Budget",tblData[Year],selFY,tblData[Month],"&gt;="&amp;mFrom,tblData[Month],"&lt;="&amp;mTo,tblData[Brand],$B391)/Unit</f>
        <v>-1.7410000000000001</v>
      </c>
      <c r="G391" s="79">
        <f>SUMIFS(tblData[Net Revenue],tblData[Scenario],"Budget",tblData[Year],selFY,tblData[Month],"&gt;="&amp;mFrom,tblData[Month],"&lt;="&amp;mTo,tblData[Brand],$B391)/Unit</f>
        <v>74.956000000000003</v>
      </c>
      <c r="H391" s="79">
        <f>SUMIFS(tblData[COGS],tblData[Scenario],"Budget",tblData[Year],selFY,tblData[Month],"&gt;="&amp;mFrom,tblData[Month],"&lt;="&amp;mTo,tblData[Brand],$B391)/Unit</f>
        <v>-36.286000000000001</v>
      </c>
      <c r="I391" s="79">
        <f>SUMIFS(tblData[Gross Profit],tblData[Scenario],"Budget",tblData[Year],selFY,tblData[Month],"&gt;="&amp;mFrom,tblData[Month],"&lt;="&amp;mTo,tblData[Brand],$B391)/Unit</f>
        <v>38.67</v>
      </c>
      <c r="J391" s="79">
        <f>SUMIFS(tblData[AP Spend],tblData[Scenario],"Budget",tblData[Year],selFY,tblData[Month],"&gt;="&amp;mFrom,tblData[Month],"&lt;="&amp;mTo,tblData[Brand],$B391)/Unit</f>
        <v>-3.6280000000000001</v>
      </c>
      <c r="K391" s="79">
        <f>SUMIFS(tblData[Cost to Serve],tblData[Scenario],"Budget",tblData[Year],selFY,tblData[Month],"&gt;="&amp;mFrom,tblData[Month],"&lt;="&amp;mTo,tblData[Brand],$B391)/Unit</f>
        <v>-6.79</v>
      </c>
      <c r="L391" s="79">
        <f>SUMIFS(tblData[Contribution Margin],tblData[Scenario],"Budget",tblData[Year],selFY,tblData[Month],"&gt;="&amp;mFrom,tblData[Month],"&lt;="&amp;mTo,tblData[Brand],$B391)/Unit</f>
        <v>28.251999999999999</v>
      </c>
      <c r="M391" s="79">
        <f>SUMIFS(tblData[Inventory],tblData[Scenario],"Budget",tblData[Year],selFY,tblData[Month],mTo,tblData[Brand],$B391)/Unit</f>
        <v>10.071</v>
      </c>
      <c r="N391" s="79">
        <f>-SUMIFS(tblData[COGS],tblData[Scenario],"Budget",tblData[Year],selFY,tblData[Month],"&gt;="&amp;(mTo-WinM+1),tblData[Month],"&lt;="&amp;mTo,tblData[Brand],$B391)/Unit</f>
        <v>12.244</v>
      </c>
    </row>
    <row r="392" spans="1:14" x14ac:dyDescent="0.25">
      <c r="A392" s="77" t="s">
        <v>91</v>
      </c>
      <c r="B392" s="77" t="str">
        <f>INDEX(lstBrand,4)</f>
        <v>Lumio</v>
      </c>
      <c r="C392" s="79">
        <f>SUMIFS(tblData[Units],tblData[Scenario],"Budget",tblData[Year],selFY,tblData[Month],"&gt;="&amp;mFrom,tblData[Month],"&lt;="&amp;mTo,tblData[Brand],$B392)</f>
        <v>6413.9000000000005</v>
      </c>
      <c r="D392" s="79">
        <f>SUMIFS(tblData[Gross Sales],tblData[Scenario],"Budget",tblData[Year],selFY,tblData[Month],"&gt;="&amp;mFrom,tblData[Month],"&lt;="&amp;mTo,tblData[Brand],$B392)/Unit</f>
        <v>70.558999999999997</v>
      </c>
      <c r="E392" s="79">
        <f>SUMIFS(tblData[Trade Discounts],tblData[Scenario],"Budget",tblData[Year],selFY,tblData[Month],"&gt;="&amp;mFrom,tblData[Month],"&lt;="&amp;mTo,tblData[Brand],$B392)/Unit</f>
        <v>-10.906000000000001</v>
      </c>
      <c r="F392" s="79">
        <f>SUMIFS(tblData[Returns],tblData[Scenario],"Budget",tblData[Year],selFY,tblData[Month],"&gt;="&amp;mFrom,tblData[Month],"&lt;="&amp;mTo,tblData[Brand],$B392)/Unit</f>
        <v>-1.353</v>
      </c>
      <c r="G392" s="79">
        <f>SUMIFS(tblData[Net Revenue],tblData[Scenario],"Budget",tblData[Year],selFY,tblData[Month],"&gt;="&amp;mFrom,tblData[Month],"&lt;="&amp;mTo,tblData[Brand],$B392)/Unit</f>
        <v>58.3</v>
      </c>
      <c r="H392" s="79">
        <f>SUMIFS(tblData[COGS],tblData[Scenario],"Budget",tblData[Year],selFY,tblData[Month],"&gt;="&amp;mFrom,tblData[Month],"&lt;="&amp;mTo,tblData[Brand],$B392)/Unit</f>
        <v>-23.294</v>
      </c>
      <c r="I392" s="79">
        <f>SUMIFS(tblData[Gross Profit],tblData[Scenario],"Budget",tblData[Year],selFY,tblData[Month],"&gt;="&amp;mFrom,tblData[Month],"&lt;="&amp;mTo,tblData[Brand],$B392)/Unit</f>
        <v>35.006</v>
      </c>
      <c r="J392" s="79">
        <f>SUMIFS(tblData[AP Spend],tblData[Scenario],"Budget",tblData[Year],selFY,tblData[Month],"&gt;="&amp;mFrom,tblData[Month],"&lt;="&amp;mTo,tblData[Brand],$B392)/Unit</f>
        <v>-7.76</v>
      </c>
      <c r="K392" s="79">
        <f>SUMIFS(tblData[Cost to Serve],tblData[Scenario],"Budget",tblData[Year],selFY,tblData[Month],"&gt;="&amp;mFrom,tblData[Month],"&lt;="&amp;mTo,tblData[Brand],$B392)/Unit</f>
        <v>-5.2809999999999997</v>
      </c>
      <c r="L392" s="79">
        <f>SUMIFS(tblData[Contribution Margin],tblData[Scenario],"Budget",tblData[Year],selFY,tblData[Month],"&gt;="&amp;mFrom,tblData[Month],"&lt;="&amp;mTo,tblData[Brand],$B392)/Unit</f>
        <v>21.965</v>
      </c>
      <c r="M392" s="79">
        <f>SUMIFS(tblData[Inventory],tblData[Scenario],"Budget",tblData[Year],selFY,tblData[Month],mTo,tblData[Brand],$B392)/Unit</f>
        <v>7.7560000000000002</v>
      </c>
      <c r="N392" s="79">
        <f>-SUMIFS(tblData[COGS],tblData[Scenario],"Budget",tblData[Year],selFY,tblData[Month],"&gt;="&amp;(mTo-WinM+1),tblData[Month],"&lt;="&amp;mTo,tblData[Brand],$B392)/Unit</f>
        <v>7.86</v>
      </c>
    </row>
    <row r="393" spans="1:14" x14ac:dyDescent="0.25">
      <c r="A393" s="77" t="s">
        <v>91</v>
      </c>
      <c r="B393" s="77" t="str">
        <f>INDEX(lstBrand,5)</f>
        <v>Everwood</v>
      </c>
      <c r="C393" s="79">
        <f>SUMIFS(tblData[Units],tblData[Scenario],"Budget",tblData[Year],selFY,tblData[Month],"&gt;="&amp;mFrom,tblData[Month],"&lt;="&amp;mTo,tblData[Brand],$B393)</f>
        <v>8400.0000000000018</v>
      </c>
      <c r="D393" s="79">
        <f>SUMIFS(tblData[Gross Sales],tblData[Scenario],"Budget",tblData[Year],selFY,tblData[Month],"&gt;="&amp;mFrom,tblData[Month],"&lt;="&amp;mTo,tblData[Brand],$B393)/Unit</f>
        <v>50.396999999999998</v>
      </c>
      <c r="E393" s="79">
        <f>SUMIFS(tblData[Trade Discounts],tblData[Scenario],"Budget",tblData[Year],selFY,tblData[Month],"&gt;="&amp;mFrom,tblData[Month],"&lt;="&amp;mTo,tblData[Brand],$B393)/Unit</f>
        <v>-7.7880000000000003</v>
      </c>
      <c r="F393" s="79">
        <f>SUMIFS(tblData[Returns],tblData[Scenario],"Budget",tblData[Year],selFY,tblData[Month],"&gt;="&amp;mFrom,tblData[Month],"&lt;="&amp;mTo,tblData[Brand],$B393)/Unit</f>
        <v>-0.96699999999999997</v>
      </c>
      <c r="G393" s="79">
        <f>SUMIFS(tblData[Net Revenue],tblData[Scenario],"Budget",tblData[Year],selFY,tblData[Month],"&gt;="&amp;mFrom,tblData[Month],"&lt;="&amp;mTo,tblData[Brand],$B393)/Unit</f>
        <v>41.642000000000003</v>
      </c>
      <c r="H393" s="79">
        <f>SUMIFS(tblData[COGS],tblData[Scenario],"Budget",tblData[Year],selFY,tblData[Month],"&gt;="&amp;mFrom,tblData[Month],"&lt;="&amp;mTo,tblData[Brand],$B393)/Unit</f>
        <v>-22.178000000000001</v>
      </c>
      <c r="I393" s="79">
        <f>SUMIFS(tblData[Gross Profit],tblData[Scenario],"Budget",tblData[Year],selFY,tblData[Month],"&gt;="&amp;mFrom,tblData[Month],"&lt;="&amp;mTo,tblData[Brand],$B393)/Unit</f>
        <v>19.463999999999999</v>
      </c>
      <c r="J393" s="79">
        <f>SUMIFS(tblData[AP Spend],tblData[Scenario],"Budget",tblData[Year],selFY,tblData[Month],"&gt;="&amp;mFrom,tblData[Month],"&lt;="&amp;mTo,tblData[Brand],$B393)/Unit</f>
        <v>-1.504</v>
      </c>
      <c r="K393" s="79">
        <f>SUMIFS(tblData[Cost to Serve],tblData[Scenario],"Budget",tblData[Year],selFY,tblData[Month],"&gt;="&amp;mFrom,tblData[Month],"&lt;="&amp;mTo,tblData[Brand],$B393)/Unit</f>
        <v>-3.7570000000000001</v>
      </c>
      <c r="L393" s="79">
        <f>SUMIFS(tblData[Contribution Margin],tblData[Scenario],"Budget",tblData[Year],selFY,tblData[Month],"&gt;="&amp;mFrom,tblData[Month],"&lt;="&amp;mTo,tblData[Brand],$B393)/Unit</f>
        <v>14.202999999999999</v>
      </c>
      <c r="M393" s="79">
        <f>SUMIFS(tblData[Inventory],tblData[Scenario],"Budget",tblData[Year],selFY,tblData[Month],mTo,tblData[Brand],$B393)/Unit</f>
        <v>9.0280000000000005</v>
      </c>
      <c r="N393" s="79">
        <f>-SUMIFS(tblData[COGS],tblData[Scenario],"Budget",tblData[Year],selFY,tblData[Month],"&gt;="&amp;(mTo-WinM+1),tblData[Month],"&lt;="&amp;mTo,tblData[Brand],$B393)/Unit</f>
        <v>7.484</v>
      </c>
    </row>
    <row r="394" spans="1:14" x14ac:dyDescent="0.25">
      <c r="A394" s="77" t="s">
        <v>91</v>
      </c>
      <c r="B394" s="77" t="str">
        <f>INDEX(lstBrand,6)</f>
        <v>Tindra</v>
      </c>
      <c r="C394" s="79">
        <f>SUMIFS(tblData[Units],tblData[Scenario],"Budget",tblData[Year],selFY,tblData[Month],"&gt;="&amp;mFrom,tblData[Month],"&lt;="&amp;mTo,tblData[Brand],$B394)</f>
        <v>1679.9</v>
      </c>
      <c r="D394" s="79">
        <f>SUMIFS(tblData[Gross Sales],tblData[Scenario],"Budget",tblData[Year],selFY,tblData[Month],"&gt;="&amp;mFrom,tblData[Month],"&lt;="&amp;mTo,tblData[Brand],$B394)/Unit</f>
        <v>30.236999999999998</v>
      </c>
      <c r="E394" s="79">
        <f>SUMIFS(tblData[Trade Discounts],tblData[Scenario],"Budget",tblData[Year],selFY,tblData[Month],"&gt;="&amp;mFrom,tblData[Month],"&lt;="&amp;mTo,tblData[Brand],$B394)/Unit</f>
        <v>-4.6740000000000004</v>
      </c>
      <c r="F394" s="79">
        <f>SUMIFS(tblData[Returns],tblData[Scenario],"Budget",tblData[Year],selFY,tblData[Month],"&gt;="&amp;mFrom,tblData[Month],"&lt;="&amp;mTo,tblData[Brand],$B394)/Unit</f>
        <v>-0.57799999999999996</v>
      </c>
      <c r="G394" s="79">
        <f>SUMIFS(tblData[Net Revenue],tblData[Scenario],"Budget",tblData[Year],selFY,tblData[Month],"&gt;="&amp;mFrom,tblData[Month],"&lt;="&amp;mTo,tblData[Brand],$B394)/Unit</f>
        <v>24.984999999999999</v>
      </c>
      <c r="H394" s="79">
        <f>SUMIFS(tblData[COGS],tblData[Scenario],"Budget",tblData[Year],selFY,tblData[Month],"&gt;="&amp;mFrom,tblData[Month],"&lt;="&amp;mTo,tblData[Brand],$B394)/Unit</f>
        <v>-11.494999999999999</v>
      </c>
      <c r="I394" s="79">
        <f>SUMIFS(tblData[Gross Profit],tblData[Scenario],"Budget",tblData[Year],selFY,tblData[Month],"&gt;="&amp;mFrom,tblData[Month],"&lt;="&amp;mTo,tblData[Brand],$B394)/Unit</f>
        <v>13.49</v>
      </c>
      <c r="J394" s="79">
        <f>SUMIFS(tblData[AP Spend],tblData[Scenario],"Budget",tblData[Year],selFY,tblData[Month],"&gt;="&amp;mFrom,tblData[Month],"&lt;="&amp;mTo,tblData[Brand],$B394)/Unit</f>
        <v>-4.2370000000000001</v>
      </c>
      <c r="K394" s="79">
        <f>SUMIFS(tblData[Cost to Serve],tblData[Scenario],"Budget",tblData[Year],selFY,tblData[Month],"&gt;="&amp;mFrom,tblData[Month],"&lt;="&amp;mTo,tblData[Brand],$B394)/Unit</f>
        <v>-2.2589999999999999</v>
      </c>
      <c r="L394" s="79">
        <f>SUMIFS(tblData[Contribution Margin],tblData[Scenario],"Budget",tblData[Year],selFY,tblData[Month],"&gt;="&amp;mFrom,tblData[Month],"&lt;="&amp;mTo,tblData[Brand],$B394)/Unit</f>
        <v>6.9939999999999998</v>
      </c>
      <c r="M394" s="79">
        <f>SUMIFS(tblData[Inventory],tblData[Scenario],"Budget",tblData[Year],selFY,tblData[Month],mTo,tblData[Brand],$B394)/Unit</f>
        <v>5.1020000000000003</v>
      </c>
      <c r="N394" s="79">
        <f>-SUMIFS(tblData[COGS],tblData[Scenario],"Budget",tblData[Year],selFY,tblData[Month],"&gt;="&amp;(mTo-WinM+1),tblData[Month],"&lt;="&amp;mTo,tblData[Brand],$B394)/Unit</f>
        <v>3.879</v>
      </c>
    </row>
    <row r="395" spans="1:14" x14ac:dyDescent="0.25">
      <c r="A395" s="78" t="s">
        <v>233</v>
      </c>
      <c r="B395" s="78" t="s">
        <v>222</v>
      </c>
      <c r="C395" s="78" t="s">
        <v>5</v>
      </c>
      <c r="D395" s="78" t="s">
        <v>6</v>
      </c>
      <c r="E395" s="78" t="s">
        <v>7</v>
      </c>
      <c r="F395" s="78" t="s">
        <v>8</v>
      </c>
      <c r="G395" s="78" t="s">
        <v>30</v>
      </c>
      <c r="H395" s="78" t="s">
        <v>31</v>
      </c>
      <c r="I395" s="78" t="s">
        <v>32</v>
      </c>
      <c r="J395" s="78" t="s">
        <v>33</v>
      </c>
      <c r="K395" s="78" t="s">
        <v>34</v>
      </c>
      <c r="L395" s="78" t="s">
        <v>35</v>
      </c>
      <c r="M395" s="78" t="s">
        <v>223</v>
      </c>
      <c r="N395" s="78" t="s">
        <v>224</v>
      </c>
    </row>
    <row r="396" spans="1:14" x14ac:dyDescent="0.25">
      <c r="A396" s="77" t="s">
        <v>92</v>
      </c>
      <c r="B396" s="77" t="str">
        <f>INDEX(lstBrand,1)</f>
        <v>Aurelia</v>
      </c>
      <c r="C396" s="79">
        <f>SUMIFS(tblData[Units],tblData[Scenario],"Forecast",tblData[Year],selFY,tblData[Month],"&gt;="&amp;mFrom,tblData[Month],"&lt;="&amp;mTo,tblData[Brand],$B396)</f>
        <v>10313.899999999998</v>
      </c>
      <c r="D396" s="79">
        <f>SUMIFS(tblData[Gross Sales],tblData[Scenario],"Forecast",tblData[Year],selFY,tblData[Month],"&gt;="&amp;mFrom,tblData[Month],"&lt;="&amp;mTo,tblData[Brand],$B396)/Unit</f>
        <v>145.08099999999999</v>
      </c>
      <c r="E396" s="79">
        <f>SUMIFS(tblData[Trade Discounts],tblData[Scenario],"Forecast",tblData[Year],selFY,tblData[Month],"&gt;="&amp;mFrom,tblData[Month],"&lt;="&amp;mTo,tblData[Brand],$B396)/Unit</f>
        <v>-22.600999999999999</v>
      </c>
      <c r="F396" s="79">
        <f>SUMIFS(tblData[Returns],tblData[Scenario],"Forecast",tblData[Year],selFY,tblData[Month],"&gt;="&amp;mFrom,tblData[Month],"&lt;="&amp;mTo,tblData[Brand],$B396)/Unit</f>
        <v>-2.8279999999999998</v>
      </c>
      <c r="G396" s="79">
        <f>SUMIFS(tblData[Net Revenue],tblData[Scenario],"Forecast",tblData[Year],selFY,tblData[Month],"&gt;="&amp;mFrom,tblData[Month],"&lt;="&amp;mTo,tblData[Brand],$B396)/Unit</f>
        <v>119.652</v>
      </c>
      <c r="H396" s="79">
        <f>SUMIFS(tblData[COGS],tblData[Scenario],"Forecast",tblData[Year],selFY,tblData[Month],"&gt;="&amp;mFrom,tblData[Month],"&lt;="&amp;mTo,tblData[Brand],$B396)/Unit</f>
        <v>-44.234000000000002</v>
      </c>
      <c r="I396" s="79">
        <f>SUMIFS(tblData[Gross Profit],tblData[Scenario],"Forecast",tblData[Year],selFY,tblData[Month],"&gt;="&amp;mFrom,tblData[Month],"&lt;="&amp;mTo,tblData[Brand],$B396)/Unit</f>
        <v>75.418000000000006</v>
      </c>
      <c r="J396" s="79">
        <f>SUMIFS(tblData[AP Spend],tblData[Scenario],"Forecast",tblData[Year],selFY,tblData[Month],"&gt;="&amp;mFrom,tblData[Month],"&lt;="&amp;mTo,tblData[Brand],$B396)/Unit</f>
        <v>-12.345000000000001</v>
      </c>
      <c r="K396" s="79">
        <f>SUMIFS(tblData[Cost to Serve],tblData[Scenario],"Forecast",tblData[Year],selFY,tblData[Month],"&gt;="&amp;mFrom,tblData[Month],"&lt;="&amp;mTo,tblData[Brand],$B396)/Unit</f>
        <v>-11.082000000000001</v>
      </c>
      <c r="L396" s="79">
        <f>SUMIFS(tblData[Contribution Margin],tblData[Scenario],"Forecast",tblData[Year],selFY,tblData[Month],"&gt;="&amp;mFrom,tblData[Month],"&lt;="&amp;mTo,tblData[Brand],$B396)/Unit</f>
        <v>51.991</v>
      </c>
      <c r="M396" s="79">
        <f>SUMIFS(tblData[Inventory],tblData[Scenario],"Forecast",tblData[Year],selFY,tblData[Month],mTo,tblData[Brand],$B396)/Unit</f>
        <v>16.196000000000002</v>
      </c>
      <c r="N396" s="79">
        <f>-SUMIFS(tblData[COGS],tblData[Scenario],"Forecast",tblData[Year],selFY,tblData[Month],"&gt;="&amp;(mTo-WinM+1),tblData[Month],"&lt;="&amp;mTo,tblData[Brand],$B396)/Unit</f>
        <v>14.917999999999999</v>
      </c>
    </row>
    <row r="397" spans="1:14" x14ac:dyDescent="0.25">
      <c r="A397" s="77" t="s">
        <v>92</v>
      </c>
      <c r="B397" s="77" t="str">
        <f>INDEX(lstBrand,2)</f>
        <v>Novara</v>
      </c>
      <c r="C397" s="79">
        <f>SUMIFS(tblData[Units],tblData[Scenario],"Forecast",tblData[Year],selFY,tblData[Month],"&gt;="&amp;mFrom,tblData[Month],"&lt;="&amp;mTo,tblData[Brand],$B397)</f>
        <v>13530.899999999998</v>
      </c>
      <c r="D397" s="79">
        <f>SUMIFS(tblData[Gross Sales],tblData[Scenario],"Forecast",tblData[Year],selFY,tblData[Month],"&gt;="&amp;mFrom,tblData[Month],"&lt;="&amp;mTo,tblData[Brand],$B397)/Unit</f>
        <v>122</v>
      </c>
      <c r="E397" s="79">
        <f>SUMIFS(tblData[Trade Discounts],tblData[Scenario],"Forecast",tblData[Year],selFY,tblData[Month],"&gt;="&amp;mFrom,tblData[Month],"&lt;="&amp;mTo,tblData[Brand],$B397)/Unit</f>
        <v>-19.004000000000001</v>
      </c>
      <c r="F397" s="79">
        <f>SUMIFS(tblData[Returns],tblData[Scenario],"Forecast",tblData[Year],selFY,tblData[Month],"&gt;="&amp;mFrom,tblData[Month],"&lt;="&amp;mTo,tblData[Brand],$B397)/Unit</f>
        <v>-2.3860000000000001</v>
      </c>
      <c r="G397" s="79">
        <f>SUMIFS(tblData[Net Revenue],tblData[Scenario],"Forecast",tblData[Year],selFY,tblData[Month],"&gt;="&amp;mFrom,tblData[Month],"&lt;="&amp;mTo,tblData[Brand],$B397)/Unit</f>
        <v>100.61</v>
      </c>
      <c r="H397" s="79">
        <f>SUMIFS(tblData[COGS],tblData[Scenario],"Forecast",tblData[Year],selFY,tblData[Month],"&gt;="&amp;mFrom,tblData[Month],"&lt;="&amp;mTo,tblData[Brand],$B397)/Unit</f>
        <v>-44.65</v>
      </c>
      <c r="I397" s="79">
        <f>SUMIFS(tblData[Gross Profit],tblData[Scenario],"Forecast",tblData[Year],selFY,tblData[Month],"&gt;="&amp;mFrom,tblData[Month],"&lt;="&amp;mTo,tblData[Brand],$B397)/Unit</f>
        <v>55.96</v>
      </c>
      <c r="J397" s="79">
        <f>SUMIFS(tblData[AP Spend],tblData[Scenario],"Forecast",tblData[Year],selFY,tblData[Month],"&gt;="&amp;mFrom,tblData[Month],"&lt;="&amp;mTo,tblData[Brand],$B397)/Unit</f>
        <v>-7.0579999999999998</v>
      </c>
      <c r="K397" s="79">
        <f>SUMIFS(tblData[Cost to Serve],tblData[Scenario],"Forecast",tblData[Year],selFY,tblData[Month],"&gt;="&amp;mFrom,tblData[Month],"&lt;="&amp;mTo,tblData[Brand],$B397)/Unit</f>
        <v>-9.3179999999999996</v>
      </c>
      <c r="L397" s="79">
        <f>SUMIFS(tblData[Contribution Margin],tblData[Scenario],"Forecast",tblData[Year],selFY,tblData[Month],"&gt;="&amp;mFrom,tblData[Month],"&lt;="&amp;mTo,tblData[Brand],$B397)/Unit</f>
        <v>39.584000000000003</v>
      </c>
      <c r="M397" s="79">
        <f>SUMIFS(tblData[Inventory],tblData[Scenario],"Forecast",tblData[Year],selFY,tblData[Month],mTo,tblData[Brand],$B397)/Unit</f>
        <v>13.875999999999999</v>
      </c>
      <c r="N397" s="79">
        <f>-SUMIFS(tblData[COGS],tblData[Scenario],"Forecast",tblData[Year],selFY,tblData[Month],"&gt;="&amp;(mTo-WinM+1),tblData[Month],"&lt;="&amp;mTo,tblData[Brand],$B397)/Unit</f>
        <v>15.065</v>
      </c>
    </row>
    <row r="398" spans="1:14" x14ac:dyDescent="0.25">
      <c r="A398" s="77" t="s">
        <v>92</v>
      </c>
      <c r="B398" s="77" t="str">
        <f>INDEX(lstBrand,3)</f>
        <v>Kestrel</v>
      </c>
      <c r="C398" s="79">
        <f>SUMIFS(tblData[Units],tblData[Scenario],"Forecast",tblData[Year],selFY,tblData[Month],"&gt;="&amp;mFrom,tblData[Month],"&lt;="&amp;mTo,tblData[Brand],$B398)</f>
        <v>12874.2</v>
      </c>
      <c r="D398" s="79">
        <f>SUMIFS(tblData[Gross Sales],tblData[Scenario],"Forecast",tblData[Year],selFY,tblData[Month],"&gt;="&amp;mFrom,tblData[Month],"&lt;="&amp;mTo,tblData[Brand],$B398)/Unit</f>
        <v>90.158000000000001</v>
      </c>
      <c r="E398" s="79">
        <f>SUMIFS(tblData[Trade Discounts],tblData[Scenario],"Forecast",tblData[Year],selFY,tblData[Month],"&gt;="&amp;mFrom,tblData[Month],"&lt;="&amp;mTo,tblData[Brand],$B398)/Unit</f>
        <v>-14.032999999999999</v>
      </c>
      <c r="F398" s="79">
        <f>SUMIFS(tblData[Returns],tblData[Scenario],"Forecast",tblData[Year],selFY,tblData[Month],"&gt;="&amp;mFrom,tblData[Month],"&lt;="&amp;mTo,tblData[Brand],$B398)/Unit</f>
        <v>-1.7589999999999999</v>
      </c>
      <c r="G398" s="79">
        <f>SUMIFS(tblData[Net Revenue],tblData[Scenario],"Forecast",tblData[Year],selFY,tblData[Month],"&gt;="&amp;mFrom,tblData[Month],"&lt;="&amp;mTo,tblData[Brand],$B398)/Unit</f>
        <v>74.366</v>
      </c>
      <c r="H398" s="79">
        <f>SUMIFS(tblData[COGS],tblData[Scenario],"Forecast",tblData[Year],selFY,tblData[Month],"&gt;="&amp;mFrom,tblData[Month],"&lt;="&amp;mTo,tblData[Brand],$B398)/Unit</f>
        <v>-36.658000000000001</v>
      </c>
      <c r="I398" s="79">
        <f>SUMIFS(tblData[Gross Profit],tblData[Scenario],"Forecast",tblData[Year],selFY,tblData[Month],"&gt;="&amp;mFrom,tblData[Month],"&lt;="&amp;mTo,tblData[Brand],$B398)/Unit</f>
        <v>37.707999999999998</v>
      </c>
      <c r="J398" s="79">
        <f>SUMIFS(tblData[AP Spend],tblData[Scenario],"Forecast",tblData[Year],selFY,tblData[Month],"&gt;="&amp;mFrom,tblData[Month],"&lt;="&amp;mTo,tblData[Brand],$B398)/Unit</f>
        <v>-3.5270000000000001</v>
      </c>
      <c r="K398" s="79">
        <f>SUMIFS(tblData[Cost to Serve],tblData[Scenario],"Forecast",tblData[Year],selFY,tblData[Month],"&gt;="&amp;mFrom,tblData[Month],"&lt;="&amp;mTo,tblData[Brand],$B398)/Unit</f>
        <v>-6.8890000000000002</v>
      </c>
      <c r="L398" s="79">
        <f>SUMIFS(tblData[Contribution Margin],tblData[Scenario],"Forecast",tblData[Year],selFY,tblData[Month],"&gt;="&amp;mFrom,tblData[Month],"&lt;="&amp;mTo,tblData[Brand],$B398)/Unit</f>
        <v>27.292000000000002</v>
      </c>
      <c r="M398" s="79">
        <f>SUMIFS(tblData[Inventory],tblData[Scenario],"Forecast",tblData[Year],selFY,tblData[Month],mTo,tblData[Brand],$B398)/Unit</f>
        <v>10.709</v>
      </c>
      <c r="N398" s="79">
        <f>-SUMIFS(tblData[COGS],tblData[Scenario],"Forecast",tblData[Year],selFY,tblData[Month],"&gt;="&amp;(mTo-WinM+1),tblData[Month],"&lt;="&amp;mTo,tblData[Brand],$B398)/Unit</f>
        <v>12.364000000000001</v>
      </c>
    </row>
    <row r="399" spans="1:14" x14ac:dyDescent="0.25">
      <c r="A399" s="77" t="s">
        <v>92</v>
      </c>
      <c r="B399" s="77" t="str">
        <f>INDEX(lstBrand,4)</f>
        <v>Lumio</v>
      </c>
      <c r="C399" s="79">
        <f>SUMIFS(tblData[Units],tblData[Scenario],"Forecast",tblData[Year],selFY,tblData[Month],"&gt;="&amp;mFrom,tblData[Month],"&lt;="&amp;mTo,tblData[Brand],$B399)</f>
        <v>6503.7000000000025</v>
      </c>
      <c r="D399" s="79">
        <f>SUMIFS(tblData[Gross Sales],tblData[Scenario],"Forecast",tblData[Year],selFY,tblData[Month],"&gt;="&amp;mFrom,tblData[Month],"&lt;="&amp;mTo,tblData[Brand],$B399)/Unit</f>
        <v>71.725999999999999</v>
      </c>
      <c r="E399" s="79">
        <f>SUMIFS(tblData[Trade Discounts],tblData[Scenario],"Forecast",tblData[Year],selFY,tblData[Month],"&gt;="&amp;mFrom,tblData[Month],"&lt;="&amp;mTo,tblData[Brand],$B399)/Unit</f>
        <v>-11.166</v>
      </c>
      <c r="F399" s="79">
        <f>SUMIFS(tblData[Returns],tblData[Scenario],"Forecast",tblData[Year],selFY,tblData[Month],"&gt;="&amp;mFrom,tblData[Month],"&lt;="&amp;mTo,tblData[Brand],$B399)/Unit</f>
        <v>-1.399</v>
      </c>
      <c r="G399" s="79">
        <f>SUMIFS(tblData[Net Revenue],tblData[Scenario],"Forecast",tblData[Year],selFY,tblData[Month],"&gt;="&amp;mFrom,tblData[Month],"&lt;="&amp;mTo,tblData[Brand],$B399)/Unit</f>
        <v>59.161000000000001</v>
      </c>
      <c r="H399" s="79">
        <f>SUMIFS(tblData[COGS],tblData[Scenario],"Forecast",tblData[Year],selFY,tblData[Month],"&gt;="&amp;mFrom,tblData[Month],"&lt;="&amp;mTo,tblData[Brand],$B399)/Unit</f>
        <v>-24.06</v>
      </c>
      <c r="I399" s="79">
        <f>SUMIFS(tblData[Gross Profit],tblData[Scenario],"Forecast",tblData[Year],selFY,tblData[Month],"&gt;="&amp;mFrom,tblData[Month],"&lt;="&amp;mTo,tblData[Brand],$B399)/Unit</f>
        <v>35.100999999999999</v>
      </c>
      <c r="J399" s="79">
        <f>SUMIFS(tblData[AP Spend],tblData[Scenario],"Forecast",tblData[Year],selFY,tblData[Month],"&gt;="&amp;mFrom,tblData[Month],"&lt;="&amp;mTo,tblData[Brand],$B399)/Unit</f>
        <v>-7.5529999999999999</v>
      </c>
      <c r="K399" s="79">
        <f>SUMIFS(tblData[Cost to Serve],tblData[Scenario],"Forecast",tblData[Year],selFY,tblData[Month],"&gt;="&amp;mFrom,tblData[Month],"&lt;="&amp;mTo,tblData[Brand],$B399)/Unit</f>
        <v>-5.4790000000000001</v>
      </c>
      <c r="L399" s="79">
        <f>SUMIFS(tblData[Contribution Margin],tblData[Scenario],"Forecast",tblData[Year],selFY,tblData[Month],"&gt;="&amp;mFrom,tblData[Month],"&lt;="&amp;mTo,tblData[Brand],$B399)/Unit</f>
        <v>22.068999999999999</v>
      </c>
      <c r="M399" s="79">
        <f>SUMIFS(tblData[Inventory],tblData[Scenario],"Forecast",tblData[Year],selFY,tblData[Month],mTo,tblData[Brand],$B399)/Unit</f>
        <v>8.3620000000000001</v>
      </c>
      <c r="N399" s="79">
        <f>-SUMIFS(tblData[COGS],tblData[Scenario],"Forecast",tblData[Year],selFY,tblData[Month],"&gt;="&amp;(mTo-WinM+1),tblData[Month],"&lt;="&amp;mTo,tblData[Brand],$B399)/Unit</f>
        <v>8.1129999999999995</v>
      </c>
    </row>
    <row r="400" spans="1:14" x14ac:dyDescent="0.25">
      <c r="A400" s="77" t="s">
        <v>92</v>
      </c>
      <c r="B400" s="77" t="str">
        <f>INDEX(lstBrand,5)</f>
        <v>Everwood</v>
      </c>
      <c r="C400" s="79">
        <f>SUMIFS(tblData[Units],tblData[Scenario],"Forecast",tblData[Year],selFY,tblData[Month],"&gt;="&amp;mFrom,tblData[Month],"&lt;="&amp;mTo,tblData[Brand],$B400)</f>
        <v>7983.4000000000005</v>
      </c>
      <c r="D400" s="79">
        <f>SUMIFS(tblData[Gross Sales],tblData[Scenario],"Forecast",tblData[Year],selFY,tblData[Month],"&gt;="&amp;mFrom,tblData[Month],"&lt;="&amp;mTo,tblData[Brand],$B400)/Unit</f>
        <v>47.784999999999997</v>
      </c>
      <c r="E400" s="79">
        <f>SUMIFS(tblData[Trade Discounts],tblData[Scenario],"Forecast",tblData[Year],selFY,tblData[Month],"&gt;="&amp;mFrom,tblData[Month],"&lt;="&amp;mTo,tblData[Brand],$B400)/Unit</f>
        <v>-7.444</v>
      </c>
      <c r="F400" s="79">
        <f>SUMIFS(tblData[Returns],tblData[Scenario],"Forecast",tblData[Year],selFY,tblData[Month],"&gt;="&amp;mFrom,tblData[Month],"&lt;="&amp;mTo,tblData[Brand],$B400)/Unit</f>
        <v>-0.93400000000000005</v>
      </c>
      <c r="G400" s="79">
        <f>SUMIFS(tblData[Net Revenue],tblData[Scenario],"Forecast",tblData[Year],selFY,tblData[Month],"&gt;="&amp;mFrom,tblData[Month],"&lt;="&amp;mTo,tblData[Brand],$B400)/Unit</f>
        <v>39.406999999999996</v>
      </c>
      <c r="H400" s="79">
        <f>SUMIFS(tblData[COGS],tblData[Scenario],"Forecast",tblData[Year],selFY,tblData[Month],"&gt;="&amp;mFrom,tblData[Month],"&lt;="&amp;mTo,tblData[Brand],$B400)/Unit</f>
        <v>-21.37</v>
      </c>
      <c r="I400" s="79">
        <f>SUMIFS(tblData[Gross Profit],tblData[Scenario],"Forecast",tblData[Year],selFY,tblData[Month],"&gt;="&amp;mFrom,tblData[Month],"&lt;="&amp;mTo,tblData[Brand],$B400)/Unit</f>
        <v>18.036999999999999</v>
      </c>
      <c r="J400" s="79">
        <f>SUMIFS(tblData[AP Spend],tblData[Scenario],"Forecast",tblData[Year],selFY,tblData[Month],"&gt;="&amp;mFrom,tblData[Month],"&lt;="&amp;mTo,tblData[Brand],$B400)/Unit</f>
        <v>-1.47</v>
      </c>
      <c r="K400" s="79">
        <f>SUMIFS(tblData[Cost to Serve],tblData[Scenario],"Forecast",tblData[Year],selFY,tblData[Month],"&gt;="&amp;mFrom,tblData[Month],"&lt;="&amp;mTo,tblData[Brand],$B400)/Unit</f>
        <v>-3.6480000000000001</v>
      </c>
      <c r="L400" s="79">
        <f>SUMIFS(tblData[Contribution Margin],tblData[Scenario],"Forecast",tblData[Year],selFY,tblData[Month],"&gt;="&amp;mFrom,tblData[Month],"&lt;="&amp;mTo,tblData[Brand],$B400)/Unit</f>
        <v>12.919</v>
      </c>
      <c r="M400" s="79">
        <f>SUMIFS(tblData[Inventory],tblData[Scenario],"Forecast",tblData[Year],selFY,tblData[Month],mTo,tblData[Brand],$B400)/Unit</f>
        <v>9.7149999999999999</v>
      </c>
      <c r="N400" s="79">
        <f>-SUMIFS(tblData[COGS],tblData[Scenario],"Forecast",tblData[Year],selFY,tblData[Month],"&gt;="&amp;(mTo-WinM+1),tblData[Month],"&lt;="&amp;mTo,tblData[Brand],$B400)/Unit</f>
        <v>7.202</v>
      </c>
    </row>
    <row r="401" spans="1:14" x14ac:dyDescent="0.25">
      <c r="A401" s="77" t="s">
        <v>92</v>
      </c>
      <c r="B401" s="77" t="str">
        <f>INDEX(lstBrand,6)</f>
        <v>Tindra</v>
      </c>
      <c r="C401" s="79">
        <f>SUMIFS(tblData[Units],tblData[Scenario],"Forecast",tblData[Year],selFY,tblData[Month],"&gt;="&amp;mFrom,tblData[Month],"&lt;="&amp;mTo,tblData[Brand],$B401)</f>
        <v>1536.1999999999998</v>
      </c>
      <c r="D401" s="79">
        <f>SUMIFS(tblData[Gross Sales],tblData[Scenario],"Forecast",tblData[Year],selFY,tblData[Month],"&gt;="&amp;mFrom,tblData[Month],"&lt;="&amp;mTo,tblData[Brand],$B401)/Unit</f>
        <v>27.658999999999999</v>
      </c>
      <c r="E401" s="79">
        <f>SUMIFS(tblData[Trade Discounts],tblData[Scenario],"Forecast",tblData[Year],selFY,tblData[Month],"&gt;="&amp;mFrom,tblData[Month],"&lt;="&amp;mTo,tblData[Brand],$B401)/Unit</f>
        <v>-4.3049999999999997</v>
      </c>
      <c r="F401" s="79">
        <f>SUMIFS(tblData[Returns],tblData[Scenario],"Forecast",tblData[Year],selFY,tblData[Month],"&gt;="&amp;mFrom,tblData[Month],"&lt;="&amp;mTo,tblData[Brand],$B401)/Unit</f>
        <v>-0.54300000000000004</v>
      </c>
      <c r="G401" s="79">
        <f>SUMIFS(tblData[Net Revenue],tblData[Scenario],"Forecast",tblData[Year],selFY,tblData[Month],"&gt;="&amp;mFrom,tblData[Month],"&lt;="&amp;mTo,tblData[Brand],$B401)/Unit</f>
        <v>22.811</v>
      </c>
      <c r="H401" s="79">
        <f>SUMIFS(tblData[COGS],tblData[Scenario],"Forecast",tblData[Year],selFY,tblData[Month],"&gt;="&amp;mFrom,tblData[Month],"&lt;="&amp;mTo,tblData[Brand],$B401)/Unit</f>
        <v>-10.68</v>
      </c>
      <c r="I401" s="79">
        <f>SUMIFS(tblData[Gross Profit],tblData[Scenario],"Forecast",tblData[Year],selFY,tblData[Month],"&gt;="&amp;mFrom,tblData[Month],"&lt;="&amp;mTo,tblData[Brand],$B401)/Unit</f>
        <v>12.131</v>
      </c>
      <c r="J401" s="79">
        <f>SUMIFS(tblData[AP Spend],tblData[Scenario],"Forecast",tblData[Year],selFY,tblData[Month],"&gt;="&amp;mFrom,tblData[Month],"&lt;="&amp;mTo,tblData[Brand],$B401)/Unit</f>
        <v>-4.1150000000000002</v>
      </c>
      <c r="K401" s="79">
        <f>SUMIFS(tblData[Cost to Serve],tblData[Scenario],"Forecast",tblData[Year],selFY,tblData[Month],"&gt;="&amp;mFrom,tblData[Month],"&lt;="&amp;mTo,tblData[Brand],$B401)/Unit</f>
        <v>-2.1150000000000002</v>
      </c>
      <c r="L401" s="79">
        <f>SUMIFS(tblData[Contribution Margin],tblData[Scenario],"Forecast",tblData[Year],selFY,tblData[Month],"&gt;="&amp;mFrom,tblData[Month],"&lt;="&amp;mTo,tblData[Brand],$B401)/Unit</f>
        <v>5.9009999999999998</v>
      </c>
      <c r="M401" s="79">
        <f>SUMIFS(tblData[Inventory],tblData[Scenario],"Forecast",tblData[Year],selFY,tblData[Month],mTo,tblData[Brand],$B401)/Unit</f>
        <v>4.9009999999999998</v>
      </c>
      <c r="N401" s="79">
        <f>-SUMIFS(tblData[COGS],tblData[Scenario],"Forecast",tblData[Year],selFY,tblData[Month],"&gt;="&amp;(mTo-WinM+1),tblData[Month],"&lt;="&amp;mTo,tblData[Brand],$B401)/Unit</f>
        <v>3.6040000000000001</v>
      </c>
    </row>
    <row r="402" spans="1:14" x14ac:dyDescent="0.25">
      <c r="A402" s="78" t="s">
        <v>234</v>
      </c>
      <c r="B402" s="78" t="s">
        <v>222</v>
      </c>
      <c r="C402" s="78" t="s">
        <v>5</v>
      </c>
      <c r="D402" s="78" t="s">
        <v>6</v>
      </c>
      <c r="E402" s="78" t="s">
        <v>7</v>
      </c>
      <c r="F402" s="78" t="s">
        <v>8</v>
      </c>
      <c r="G402" s="78" t="s">
        <v>30</v>
      </c>
      <c r="H402" s="78" t="s">
        <v>31</v>
      </c>
      <c r="I402" s="78" t="s">
        <v>32</v>
      </c>
      <c r="J402" s="78" t="s">
        <v>33</v>
      </c>
      <c r="K402" s="78" t="s">
        <v>34</v>
      </c>
      <c r="L402" s="78" t="s">
        <v>35</v>
      </c>
      <c r="M402" s="78" t="s">
        <v>223</v>
      </c>
      <c r="N402" s="78" t="s">
        <v>224</v>
      </c>
    </row>
    <row r="403" spans="1:14" x14ac:dyDescent="0.25">
      <c r="A403" s="77" t="s">
        <v>93</v>
      </c>
      <c r="B403" s="77" t="str">
        <f>INDEX(lstBrand,1)</f>
        <v>Aurelia</v>
      </c>
      <c r="C403" s="79">
        <f>SUMIFS(tblData[Units],tblData[Scenario],"Actual",tblData[Year],selFY-1,tblData[Month],"&gt;="&amp;mFrom,tblData[Month],"&lt;="&amp;mTo,tblData[Brand],$B403)</f>
        <v>9450.5000000000018</v>
      </c>
      <c r="D403" s="79">
        <f>SUMIFS(tblData[Gross Sales],tblData[Scenario],"Actual",tblData[Year],selFY-1,tblData[Month],"&gt;="&amp;mFrom,tblData[Month],"&lt;="&amp;mTo,tblData[Brand],$B403)/Unit</f>
        <v>129.66300000000001</v>
      </c>
      <c r="E403" s="79">
        <f>SUMIFS(tblData[Trade Discounts],tblData[Scenario],"Actual",tblData[Year],selFY-1,tblData[Month],"&gt;="&amp;mFrom,tblData[Month],"&lt;="&amp;mTo,tblData[Brand],$B403)/Unit</f>
        <v>-19.611000000000001</v>
      </c>
      <c r="F403" s="79">
        <f>SUMIFS(tblData[Returns],tblData[Scenario],"Actual",tblData[Year],selFY-1,tblData[Month],"&gt;="&amp;mFrom,tblData[Month],"&lt;="&amp;mTo,tblData[Brand],$B403)/Unit</f>
        <v>-2.4470000000000001</v>
      </c>
      <c r="G403" s="79">
        <f>SUMIFS(tblData[Net Revenue],tblData[Scenario],"Actual",tblData[Year],selFY-1,tblData[Month],"&gt;="&amp;mFrom,tblData[Month],"&lt;="&amp;mTo,tblData[Brand],$B403)/Unit</f>
        <v>107.605</v>
      </c>
      <c r="H403" s="79">
        <f>SUMIFS(tblData[COGS],tblData[Scenario],"Actual",tblData[Year],selFY-1,tblData[Month],"&gt;="&amp;mFrom,tblData[Month],"&lt;="&amp;mTo,tblData[Brand],$B403)/Unit</f>
        <v>-38.286999999999999</v>
      </c>
      <c r="I403" s="79">
        <f>SUMIFS(tblData[Gross Profit],tblData[Scenario],"Actual",tblData[Year],selFY-1,tblData[Month],"&gt;="&amp;mFrom,tblData[Month],"&lt;="&amp;mTo,tblData[Brand],$B403)/Unit</f>
        <v>69.317999999999998</v>
      </c>
      <c r="J403" s="79">
        <f>SUMIFS(tblData[AP Spend],tblData[Scenario],"Actual",tblData[Year],selFY-1,tblData[Month],"&gt;="&amp;mFrom,tblData[Month],"&lt;="&amp;mTo,tblData[Brand],$B403)/Unit</f>
        <v>-12.7</v>
      </c>
      <c r="K403" s="79">
        <f>SUMIFS(tblData[Cost to Serve],tblData[Scenario],"Actual",tblData[Year],selFY-1,tblData[Month],"&gt;="&amp;mFrom,tblData[Month],"&lt;="&amp;mTo,tblData[Brand],$B403)/Unit</f>
        <v>-9.67</v>
      </c>
      <c r="L403" s="79">
        <f>SUMIFS(tblData[Contribution Margin],tblData[Scenario],"Actual",tblData[Year],selFY-1,tblData[Month],"&gt;="&amp;mFrom,tblData[Month],"&lt;="&amp;mTo,tblData[Brand],$B403)/Unit</f>
        <v>46.948</v>
      </c>
      <c r="M403" s="79">
        <f>SUMIFS(tblData[Inventory],tblData[Scenario],"Actual",tblData[Year],selFY-1,tblData[Month],mTo,tblData[Brand],$B403)/Unit</f>
        <v>13.439</v>
      </c>
      <c r="N403" s="79">
        <f>-SUMIFS(tblData[COGS],tblData[Scenario],"Actual",tblData[Year],selFY-1,tblData[Month],"&gt;="&amp;(mTo-WinM+1),tblData[Month],"&lt;="&amp;mTo,tblData[Brand],$B403)/Unit</f>
        <v>12.904</v>
      </c>
    </row>
    <row r="404" spans="1:14" x14ac:dyDescent="0.25">
      <c r="A404" s="77" t="s">
        <v>93</v>
      </c>
      <c r="B404" s="77" t="str">
        <f>INDEX(lstBrand,2)</f>
        <v>Novara</v>
      </c>
      <c r="C404" s="79">
        <f>SUMIFS(tblData[Units],tblData[Scenario],"Actual",tblData[Year],selFY-1,tblData[Month],"&gt;="&amp;mFrom,tblData[Month],"&lt;="&amp;mTo,tblData[Brand],$B404)</f>
        <v>12612.900000000003</v>
      </c>
      <c r="D404" s="79">
        <f>SUMIFS(tblData[Gross Sales],tblData[Scenario],"Actual",tblData[Year],selFY-1,tblData[Month],"&gt;="&amp;mFrom,tblData[Month],"&lt;="&amp;mTo,tblData[Brand],$B404)/Unit</f>
        <v>111.248</v>
      </c>
      <c r="E404" s="79">
        <f>SUMIFS(tblData[Trade Discounts],tblData[Scenario],"Actual",tblData[Year],selFY-1,tblData[Month],"&gt;="&amp;mFrom,tblData[Month],"&lt;="&amp;mTo,tblData[Brand],$B404)/Unit</f>
        <v>-16.864999999999998</v>
      </c>
      <c r="F404" s="79">
        <f>SUMIFS(tblData[Returns],tblData[Scenario],"Actual",tblData[Year],selFY-1,tblData[Month],"&gt;="&amp;mFrom,tblData[Month],"&lt;="&amp;mTo,tblData[Brand],$B404)/Unit</f>
        <v>-2.0910000000000002</v>
      </c>
      <c r="G404" s="79">
        <f>SUMIFS(tblData[Net Revenue],tblData[Scenario],"Actual",tblData[Year],selFY-1,tblData[Month],"&gt;="&amp;mFrom,tblData[Month],"&lt;="&amp;mTo,tblData[Brand],$B404)/Unit</f>
        <v>92.292000000000002</v>
      </c>
      <c r="H404" s="79">
        <f>SUMIFS(tblData[COGS],tblData[Scenario],"Actual",tblData[Year],selFY-1,tblData[Month],"&gt;="&amp;mFrom,tblData[Month],"&lt;="&amp;mTo,tblData[Brand],$B404)/Unit</f>
        <v>-39.418999999999997</v>
      </c>
      <c r="I404" s="79">
        <f>SUMIFS(tblData[Gross Profit],tblData[Scenario],"Actual",tblData[Year],selFY-1,tblData[Month],"&gt;="&amp;mFrom,tblData[Month],"&lt;="&amp;mTo,tblData[Brand],$B404)/Unit</f>
        <v>52.872999999999998</v>
      </c>
      <c r="J404" s="79">
        <f>SUMIFS(tblData[AP Spend],tblData[Scenario],"Actual",tblData[Year],selFY-1,tblData[Month],"&gt;="&amp;mFrom,tblData[Month],"&lt;="&amp;mTo,tblData[Brand],$B404)/Unit</f>
        <v>-7.2560000000000002</v>
      </c>
      <c r="K404" s="79">
        <f>SUMIFS(tblData[Cost to Serve],tblData[Scenario],"Actual",tblData[Year],selFY-1,tblData[Month],"&gt;="&amp;mFrom,tblData[Month],"&lt;="&amp;mTo,tblData[Brand],$B404)/Unit</f>
        <v>-8.2829999999999995</v>
      </c>
      <c r="L404" s="79">
        <f>SUMIFS(tblData[Contribution Margin],tblData[Scenario],"Actual",tblData[Year],selFY-1,tblData[Month],"&gt;="&amp;mFrom,tblData[Month],"&lt;="&amp;mTo,tblData[Brand],$B404)/Unit</f>
        <v>37.334000000000003</v>
      </c>
      <c r="M404" s="79">
        <f>SUMIFS(tblData[Inventory],tblData[Scenario],"Actual",tblData[Year],selFY-1,tblData[Month],mTo,tblData[Brand],$B404)/Unit</f>
        <v>11.678000000000001</v>
      </c>
      <c r="N404" s="79">
        <f>-SUMIFS(tblData[COGS],tblData[Scenario],"Actual",tblData[Year],selFY-1,tblData[Month],"&gt;="&amp;(mTo-WinM+1),tblData[Month],"&lt;="&amp;mTo,tblData[Brand],$B404)/Unit</f>
        <v>13.314</v>
      </c>
    </row>
    <row r="405" spans="1:14" x14ac:dyDescent="0.25">
      <c r="A405" s="77" t="s">
        <v>93</v>
      </c>
      <c r="B405" s="77" t="str">
        <f>INDEX(lstBrand,3)</f>
        <v>Kestrel</v>
      </c>
      <c r="C405" s="79">
        <f>SUMIFS(tblData[Units],tblData[Scenario],"Actual",tblData[Year],selFY-1,tblData[Month],"&gt;="&amp;mFrom,tblData[Month],"&lt;="&amp;mTo,tblData[Brand],$B405)</f>
        <v>12124.499999999996</v>
      </c>
      <c r="D405" s="79">
        <f>SUMIFS(tblData[Gross Sales],tblData[Scenario],"Actual",tblData[Year],selFY-1,tblData[Month],"&gt;="&amp;mFrom,tblData[Month],"&lt;="&amp;mTo,tblData[Brand],$B405)/Unit</f>
        <v>83.177999999999997</v>
      </c>
      <c r="E405" s="79">
        <f>SUMIFS(tblData[Trade Discounts],tblData[Scenario],"Actual",tblData[Year],selFY-1,tblData[Month],"&gt;="&amp;mFrom,tblData[Month],"&lt;="&amp;mTo,tblData[Brand],$B405)/Unit</f>
        <v>-12.585000000000001</v>
      </c>
      <c r="F405" s="79">
        <f>SUMIFS(tblData[Returns],tblData[Scenario],"Actual",tblData[Year],selFY-1,tblData[Month],"&gt;="&amp;mFrom,tblData[Month],"&lt;="&amp;mTo,tblData[Brand],$B405)/Unit</f>
        <v>-1.5740000000000001</v>
      </c>
      <c r="G405" s="79">
        <f>SUMIFS(tblData[Net Revenue],tblData[Scenario],"Actual",tblData[Year],selFY-1,tblData[Month],"&gt;="&amp;mFrom,tblData[Month],"&lt;="&amp;mTo,tblData[Brand],$B405)/Unit</f>
        <v>69.019000000000005</v>
      </c>
      <c r="H405" s="79">
        <f>SUMIFS(tblData[COGS],tblData[Scenario],"Actual",tblData[Year],selFY-1,tblData[Month],"&gt;="&amp;mFrom,tblData[Month],"&lt;="&amp;mTo,tblData[Brand],$B405)/Unit</f>
        <v>-32.746000000000002</v>
      </c>
      <c r="I405" s="79">
        <f>SUMIFS(tblData[Gross Profit],tblData[Scenario],"Actual",tblData[Year],selFY-1,tblData[Month],"&gt;="&amp;mFrom,tblData[Month],"&lt;="&amp;mTo,tblData[Brand],$B405)/Unit</f>
        <v>36.273000000000003</v>
      </c>
      <c r="J405" s="79">
        <f>SUMIFS(tblData[AP Spend],tblData[Scenario],"Actual",tblData[Year],selFY-1,tblData[Month],"&gt;="&amp;mFrom,tblData[Month],"&lt;="&amp;mTo,tblData[Brand],$B405)/Unit</f>
        <v>-3.6280000000000001</v>
      </c>
      <c r="K405" s="79">
        <f>SUMIFS(tblData[Cost to Serve],tblData[Scenario],"Actual",tblData[Year],selFY-1,tblData[Month],"&gt;="&amp;mFrom,tblData[Month],"&lt;="&amp;mTo,tblData[Brand],$B405)/Unit</f>
        <v>-6.1950000000000003</v>
      </c>
      <c r="L405" s="79">
        <f>SUMIFS(tblData[Contribution Margin],tblData[Scenario],"Actual",tblData[Year],selFY-1,tblData[Month],"&gt;="&amp;mFrom,tblData[Month],"&lt;="&amp;mTo,tblData[Brand],$B405)/Unit</f>
        <v>26.45</v>
      </c>
      <c r="M405" s="79">
        <f>SUMIFS(tblData[Inventory],tblData[Scenario],"Actual",tblData[Year],selFY-1,tblData[Month],mTo,tblData[Brand],$B405)/Unit</f>
        <v>9.1080000000000005</v>
      </c>
      <c r="N405" s="79">
        <f>-SUMIFS(tblData[COGS],tblData[Scenario],"Actual",tblData[Year],selFY-1,tblData[Month],"&gt;="&amp;(mTo-WinM+1),tblData[Month],"&lt;="&amp;mTo,tblData[Brand],$B405)/Unit</f>
        <v>11.074999999999999</v>
      </c>
    </row>
    <row r="406" spans="1:14" x14ac:dyDescent="0.25">
      <c r="A406" s="77" t="s">
        <v>93</v>
      </c>
      <c r="B406" s="77" t="str">
        <f>INDEX(lstBrand,4)</f>
        <v>Lumio</v>
      </c>
      <c r="C406" s="79">
        <f>SUMIFS(tblData[Units],tblData[Scenario],"Actual",tblData[Year],selFY-1,tblData[Month],"&gt;="&amp;mFrom,tblData[Month],"&lt;="&amp;mTo,tblData[Brand],$B406)</f>
        <v>6043.5999999999995</v>
      </c>
      <c r="D406" s="79">
        <f>SUMIFS(tblData[Gross Sales],tblData[Scenario],"Actual",tblData[Year],selFY-1,tblData[Month],"&gt;="&amp;mFrom,tblData[Month],"&lt;="&amp;mTo,tblData[Brand],$B406)/Unit</f>
        <v>65.150999999999996</v>
      </c>
      <c r="E406" s="79">
        <f>SUMIFS(tblData[Trade Discounts],tblData[Scenario],"Actual",tblData[Year],selFY-1,tblData[Month],"&gt;="&amp;mFrom,tblData[Month],"&lt;="&amp;mTo,tblData[Brand],$B406)/Unit</f>
        <v>-9.8620000000000001</v>
      </c>
      <c r="F406" s="79">
        <f>SUMIFS(tblData[Returns],tblData[Scenario],"Actual",tblData[Year],selFY-1,tblData[Month],"&gt;="&amp;mFrom,tblData[Month],"&lt;="&amp;mTo,tblData[Brand],$B406)/Unit</f>
        <v>-1.2290000000000001</v>
      </c>
      <c r="G406" s="79">
        <f>SUMIFS(tblData[Net Revenue],tblData[Scenario],"Actual",tblData[Year],selFY-1,tblData[Month],"&gt;="&amp;mFrom,tblData[Month],"&lt;="&amp;mTo,tblData[Brand],$B406)/Unit</f>
        <v>54.06</v>
      </c>
      <c r="H406" s="79">
        <f>SUMIFS(tblData[COGS],tblData[Scenario],"Actual",tblData[Year],selFY-1,tblData[Month],"&gt;="&amp;mFrom,tblData[Month],"&lt;="&amp;mTo,tblData[Brand],$B406)/Unit</f>
        <v>-21.161999999999999</v>
      </c>
      <c r="I406" s="79">
        <f>SUMIFS(tblData[Gross Profit],tblData[Scenario],"Actual",tblData[Year],selFY-1,tblData[Month],"&gt;="&amp;mFrom,tblData[Month],"&lt;="&amp;mTo,tblData[Brand],$B406)/Unit</f>
        <v>32.898000000000003</v>
      </c>
      <c r="J406" s="79">
        <f>SUMIFS(tblData[AP Spend],tblData[Scenario],"Actual",tblData[Year],selFY-1,tblData[Month],"&gt;="&amp;mFrom,tblData[Month],"&lt;="&amp;mTo,tblData[Brand],$B406)/Unit</f>
        <v>-7.76</v>
      </c>
      <c r="K406" s="79">
        <f>SUMIFS(tblData[Cost to Serve],tblData[Scenario],"Actual",tblData[Year],selFY-1,tblData[Month],"&gt;="&amp;mFrom,tblData[Month],"&lt;="&amp;mTo,tblData[Brand],$B406)/Unit</f>
        <v>-4.859</v>
      </c>
      <c r="L406" s="79">
        <f>SUMIFS(tblData[Contribution Margin],tblData[Scenario],"Actual",tblData[Year],selFY-1,tblData[Month],"&gt;="&amp;mFrom,tblData[Month],"&lt;="&amp;mTo,tblData[Brand],$B406)/Unit</f>
        <v>20.279</v>
      </c>
      <c r="M406" s="79">
        <f>SUMIFS(tblData[Inventory],tblData[Scenario],"Actual",tblData[Year],selFY-1,tblData[Month],mTo,tblData[Brand],$B406)/Unit</f>
        <v>7.0339999999999998</v>
      </c>
      <c r="N406" s="79">
        <f>-SUMIFS(tblData[COGS],tblData[Scenario],"Actual",tblData[Year],selFY-1,tblData[Month],"&gt;="&amp;(mTo-WinM+1),tblData[Month],"&lt;="&amp;mTo,tblData[Brand],$B406)/Unit</f>
        <v>7.1310000000000002</v>
      </c>
    </row>
    <row r="407" spans="1:14" x14ac:dyDescent="0.25">
      <c r="A407" s="77" t="s">
        <v>93</v>
      </c>
      <c r="B407" s="77" t="str">
        <f>INDEX(lstBrand,5)</f>
        <v>Everwood</v>
      </c>
      <c r="C407" s="79">
        <f>SUMIFS(tblData[Units],tblData[Scenario],"Actual",tblData[Year],selFY-1,tblData[Month],"&gt;="&amp;mFrom,tblData[Month],"&lt;="&amp;mTo,tblData[Brand],$B407)</f>
        <v>7897.4</v>
      </c>
      <c r="D407" s="79">
        <f>SUMIFS(tblData[Gross Sales],tblData[Scenario],"Actual",tblData[Year],selFY-1,tblData[Month],"&gt;="&amp;mFrom,tblData[Month],"&lt;="&amp;mTo,tblData[Brand],$B407)/Unit</f>
        <v>46.429000000000002</v>
      </c>
      <c r="E407" s="79">
        <f>SUMIFS(tblData[Trade Discounts],tblData[Scenario],"Actual",tblData[Year],selFY-1,tblData[Month],"&gt;="&amp;mFrom,tblData[Month],"&lt;="&amp;mTo,tblData[Brand],$B407)/Unit</f>
        <v>-7.0209999999999999</v>
      </c>
      <c r="F407" s="79">
        <f>SUMIFS(tblData[Returns],tblData[Scenario],"Actual",tblData[Year],selFY-1,tblData[Month],"&gt;="&amp;mFrom,tblData[Month],"&lt;="&amp;mTo,tblData[Brand],$B407)/Unit</f>
        <v>-0.879</v>
      </c>
      <c r="G407" s="79">
        <f>SUMIFS(tblData[Net Revenue],tblData[Scenario],"Actual",tblData[Year],selFY-1,tblData[Month],"&gt;="&amp;mFrom,tblData[Month],"&lt;="&amp;mTo,tblData[Brand],$B407)/Unit</f>
        <v>38.529000000000003</v>
      </c>
      <c r="H407" s="79">
        <f>SUMIFS(tblData[COGS],tblData[Scenario],"Actual",tblData[Year],selFY-1,tblData[Month],"&gt;="&amp;mFrom,tblData[Month],"&lt;="&amp;mTo,tblData[Brand],$B407)/Unit</f>
        <v>-20.106000000000002</v>
      </c>
      <c r="I407" s="79">
        <f>SUMIFS(tblData[Gross Profit],tblData[Scenario],"Actual",tblData[Year],selFY-1,tblData[Month],"&gt;="&amp;mFrom,tblData[Month],"&lt;="&amp;mTo,tblData[Brand],$B407)/Unit</f>
        <v>18.422999999999998</v>
      </c>
      <c r="J407" s="79">
        <f>SUMIFS(tblData[AP Spend],tblData[Scenario],"Actual",tblData[Year],selFY-1,tblData[Month],"&gt;="&amp;mFrom,tblData[Month],"&lt;="&amp;mTo,tblData[Brand],$B407)/Unit</f>
        <v>-1.504</v>
      </c>
      <c r="K407" s="79">
        <f>SUMIFS(tblData[Cost to Serve],tblData[Scenario],"Actual",tblData[Year],selFY-1,tblData[Month],"&gt;="&amp;mFrom,tblData[Month],"&lt;="&amp;mTo,tblData[Brand],$B407)/Unit</f>
        <v>-3.4590000000000001</v>
      </c>
      <c r="L407" s="79">
        <f>SUMIFS(tblData[Contribution Margin],tblData[Scenario],"Actual",tblData[Year],selFY-1,tblData[Month],"&gt;="&amp;mFrom,tblData[Month],"&lt;="&amp;mTo,tblData[Brand],$B407)/Unit</f>
        <v>13.46</v>
      </c>
      <c r="M407" s="79">
        <f>SUMIFS(tblData[Inventory],tblData[Scenario],"Actual",tblData[Year],selFY-1,tblData[Month],mTo,tblData[Brand],$B407)/Unit</f>
        <v>8.1669999999999998</v>
      </c>
      <c r="N407" s="79">
        <f>-SUMIFS(tblData[COGS],tblData[Scenario],"Actual",tblData[Year],selFY-1,tblData[Month],"&gt;="&amp;(mTo-WinM+1),tblData[Month],"&lt;="&amp;mTo,tblData[Brand],$B407)/Unit</f>
        <v>6.7709999999999999</v>
      </c>
    </row>
    <row r="408" spans="1:14" x14ac:dyDescent="0.25">
      <c r="A408" s="77" t="s">
        <v>93</v>
      </c>
      <c r="B408" s="77" t="str">
        <f>INDEX(lstBrand,6)</f>
        <v>Tindra</v>
      </c>
      <c r="C408" s="79">
        <f>SUMIFS(tblData[Units],tblData[Scenario],"Actual",tblData[Year],selFY-1,tblData[Month],"&gt;="&amp;mFrom,tblData[Month],"&lt;="&amp;mTo,tblData[Brand],$B408)</f>
        <v>1571.6000000000001</v>
      </c>
      <c r="D408" s="79">
        <f>SUMIFS(tblData[Gross Sales],tblData[Scenario],"Actual",tblData[Year],selFY-1,tblData[Month],"&gt;="&amp;mFrom,tblData[Month],"&lt;="&amp;mTo,tblData[Brand],$B408)/Unit</f>
        <v>27.724</v>
      </c>
      <c r="E408" s="79">
        <f>SUMIFS(tblData[Trade Discounts],tblData[Scenario],"Actual",tblData[Year],selFY-1,tblData[Month],"&gt;="&amp;mFrom,tblData[Month],"&lt;="&amp;mTo,tblData[Brand],$B408)/Unit</f>
        <v>-4.1900000000000004</v>
      </c>
      <c r="F408" s="79">
        <f>SUMIFS(tblData[Returns],tblData[Scenario],"Actual",tblData[Year],selFY-1,tblData[Month],"&gt;="&amp;mFrom,tblData[Month],"&lt;="&amp;mTo,tblData[Brand],$B408)/Unit</f>
        <v>-0.52100000000000002</v>
      </c>
      <c r="G408" s="79">
        <f>SUMIFS(tblData[Net Revenue],tblData[Scenario],"Actual",tblData[Year],selFY-1,tblData[Month],"&gt;="&amp;mFrom,tblData[Month],"&lt;="&amp;mTo,tblData[Brand],$B408)/Unit</f>
        <v>23.013000000000002</v>
      </c>
      <c r="H408" s="79">
        <f>SUMIFS(tblData[COGS],tblData[Scenario],"Actual",tblData[Year],selFY-1,tblData[Month],"&gt;="&amp;mFrom,tblData[Month],"&lt;="&amp;mTo,tblData[Brand],$B408)/Unit</f>
        <v>-10.371</v>
      </c>
      <c r="I408" s="79">
        <f>SUMIFS(tblData[Gross Profit],tblData[Scenario],"Actual",tblData[Year],selFY-1,tblData[Month],"&gt;="&amp;mFrom,tblData[Month],"&lt;="&amp;mTo,tblData[Brand],$B408)/Unit</f>
        <v>12.641999999999999</v>
      </c>
      <c r="J408" s="79">
        <f>SUMIFS(tblData[AP Spend],tblData[Scenario],"Actual",tblData[Year],selFY-1,tblData[Month],"&gt;="&amp;mFrom,tblData[Month],"&lt;="&amp;mTo,tblData[Brand],$B408)/Unit</f>
        <v>-4.2370000000000001</v>
      </c>
      <c r="K408" s="79">
        <f>SUMIFS(tblData[Cost to Serve],tblData[Scenario],"Actual",tblData[Year],selFY-1,tblData[Month],"&gt;="&amp;mFrom,tblData[Month],"&lt;="&amp;mTo,tblData[Brand],$B408)/Unit</f>
        <v>-2.069</v>
      </c>
      <c r="L408" s="79">
        <f>SUMIFS(tblData[Contribution Margin],tblData[Scenario],"Actual",tblData[Year],selFY-1,tblData[Month],"&gt;="&amp;mFrom,tblData[Month],"&lt;="&amp;mTo,tblData[Brand],$B408)/Unit</f>
        <v>6.3360000000000003</v>
      </c>
      <c r="M408" s="79">
        <f>SUMIFS(tblData[Inventory],tblData[Scenario],"Actual",tblData[Year],selFY-1,tblData[Month],mTo,tblData[Brand],$B408)/Unit</f>
        <v>4.5910000000000002</v>
      </c>
      <c r="N408" s="79">
        <f>-SUMIFS(tblData[COGS],tblData[Scenario],"Actual",tblData[Year],selFY-1,tblData[Month],"&gt;="&amp;(mTo-WinM+1),tblData[Month],"&lt;="&amp;mTo,tblData[Brand],$B408)/Unit</f>
        <v>3.488</v>
      </c>
    </row>
    <row r="409" spans="1:14" x14ac:dyDescent="0.25">
      <c r="A409" s="78" t="s">
        <v>235</v>
      </c>
      <c r="B409" s="78" t="s">
        <v>229</v>
      </c>
      <c r="C409" s="78" t="s">
        <v>230</v>
      </c>
    </row>
    <row r="410" spans="1:14" x14ac:dyDescent="0.25">
      <c r="B410" s="77">
        <f>RANK(G382,G$382:G$387)+COUNTIF(G$382:G382,G382)-1</f>
        <v>1</v>
      </c>
      <c r="C410" s="77">
        <f>MATCH(1,$B$410:$B$415,0)</f>
        <v>1</v>
      </c>
    </row>
    <row r="411" spans="1:14" x14ac:dyDescent="0.25">
      <c r="B411" s="77">
        <f>RANK(G383,G$382:G$387)+COUNTIF(G$382:G383,G383)-1</f>
        <v>2</v>
      </c>
      <c r="C411" s="77">
        <f>MATCH(2,$B$410:$B$415,0)</f>
        <v>2</v>
      </c>
    </row>
    <row r="412" spans="1:14" x14ac:dyDescent="0.25">
      <c r="B412" s="77">
        <f>RANK(G384,G$382:G$387)+COUNTIF(G$382:G384,G384)-1</f>
        <v>3</v>
      </c>
      <c r="C412" s="77">
        <f>MATCH(3,$B$410:$B$415,0)</f>
        <v>3</v>
      </c>
    </row>
    <row r="413" spans="1:14" x14ac:dyDescent="0.25">
      <c r="B413" s="77">
        <f>RANK(G385,G$382:G$387)+COUNTIF(G$382:G385,G385)-1</f>
        <v>4</v>
      </c>
      <c r="C413" s="77">
        <f>MATCH(4,$B$410:$B$415,0)</f>
        <v>4</v>
      </c>
    </row>
    <row r="414" spans="1:14" x14ac:dyDescent="0.25">
      <c r="B414" s="77">
        <f>RANK(G386,G$382:G$387)+COUNTIF(G$382:G386,G386)-1</f>
        <v>5</v>
      </c>
      <c r="C414" s="77">
        <f>MATCH(5,$B$410:$B$415,0)</f>
        <v>5</v>
      </c>
    </row>
    <row r="415" spans="1:14" x14ac:dyDescent="0.25">
      <c r="B415" s="77">
        <f>RANK(G387,G$382:G$387)+COUNTIF(G$382:G387,G387)-1</f>
        <v>6</v>
      </c>
      <c r="C415" s="77">
        <f>MATCH(6,$B$410:$B$415,0)</f>
        <v>6</v>
      </c>
    </row>
    <row r="417" spans="1:15" x14ac:dyDescent="0.25">
      <c r="A417" s="76" t="s">
        <v>236</v>
      </c>
    </row>
    <row r="418" spans="1:15" x14ac:dyDescent="0.25">
      <c r="A418" s="77" t="s">
        <v>3</v>
      </c>
      <c r="B418" s="77" t="str">
        <f>INDEX(lstChannel,Calc!$C$374)</f>
        <v>Hypermarkets</v>
      </c>
      <c r="D418" s="79">
        <f>SUMIFS(tblData[Net Revenue],tblData[Scenario],IF(D$5&lt;=mSel,"Actual","Forecast"),tblData[Year],selFY,tblData[Month],D$5,tblData[Channel],$B418)/Unit</f>
        <v>9.5150000000000006</v>
      </c>
      <c r="E418" s="79">
        <f>SUMIFS(tblData[Net Revenue],tblData[Scenario],IF(E$5&lt;=mSel,"Actual","Forecast"),tblData[Year],selFY,tblData[Month],E$5,tblData[Channel],$B418)/Unit</f>
        <v>9.6620000000000008</v>
      </c>
      <c r="F418" s="79">
        <f>SUMIFS(tblData[Net Revenue],tblData[Scenario],IF(F$5&lt;=mSel,"Actual","Forecast"),tblData[Year],selFY,tblData[Month],F$5,tblData[Channel],$B418)/Unit</f>
        <v>10.912000000000001</v>
      </c>
      <c r="G418" s="79">
        <f>SUMIFS(tblData[Net Revenue],tblData[Scenario],IF(G$5&lt;=mSel,"Actual","Forecast"),tblData[Year],selFY,tblData[Month],G$5,tblData[Channel],$B418)/Unit</f>
        <v>11.178000000000001</v>
      </c>
      <c r="H418" s="79">
        <f>SUMIFS(tblData[Net Revenue],tblData[Scenario],IF(H$5&lt;=mSel,"Actual","Forecast"),tblData[Year],selFY,tblData[Month],H$5,tblData[Channel],$B418)/Unit</f>
        <v>11.414</v>
      </c>
      <c r="I418" s="79">
        <f>SUMIFS(tblData[Net Revenue],tblData[Scenario],IF(I$5&lt;=mSel,"Actual","Forecast"),tblData[Year],selFY,tblData[Month],I$5,tblData[Channel],$B418)/Unit</f>
        <v>11.693</v>
      </c>
      <c r="J418" s="79">
        <f>SUMIFS(tblData[Net Revenue],tblData[Scenario],IF(J$5&lt;=mSel,"Actual","Forecast"),tblData[Year],selFY,tblData[Month],J$5,tblData[Channel],$B418)/Unit</f>
        <v>11.311</v>
      </c>
      <c r="K418" s="79">
        <f>SUMIFS(tblData[Net Revenue],tblData[Scenario],IF(K$5&lt;=mSel,"Actual","Forecast"),tblData[Year],selFY,tblData[Month],K$5,tblData[Channel],$B418)/Unit</f>
        <v>11.763</v>
      </c>
      <c r="L418" s="79">
        <f>SUMIFS(tblData[Net Revenue],tblData[Scenario],IF(L$5&lt;=mSel,"Actual","Forecast"),tblData[Year],selFY,tblData[Month],L$5,tblData[Channel],$B418)/Unit</f>
        <v>12.858000000000001</v>
      </c>
      <c r="M418" s="79">
        <f>SUMIFS(tblData[Net Revenue],tblData[Scenario],IF(M$5&lt;=mSel,"Actual","Forecast"),tblData[Year],selFY,tblData[Month],M$5,tblData[Channel],$B418)/Unit</f>
        <v>13.951000000000001</v>
      </c>
      <c r="N418" s="79">
        <f>SUMIFS(tblData[Net Revenue],tblData[Scenario],IF(N$5&lt;=mSel,"Actual","Forecast"),tblData[Year],selFY,tblData[Month],N$5,tblData[Channel],$B418)/Unit</f>
        <v>14.855</v>
      </c>
      <c r="O418" s="79">
        <f>SUMIFS(tblData[Net Revenue],tblData[Scenario],IF(O$5&lt;=mSel,"Actual","Forecast"),tblData[Year],selFY,tblData[Month],O$5,tblData[Channel],$B418)/Unit</f>
        <v>13.664999999999999</v>
      </c>
    </row>
    <row r="419" spans="1:15" x14ac:dyDescent="0.25">
      <c r="A419" s="77" t="s">
        <v>3</v>
      </c>
      <c r="B419" s="77" t="str">
        <f>INDEX(lstChannel,Calc!$C$375)</f>
        <v>Supermarkets</v>
      </c>
      <c r="D419" s="79">
        <f>SUMIFS(tblData[Net Revenue],tblData[Scenario],IF(D$5&lt;=mSel,"Actual","Forecast"),tblData[Year],selFY,tblData[Month],D$5,tblData[Channel],$B419)/Unit</f>
        <v>8.2159999999999993</v>
      </c>
      <c r="E419" s="79">
        <f>SUMIFS(tblData[Net Revenue],tblData[Scenario],IF(E$5&lt;=mSel,"Actual","Forecast"),tblData[Year],selFY,tblData[Month],E$5,tblData[Channel],$B419)/Unit</f>
        <v>8.5030000000000001</v>
      </c>
      <c r="F419" s="79">
        <f>SUMIFS(tblData[Net Revenue],tblData[Scenario],IF(F$5&lt;=mSel,"Actual","Forecast"),tblData[Year],selFY,tblData[Month],F$5,tblData[Channel],$B419)/Unit</f>
        <v>9.452</v>
      </c>
      <c r="G419" s="79">
        <f>SUMIFS(tblData[Net Revenue],tblData[Scenario],IF(G$5&lt;=mSel,"Actual","Forecast"),tblData[Year],selFY,tblData[Month],G$5,tblData[Channel],$B419)/Unit</f>
        <v>9.7550000000000008</v>
      </c>
      <c r="H419" s="79">
        <f>SUMIFS(tblData[Net Revenue],tblData[Scenario],IF(H$5&lt;=mSel,"Actual","Forecast"),tblData[Year],selFY,tblData[Month],H$5,tblData[Channel],$B419)/Unit</f>
        <v>10.025</v>
      </c>
      <c r="I419" s="79">
        <f>SUMIFS(tblData[Net Revenue],tblData[Scenario],IF(I$5&lt;=mSel,"Actual","Forecast"),tblData[Year],selFY,tblData[Month],I$5,tblData[Channel],$B419)/Unit</f>
        <v>10.282999999999999</v>
      </c>
      <c r="J419" s="79">
        <f>SUMIFS(tblData[Net Revenue],tblData[Scenario],IF(J$5&lt;=mSel,"Actual","Forecast"),tblData[Year],selFY,tblData[Month],J$5,tblData[Channel],$B419)/Unit</f>
        <v>10.130000000000001</v>
      </c>
      <c r="K419" s="79">
        <f>SUMIFS(tblData[Net Revenue],tblData[Scenario],IF(K$5&lt;=mSel,"Actual","Forecast"),tblData[Year],selFY,tblData[Month],K$5,tblData[Channel],$B419)/Unit</f>
        <v>10.215999999999999</v>
      </c>
      <c r="L419" s="79">
        <f>SUMIFS(tblData[Net Revenue],tblData[Scenario],IF(L$5&lt;=mSel,"Actual","Forecast"),tblData[Year],selFY,tblData[Month],L$5,tblData[Channel],$B419)/Unit</f>
        <v>11.282999999999999</v>
      </c>
      <c r="M419" s="79">
        <f>SUMIFS(tblData[Net Revenue],tblData[Scenario],IF(M$5&lt;=mSel,"Actual","Forecast"),tblData[Year],selFY,tblData[Month],M$5,tblData[Channel],$B419)/Unit</f>
        <v>12.250999999999999</v>
      </c>
      <c r="N419" s="79">
        <f>SUMIFS(tblData[Net Revenue],tblData[Scenario],IF(N$5&lt;=mSel,"Actual","Forecast"),tblData[Year],selFY,tblData[Month],N$5,tblData[Channel],$B419)/Unit</f>
        <v>13.085000000000001</v>
      </c>
      <c r="O419" s="79">
        <f>SUMIFS(tblData[Net Revenue],tblData[Scenario],IF(O$5&lt;=mSel,"Actual","Forecast"),tblData[Year],selFY,tblData[Month],O$5,tblData[Channel],$B419)/Unit</f>
        <v>12.077999999999999</v>
      </c>
    </row>
    <row r="420" spans="1:15" x14ac:dyDescent="0.25">
      <c r="A420" s="77" t="s">
        <v>3</v>
      </c>
      <c r="B420" s="77" t="str">
        <f>INDEX(lstChannel,Calc!$C$376)</f>
        <v>Marketplaces</v>
      </c>
      <c r="D420" s="79">
        <f>SUMIFS(tblData[Net Revenue],tblData[Scenario],IF(D$5&lt;=mSel,"Actual","Forecast"),tblData[Year],selFY,tblData[Month],D$5,tblData[Channel],$B420)/Unit</f>
        <v>6.149</v>
      </c>
      <c r="E420" s="79">
        <f>SUMIFS(tblData[Net Revenue],tblData[Scenario],IF(E$5&lt;=mSel,"Actual","Forecast"),tblData[Year],selFY,tblData[Month],E$5,tblData[Channel],$B420)/Unit</f>
        <v>6.3529999999999998</v>
      </c>
      <c r="F420" s="79">
        <f>SUMIFS(tblData[Net Revenue],tblData[Scenario],IF(F$5&lt;=mSel,"Actual","Forecast"),tblData[Year],selFY,tblData[Month],F$5,tblData[Channel],$B420)/Unit</f>
        <v>7.085</v>
      </c>
      <c r="G420" s="79">
        <f>SUMIFS(tblData[Net Revenue],tblData[Scenario],IF(G$5&lt;=mSel,"Actual","Forecast"),tblData[Year],selFY,tblData[Month],G$5,tblData[Channel],$B420)/Unit</f>
        <v>7.2140000000000004</v>
      </c>
      <c r="H420" s="79">
        <f>SUMIFS(tblData[Net Revenue],tblData[Scenario],IF(H$5&lt;=mSel,"Actual","Forecast"),tblData[Year],selFY,tblData[Month],H$5,tblData[Channel],$B420)/Unit</f>
        <v>7.452</v>
      </c>
      <c r="I420" s="79">
        <f>SUMIFS(tblData[Net Revenue],tblData[Scenario],IF(I$5&lt;=mSel,"Actual","Forecast"),tblData[Year],selFY,tblData[Month],I$5,tblData[Channel],$B420)/Unit</f>
        <v>7.6369999999999996</v>
      </c>
      <c r="J420" s="79">
        <f>SUMIFS(tblData[Net Revenue],tblData[Scenario],IF(J$5&lt;=mSel,"Actual","Forecast"),tblData[Year],selFY,tblData[Month],J$5,tblData[Channel],$B420)/Unit</f>
        <v>7.4489999999999998</v>
      </c>
      <c r="K420" s="79">
        <f>SUMIFS(tblData[Net Revenue],tblData[Scenario],IF(K$5&lt;=mSel,"Actual","Forecast"),tblData[Year],selFY,tblData[Month],K$5,tblData[Channel],$B420)/Unit</f>
        <v>7.6760000000000002</v>
      </c>
      <c r="L420" s="79">
        <f>SUMIFS(tblData[Net Revenue],tblData[Scenario],IF(L$5&lt;=mSel,"Actual","Forecast"),tblData[Year],selFY,tblData[Month],L$5,tblData[Channel],$B420)/Unit</f>
        <v>8.3699999999999992</v>
      </c>
      <c r="M420" s="79">
        <f>SUMIFS(tblData[Net Revenue],tblData[Scenario],IF(M$5&lt;=mSel,"Actual","Forecast"),tblData[Year],selFY,tblData[Month],M$5,tblData[Channel],$B420)/Unit</f>
        <v>9.0860000000000003</v>
      </c>
      <c r="N420" s="79">
        <f>SUMIFS(tblData[Net Revenue],tblData[Scenario],IF(N$5&lt;=mSel,"Actual","Forecast"),tblData[Year],selFY,tblData[Month],N$5,tblData[Channel],$B420)/Unit</f>
        <v>9.6790000000000003</v>
      </c>
      <c r="O420" s="79">
        <f>SUMIFS(tblData[Net Revenue],tblData[Scenario],IF(O$5&lt;=mSel,"Actual","Forecast"),tblData[Year],selFY,tblData[Month],O$5,tblData[Channel],$B420)/Unit</f>
        <v>8.9429999999999996</v>
      </c>
    </row>
    <row r="421" spans="1:15" x14ac:dyDescent="0.25">
      <c r="A421" s="77" t="s">
        <v>3</v>
      </c>
      <c r="B421" s="77" t="str">
        <f>INDEX(lstChannel,Calc!$C$377)</f>
        <v>Discounters</v>
      </c>
      <c r="D421" s="79">
        <f>SUMIFS(tblData[Net Revenue],tblData[Scenario],IF(D$5&lt;=mSel,"Actual","Forecast"),tblData[Year],selFY,tblData[Month],D$5,tblData[Channel],$B421)/Unit</f>
        <v>4.2050000000000001</v>
      </c>
      <c r="E421" s="79">
        <f>SUMIFS(tblData[Net Revenue],tblData[Scenario],IF(E$5&lt;=mSel,"Actual","Forecast"),tblData[Year],selFY,tblData[Month],E$5,tblData[Channel],$B421)/Unit</f>
        <v>4.4939999999999998</v>
      </c>
      <c r="F421" s="79">
        <f>SUMIFS(tblData[Net Revenue],tblData[Scenario],IF(F$5&lt;=mSel,"Actual","Forecast"),tblData[Year],selFY,tblData[Month],F$5,tblData[Channel],$B421)/Unit</f>
        <v>4.9000000000000004</v>
      </c>
      <c r="G421" s="79">
        <f>SUMIFS(tblData[Net Revenue],tblData[Scenario],IF(G$5&lt;=mSel,"Actual","Forecast"),tblData[Year],selFY,tblData[Month],G$5,tblData[Channel],$B421)/Unit</f>
        <v>5.04</v>
      </c>
      <c r="H421" s="79">
        <f>SUMIFS(tblData[Net Revenue],tblData[Scenario],IF(H$5&lt;=mSel,"Actual","Forecast"),tblData[Year],selFY,tblData[Month],H$5,tblData[Channel],$B421)/Unit</f>
        <v>5.1639999999999997</v>
      </c>
      <c r="I421" s="79">
        <f>SUMIFS(tblData[Net Revenue],tblData[Scenario],IF(I$5&lt;=mSel,"Actual","Forecast"),tblData[Year],selFY,tblData[Month],I$5,tblData[Channel],$B421)/Unit</f>
        <v>5.2729999999999997</v>
      </c>
      <c r="J421" s="79">
        <f>SUMIFS(tblData[Net Revenue],tblData[Scenario],IF(J$5&lt;=mSel,"Actual","Forecast"),tblData[Year],selFY,tblData[Month],J$5,tblData[Channel],$B421)/Unit</f>
        <v>5.1280000000000001</v>
      </c>
      <c r="K421" s="79">
        <f>SUMIFS(tblData[Net Revenue],tblData[Scenario],IF(K$5&lt;=mSel,"Actual","Forecast"),tblData[Year],selFY,tblData[Month],K$5,tblData[Channel],$B421)/Unit</f>
        <v>5.23</v>
      </c>
      <c r="L421" s="79">
        <f>SUMIFS(tblData[Net Revenue],tblData[Scenario],IF(L$5&lt;=mSel,"Actual","Forecast"),tblData[Year],selFY,tblData[Month],L$5,tblData[Channel],$B421)/Unit</f>
        <v>5.657</v>
      </c>
      <c r="M421" s="79">
        <f>SUMIFS(tblData[Net Revenue],tblData[Scenario],IF(M$5&lt;=mSel,"Actual","Forecast"),tblData[Year],selFY,tblData[Month],M$5,tblData[Channel],$B421)/Unit</f>
        <v>6.2720000000000002</v>
      </c>
      <c r="N421" s="79">
        <f>SUMIFS(tblData[Net Revenue],tblData[Scenario],IF(N$5&lt;=mSel,"Actual","Forecast"),tblData[Year],selFY,tblData[Month],N$5,tblData[Channel],$B421)/Unit</f>
        <v>6.6740000000000004</v>
      </c>
      <c r="O421" s="79">
        <f>SUMIFS(tblData[Net Revenue],tblData[Scenario],IF(O$5&lt;=mSel,"Actual","Forecast"),tblData[Year],selFY,tblData[Month],O$5,tblData[Channel],$B421)/Unit</f>
        <v>6.1710000000000003</v>
      </c>
    </row>
    <row r="422" spans="1:15" x14ac:dyDescent="0.25">
      <c r="A422" s="77" t="s">
        <v>3</v>
      </c>
      <c r="B422" s="77" t="str">
        <f>INDEX(lstChannel,Calc!$C$378)</f>
        <v>Distributors</v>
      </c>
      <c r="D422" s="79">
        <f>SUMIFS(tblData[Net Revenue],tblData[Scenario],IF(D$5&lt;=mSel,"Actual","Forecast"),tblData[Year],selFY,tblData[Month],D$5,tblData[Channel],$B422)/Unit</f>
        <v>3.7949999999999999</v>
      </c>
      <c r="E422" s="79">
        <f>SUMIFS(tblData[Net Revenue],tblData[Scenario],IF(E$5&lt;=mSel,"Actual","Forecast"),tblData[Year],selFY,tblData[Month],E$5,tblData[Channel],$B422)/Unit</f>
        <v>3.8889999999999998</v>
      </c>
      <c r="F422" s="79">
        <f>SUMIFS(tblData[Net Revenue],tblData[Scenario],IF(F$5&lt;=mSel,"Actual","Forecast"),tblData[Year],selFY,tblData[Month],F$5,tblData[Channel],$B422)/Unit</f>
        <v>4.391</v>
      </c>
      <c r="G422" s="79">
        <f>SUMIFS(tblData[Net Revenue],tblData[Scenario],IF(G$5&lt;=mSel,"Actual","Forecast"),tblData[Year],selFY,tblData[Month],G$5,tblData[Channel],$B422)/Unit</f>
        <v>4.4800000000000004</v>
      </c>
      <c r="H422" s="79">
        <f>SUMIFS(tblData[Net Revenue],tblData[Scenario],IF(H$5&lt;=mSel,"Actual","Forecast"),tblData[Year],selFY,tblData[Month],H$5,tblData[Channel],$B422)/Unit</f>
        <v>4.6020000000000003</v>
      </c>
      <c r="I422" s="79">
        <f>SUMIFS(tblData[Net Revenue],tblData[Scenario],IF(I$5&lt;=mSel,"Actual","Forecast"),tblData[Year],selFY,tblData[Month],I$5,tblData[Channel],$B422)/Unit</f>
        <v>4.7329999999999997</v>
      </c>
      <c r="J422" s="79">
        <f>SUMIFS(tblData[Net Revenue],tblData[Scenario],IF(J$5&lt;=mSel,"Actual","Forecast"),tblData[Year],selFY,tblData[Month],J$5,tblData[Channel],$B422)/Unit</f>
        <v>4.6150000000000002</v>
      </c>
      <c r="K422" s="79">
        <f>SUMIFS(tblData[Net Revenue],tblData[Scenario],IF(K$5&lt;=mSel,"Actual","Forecast"),tblData[Year],selFY,tblData[Month],K$5,tblData[Channel],$B422)/Unit</f>
        <v>4.6369999999999996</v>
      </c>
      <c r="L422" s="79">
        <f>SUMIFS(tblData[Net Revenue],tblData[Scenario],IF(L$5&lt;=mSel,"Actual","Forecast"),tblData[Year],selFY,tblData[Month],L$5,tblData[Channel],$B422)/Unit</f>
        <v>5.1920000000000002</v>
      </c>
      <c r="M422" s="79">
        <f>SUMIFS(tblData[Net Revenue],tblData[Scenario],IF(M$5&lt;=mSel,"Actual","Forecast"),tblData[Year],selFY,tblData[Month],M$5,tblData[Channel],$B422)/Unit</f>
        <v>5.5750000000000002</v>
      </c>
      <c r="N422" s="79">
        <f>SUMIFS(tblData[Net Revenue],tblData[Scenario],IF(N$5&lt;=mSel,"Actual","Forecast"),tblData[Year],selFY,tblData[Month],N$5,tblData[Channel],$B422)/Unit</f>
        <v>5.9580000000000002</v>
      </c>
      <c r="O422" s="79">
        <f>SUMIFS(tblData[Net Revenue],tblData[Scenario],IF(O$5&lt;=mSel,"Actual","Forecast"),tblData[Year],selFY,tblData[Month],O$5,tblData[Channel],$B422)/Unit</f>
        <v>5.492</v>
      </c>
    </row>
    <row r="423" spans="1:15" x14ac:dyDescent="0.25">
      <c r="A423" s="77" t="s">
        <v>3</v>
      </c>
      <c r="B423" s="77" t="str">
        <f>INDEX(lstChannel,Calc!$C$379)</f>
        <v>Direct to Consumer</v>
      </c>
      <c r="D423" s="79">
        <f>SUMIFS(tblData[Net Revenue],tblData[Scenario],IF(D$5&lt;=mSel,"Actual","Forecast"),tblData[Year],selFY,tblData[Month],D$5,tblData[Channel],$B423)/Unit</f>
        <v>2.468</v>
      </c>
      <c r="E423" s="79">
        <f>SUMIFS(tblData[Net Revenue],tblData[Scenario],IF(E$5&lt;=mSel,"Actual","Forecast"),tblData[Year],selFY,tblData[Month],E$5,tblData[Channel],$B423)/Unit</f>
        <v>2.4900000000000002</v>
      </c>
      <c r="F423" s="79">
        <f>SUMIFS(tblData[Net Revenue],tblData[Scenario],IF(F$5&lt;=mSel,"Actual","Forecast"),tblData[Year],selFY,tblData[Month],F$5,tblData[Channel],$B423)/Unit</f>
        <v>2.7919999999999998</v>
      </c>
      <c r="G423" s="79">
        <f>SUMIFS(tblData[Net Revenue],tblData[Scenario],IF(G$5&lt;=mSel,"Actual","Forecast"),tblData[Year],selFY,tblData[Month],G$5,tblData[Channel],$B423)/Unit</f>
        <v>2.9329999999999998</v>
      </c>
      <c r="H423" s="79">
        <f>SUMIFS(tblData[Net Revenue],tblData[Scenario],IF(H$5&lt;=mSel,"Actual","Forecast"),tblData[Year],selFY,tblData[Month],H$5,tblData[Channel],$B423)/Unit</f>
        <v>2.96</v>
      </c>
      <c r="I423" s="79">
        <f>SUMIFS(tblData[Net Revenue],tblData[Scenario],IF(I$5&lt;=mSel,"Actual","Forecast"),tblData[Year],selFY,tblData[Month],I$5,tblData[Channel],$B423)/Unit</f>
        <v>2.9830000000000001</v>
      </c>
      <c r="J423" s="79">
        <f>SUMIFS(tblData[Net Revenue],tblData[Scenario],IF(J$5&lt;=mSel,"Actual","Forecast"),tblData[Year],selFY,tblData[Month],J$5,tblData[Channel],$B423)/Unit</f>
        <v>2.9220000000000002</v>
      </c>
      <c r="K423" s="79">
        <f>SUMIFS(tblData[Net Revenue],tblData[Scenario],IF(K$5&lt;=mSel,"Actual","Forecast"),tblData[Year],selFY,tblData[Month],K$5,tblData[Channel],$B423)/Unit</f>
        <v>2.9929999999999999</v>
      </c>
      <c r="L423" s="79">
        <f>SUMIFS(tblData[Net Revenue],tblData[Scenario],IF(L$5&lt;=mSel,"Actual","Forecast"),tblData[Year],selFY,tblData[Month],L$5,tblData[Channel],$B423)/Unit</f>
        <v>3.3050000000000002</v>
      </c>
      <c r="M423" s="79">
        <f>SUMIFS(tblData[Net Revenue],tblData[Scenario],IF(M$5&lt;=mSel,"Actual","Forecast"),tblData[Year],selFY,tblData[Month],M$5,tblData[Channel],$B423)/Unit</f>
        <v>3.61</v>
      </c>
      <c r="N423" s="79">
        <f>SUMIFS(tblData[Net Revenue],tblData[Scenario],IF(N$5&lt;=mSel,"Actual","Forecast"),tblData[Year],selFY,tblData[Month],N$5,tblData[Channel],$B423)/Unit</f>
        <v>3.8239999999999998</v>
      </c>
      <c r="O423" s="79">
        <f>SUMIFS(tblData[Net Revenue],tblData[Scenario],IF(O$5&lt;=mSel,"Actual","Forecast"),tblData[Year],selFY,tblData[Month],O$5,tblData[Channel],$B423)/Unit</f>
        <v>3.5369999999999999</v>
      </c>
    </row>
    <row r="424" spans="1:15" x14ac:dyDescent="0.25">
      <c r="A424" s="77" t="s">
        <v>4</v>
      </c>
      <c r="B424" s="77" t="str">
        <f>INDEX(lstBrand,Calc!$C$410)</f>
        <v>Aurelia</v>
      </c>
      <c r="D424" s="79">
        <f>SUMIFS(tblData[Net Revenue],tblData[Scenario],IF(D$5&lt;=mSel,"Actual","Forecast"),tblData[Year],selFY,tblData[Month],D$5,tblData[Brand],$B424)/Unit</f>
        <v>10.002000000000001</v>
      </c>
      <c r="E424" s="79">
        <f>SUMIFS(tblData[Net Revenue],tblData[Scenario],IF(E$5&lt;=mSel,"Actual","Forecast"),tblData[Year],selFY,tblData[Month],E$5,tblData[Brand],$B424)/Unit</f>
        <v>10.311999999999999</v>
      </c>
      <c r="F424" s="79">
        <f>SUMIFS(tblData[Net Revenue],tblData[Scenario],IF(F$5&lt;=mSel,"Actual","Forecast"),tblData[Year],selFY,tblData[Month],F$5,tblData[Brand],$B424)/Unit</f>
        <v>11.679</v>
      </c>
      <c r="G424" s="79">
        <f>SUMIFS(tblData[Net Revenue],tblData[Scenario],IF(G$5&lt;=mSel,"Actual","Forecast"),tblData[Year],selFY,tblData[Month],G$5,tblData[Brand],$B424)/Unit</f>
        <v>11.743</v>
      </c>
      <c r="H424" s="79">
        <f>SUMIFS(tblData[Net Revenue],tblData[Scenario],IF(H$5&lt;=mSel,"Actual","Forecast"),tblData[Year],selFY,tblData[Month],H$5,tblData[Brand],$B424)/Unit</f>
        <v>12.156000000000001</v>
      </c>
      <c r="I424" s="79">
        <f>SUMIFS(tblData[Net Revenue],tblData[Scenario],IF(I$5&lt;=mSel,"Actual","Forecast"),tblData[Year],selFY,tblData[Month],I$5,tblData[Brand],$B424)/Unit</f>
        <v>12.393000000000001</v>
      </c>
      <c r="J424" s="79">
        <f>SUMIFS(tblData[Net Revenue],tblData[Scenario],IF(J$5&lt;=mSel,"Actual","Forecast"),tblData[Year],selFY,tblData[Month],J$5,tblData[Brand],$B424)/Unit</f>
        <v>12.115</v>
      </c>
      <c r="K424" s="79">
        <f>SUMIFS(tblData[Net Revenue],tblData[Scenario],IF(K$5&lt;=mSel,"Actual","Forecast"),tblData[Year],selFY,tblData[Month],K$5,tblData[Brand],$B424)/Unit</f>
        <v>12.33</v>
      </c>
      <c r="L424" s="79">
        <f>SUMIFS(tblData[Net Revenue],tblData[Scenario],IF(L$5&lt;=mSel,"Actual","Forecast"),tblData[Year],selFY,tblData[Month],L$5,tblData[Brand],$B424)/Unit</f>
        <v>13.496</v>
      </c>
      <c r="M424" s="79">
        <f>SUMIFS(tblData[Net Revenue],tblData[Scenario],IF(M$5&lt;=mSel,"Actual","Forecast"),tblData[Year],selFY,tblData[Month],M$5,tblData[Brand],$B424)/Unit</f>
        <v>14.88</v>
      </c>
      <c r="N424" s="79">
        <f>SUMIFS(tblData[Net Revenue],tblData[Scenario],IF(N$5&lt;=mSel,"Actual","Forecast"),tblData[Year],selFY,tblData[Month],N$5,tblData[Brand],$B424)/Unit</f>
        <v>15.744</v>
      </c>
      <c r="O424" s="79">
        <f>SUMIFS(tblData[Net Revenue],tblData[Scenario],IF(O$5&lt;=mSel,"Actual","Forecast"),tblData[Year],selFY,tblData[Month],O$5,tblData[Brand],$B424)/Unit</f>
        <v>14.512</v>
      </c>
    </row>
    <row r="425" spans="1:15" x14ac:dyDescent="0.25">
      <c r="A425" s="77" t="s">
        <v>4</v>
      </c>
      <c r="B425" s="77" t="str">
        <f>INDEX(lstBrand,Calc!$C$411)</f>
        <v>Novara</v>
      </c>
      <c r="D425" s="79">
        <f>SUMIFS(tblData[Net Revenue],tblData[Scenario],IF(D$5&lt;=mSel,"Actual","Forecast"),tblData[Year],selFY,tblData[Month],D$5,tblData[Brand],$B425)/Unit</f>
        <v>8.2170000000000005</v>
      </c>
      <c r="E425" s="79">
        <f>SUMIFS(tblData[Net Revenue],tblData[Scenario],IF(E$5&lt;=mSel,"Actual","Forecast"),tblData[Year],selFY,tblData[Month],E$5,tblData[Brand],$B425)/Unit</f>
        <v>8.5660000000000007</v>
      </c>
      <c r="F425" s="79">
        <f>SUMIFS(tblData[Net Revenue],tblData[Scenario],IF(F$5&lt;=mSel,"Actual","Forecast"),tblData[Year],selFY,tblData[Month],F$5,tblData[Brand],$B425)/Unit</f>
        <v>9.5519999999999996</v>
      </c>
      <c r="G425" s="79">
        <f>SUMIFS(tblData[Net Revenue],tblData[Scenario],IF(G$5&lt;=mSel,"Actual","Forecast"),tblData[Year],selFY,tblData[Month],G$5,tblData[Brand],$B425)/Unit</f>
        <v>9.9109999999999996</v>
      </c>
      <c r="H425" s="79">
        <f>SUMIFS(tblData[Net Revenue],tblData[Scenario],IF(H$5&lt;=mSel,"Actual","Forecast"),tblData[Year],selFY,tblData[Month],H$5,tblData[Brand],$B425)/Unit</f>
        <v>10.096</v>
      </c>
      <c r="I425" s="79">
        <f>SUMIFS(tblData[Net Revenue],tblData[Scenario],IF(I$5&lt;=mSel,"Actual","Forecast"),tblData[Year],selFY,tblData[Month],I$5,tblData[Brand],$B425)/Unit</f>
        <v>10.372999999999999</v>
      </c>
      <c r="J425" s="79">
        <f>SUMIFS(tblData[Net Revenue],tblData[Scenario],IF(J$5&lt;=mSel,"Actual","Forecast"),tblData[Year],selFY,tblData[Month],J$5,tblData[Brand],$B425)/Unit</f>
        <v>10.050000000000001</v>
      </c>
      <c r="K425" s="79">
        <f>SUMIFS(tblData[Net Revenue],tblData[Scenario],IF(K$5&lt;=mSel,"Actual","Forecast"),tblData[Year],selFY,tblData[Month],K$5,tblData[Brand],$B425)/Unit</f>
        <v>10.301</v>
      </c>
      <c r="L425" s="79">
        <f>SUMIFS(tblData[Net Revenue],tblData[Scenario],IF(L$5&lt;=mSel,"Actual","Forecast"),tblData[Year],selFY,tblData[Month],L$5,tblData[Brand],$B425)/Unit</f>
        <v>11.337999999999999</v>
      </c>
      <c r="M425" s="79">
        <f>SUMIFS(tblData[Net Revenue],tblData[Scenario],IF(M$5&lt;=mSel,"Actual","Forecast"),tblData[Year],selFY,tblData[Month],M$5,tblData[Brand],$B425)/Unit</f>
        <v>12.135</v>
      </c>
      <c r="N425" s="79">
        <f>SUMIFS(tblData[Net Revenue],tblData[Scenario],IF(N$5&lt;=mSel,"Actual","Forecast"),tblData[Year],selFY,tblData[Month],N$5,tblData[Brand],$B425)/Unit</f>
        <v>13.061</v>
      </c>
      <c r="O425" s="79">
        <f>SUMIFS(tblData[Net Revenue],tblData[Scenario],IF(O$5&lt;=mSel,"Actual","Forecast"),tblData[Year],selFY,tblData[Month],O$5,tblData[Brand],$B425)/Unit</f>
        <v>12.066000000000001</v>
      </c>
    </row>
    <row r="426" spans="1:15" x14ac:dyDescent="0.25">
      <c r="A426" s="77" t="s">
        <v>4</v>
      </c>
      <c r="B426" s="77" t="str">
        <f>INDEX(lstBrand,Calc!$C$412)</f>
        <v>Kestrel</v>
      </c>
      <c r="D426" s="79">
        <f>SUMIFS(tblData[Net Revenue],tblData[Scenario],IF(D$5&lt;=mSel,"Actual","Forecast"),tblData[Year],selFY,tblData[Month],D$5,tblData[Brand],$B426)/Unit</f>
        <v>6.0739999999999998</v>
      </c>
      <c r="E426" s="79">
        <f>SUMIFS(tblData[Net Revenue],tblData[Scenario],IF(E$5&lt;=mSel,"Actual","Forecast"),tblData[Year],selFY,tblData[Month],E$5,tblData[Brand],$B426)/Unit</f>
        <v>6.3620000000000001</v>
      </c>
      <c r="F426" s="79">
        <f>SUMIFS(tblData[Net Revenue],tblData[Scenario],IF(F$5&lt;=mSel,"Actual","Forecast"),tblData[Year],selFY,tblData[Month],F$5,tblData[Brand],$B426)/Unit</f>
        <v>7.0339999999999998</v>
      </c>
      <c r="G426" s="79">
        <f>SUMIFS(tblData[Net Revenue],tblData[Scenario],IF(G$5&lt;=mSel,"Actual","Forecast"),tblData[Year],selFY,tblData[Month],G$5,tblData[Brand],$B426)/Unit</f>
        <v>7.3170000000000002</v>
      </c>
      <c r="H426" s="79">
        <f>SUMIFS(tblData[Net Revenue],tblData[Scenario],IF(H$5&lt;=mSel,"Actual","Forecast"),tblData[Year],selFY,tblData[Month],H$5,tblData[Brand],$B426)/Unit</f>
        <v>7.3970000000000002</v>
      </c>
      <c r="I426" s="79">
        <f>SUMIFS(tblData[Net Revenue],tblData[Scenario],IF(I$5&lt;=mSel,"Actual","Forecast"),tblData[Year],selFY,tblData[Month],I$5,tblData[Brand],$B426)/Unit</f>
        <v>7.6539999999999999</v>
      </c>
      <c r="J426" s="79">
        <f>SUMIFS(tblData[Net Revenue],tblData[Scenario],IF(J$5&lt;=mSel,"Actual","Forecast"),tblData[Year],selFY,tblData[Month],J$5,tblData[Brand],$B426)/Unit</f>
        <v>7.452</v>
      </c>
      <c r="K426" s="79">
        <f>SUMIFS(tblData[Net Revenue],tblData[Scenario],IF(K$5&lt;=mSel,"Actual","Forecast"),tblData[Year],selFY,tblData[Month],K$5,tblData[Brand],$B426)/Unit</f>
        <v>7.5469999999999997</v>
      </c>
      <c r="L426" s="79">
        <f>SUMIFS(tblData[Net Revenue],tblData[Scenario],IF(L$5&lt;=mSel,"Actual","Forecast"),tblData[Year],selFY,tblData[Month],L$5,tblData[Brand],$B426)/Unit</f>
        <v>8.2629999999999999</v>
      </c>
      <c r="M426" s="79">
        <f>SUMIFS(tblData[Net Revenue],tblData[Scenario],IF(M$5&lt;=mSel,"Actual","Forecast"),tblData[Year],selFY,tblData[Month],M$5,tblData[Brand],$B426)/Unit</f>
        <v>9.0709999999999997</v>
      </c>
      <c r="N426" s="79">
        <f>SUMIFS(tblData[Net Revenue],tblData[Scenario],IF(N$5&lt;=mSel,"Actual","Forecast"),tblData[Year],selFY,tblData[Month],N$5,tblData[Brand],$B426)/Unit</f>
        <v>9.6430000000000007</v>
      </c>
      <c r="O426" s="79">
        <f>SUMIFS(tblData[Net Revenue],tblData[Scenario],IF(O$5&lt;=mSel,"Actual","Forecast"),tblData[Year],selFY,tblData[Month],O$5,tblData[Brand],$B426)/Unit</f>
        <v>8.9</v>
      </c>
    </row>
    <row r="427" spans="1:15" x14ac:dyDescent="0.25">
      <c r="A427" s="77" t="s">
        <v>4</v>
      </c>
      <c r="B427" s="77" t="str">
        <f>INDEX(lstBrand,Calc!$C$413)</f>
        <v>Lumio</v>
      </c>
      <c r="D427" s="79">
        <f>SUMIFS(tblData[Net Revenue],tblData[Scenario],IF(D$5&lt;=mSel,"Actual","Forecast"),tblData[Year],selFY,tblData[Month],D$5,tblData[Brand],$B427)/Unit</f>
        <v>4.9729999999999999</v>
      </c>
      <c r="E427" s="79">
        <f>SUMIFS(tblData[Net Revenue],tblData[Scenario],IF(E$5&lt;=mSel,"Actual","Forecast"),tblData[Year],selFY,tblData[Month],E$5,tblData[Brand],$B427)/Unit</f>
        <v>5.0659999999999998</v>
      </c>
      <c r="F427" s="79">
        <f>SUMIFS(tblData[Net Revenue],tblData[Scenario],IF(F$5&lt;=mSel,"Actual","Forecast"),tblData[Year],selFY,tblData[Month],F$5,tblData[Brand],$B427)/Unit</f>
        <v>5.5590000000000002</v>
      </c>
      <c r="G427" s="79">
        <f>SUMIFS(tblData[Net Revenue],tblData[Scenario],IF(G$5&lt;=mSel,"Actual","Forecast"),tblData[Year],selFY,tblData[Month],G$5,tblData[Brand],$B427)/Unit</f>
        <v>5.7480000000000002</v>
      </c>
      <c r="H427" s="79">
        <f>SUMIFS(tblData[Net Revenue],tblData[Scenario],IF(H$5&lt;=mSel,"Actual","Forecast"),tblData[Year],selFY,tblData[Month],H$5,tblData[Brand],$B427)/Unit</f>
        <v>5.91</v>
      </c>
      <c r="I427" s="79">
        <f>SUMIFS(tblData[Net Revenue],tblData[Scenario],IF(I$5&lt;=mSel,"Actual","Forecast"),tblData[Year],selFY,tblData[Month],I$5,tblData[Brand],$B427)/Unit</f>
        <v>6.0430000000000001</v>
      </c>
      <c r="J427" s="79">
        <f>SUMIFS(tblData[Net Revenue],tblData[Scenario],IF(J$5&lt;=mSel,"Actual","Forecast"),tblData[Year],selFY,tblData[Month],J$5,tblData[Brand],$B427)/Unit</f>
        <v>5.9180000000000001</v>
      </c>
      <c r="K427" s="79">
        <f>SUMIFS(tblData[Net Revenue],tblData[Scenario],IF(K$5&lt;=mSel,"Actual","Forecast"),tblData[Year],selFY,tblData[Month],K$5,tblData[Brand],$B427)/Unit</f>
        <v>6.1539999999999999</v>
      </c>
      <c r="L427" s="79">
        <f>SUMIFS(tblData[Net Revenue],tblData[Scenario],IF(L$5&lt;=mSel,"Actual","Forecast"),tblData[Year],selFY,tblData[Month],L$5,tblData[Brand],$B427)/Unit</f>
        <v>6.7169999999999996</v>
      </c>
      <c r="M427" s="79">
        <f>SUMIFS(tblData[Net Revenue],tblData[Scenario],IF(M$5&lt;=mSel,"Actual","Forecast"),tblData[Year],selFY,tblData[Month],M$5,tblData[Brand],$B427)/Unit</f>
        <v>7.23</v>
      </c>
      <c r="N427" s="79">
        <f>SUMIFS(tblData[Net Revenue],tblData[Scenario],IF(N$5&lt;=mSel,"Actual","Forecast"),tblData[Year],selFY,tblData[Month],N$5,tblData[Brand],$B427)/Unit</f>
        <v>7.74</v>
      </c>
      <c r="O427" s="79">
        <f>SUMIFS(tblData[Net Revenue],tblData[Scenario],IF(O$5&lt;=mSel,"Actual","Forecast"),tblData[Year],selFY,tblData[Month],O$5,tblData[Brand],$B427)/Unit</f>
        <v>7.13</v>
      </c>
    </row>
    <row r="428" spans="1:15" x14ac:dyDescent="0.25">
      <c r="A428" s="77" t="s">
        <v>4</v>
      </c>
      <c r="B428" s="77" t="str">
        <f>INDEX(lstBrand,Calc!$C$414)</f>
        <v>Everwood</v>
      </c>
      <c r="D428" s="79">
        <f>SUMIFS(tblData[Net Revenue],tblData[Scenario],IF(D$5&lt;=mSel,"Actual","Forecast"),tblData[Year],selFY,tblData[Month],D$5,tblData[Brand],$B428)/Unit</f>
        <v>3.2269999999999999</v>
      </c>
      <c r="E428" s="79">
        <f>SUMIFS(tblData[Net Revenue],tblData[Scenario],IF(E$5&lt;=mSel,"Actual","Forecast"),tblData[Year],selFY,tblData[Month],E$5,tblData[Brand],$B428)/Unit</f>
        <v>3.262</v>
      </c>
      <c r="F428" s="79">
        <f>SUMIFS(tblData[Net Revenue],tblData[Scenario],IF(F$5&lt;=mSel,"Actual","Forecast"),tblData[Year],selFY,tblData[Month],F$5,tblData[Brand],$B428)/Unit</f>
        <v>3.6480000000000001</v>
      </c>
      <c r="G428" s="79">
        <f>SUMIFS(tblData[Net Revenue],tblData[Scenario],IF(G$5&lt;=mSel,"Actual","Forecast"),tblData[Year],selFY,tblData[Month],G$5,tblData[Brand],$B428)/Unit</f>
        <v>3.76</v>
      </c>
      <c r="H428" s="79">
        <f>SUMIFS(tblData[Net Revenue],tblData[Scenario],IF(H$5&lt;=mSel,"Actual","Forecast"),tblData[Year],selFY,tblData[Month],H$5,tblData[Brand],$B428)/Unit</f>
        <v>3.8580000000000001</v>
      </c>
      <c r="I428" s="79">
        <f>SUMIFS(tblData[Net Revenue],tblData[Scenario],IF(I$5&lt;=mSel,"Actual","Forecast"),tblData[Year],selFY,tblData[Month],I$5,tblData[Brand],$B428)/Unit</f>
        <v>3.91</v>
      </c>
      <c r="J428" s="79">
        <f>SUMIFS(tblData[Net Revenue],tblData[Scenario],IF(J$5&lt;=mSel,"Actual","Forecast"),tblData[Year],selFY,tblData[Month],J$5,tblData[Brand],$B428)/Unit</f>
        <v>3.819</v>
      </c>
      <c r="K428" s="79">
        <f>SUMIFS(tblData[Net Revenue],tblData[Scenario],IF(K$5&lt;=mSel,"Actual","Forecast"),tblData[Year],selFY,tblData[Month],K$5,tblData[Brand],$B428)/Unit</f>
        <v>3.9260000000000002</v>
      </c>
      <c r="L428" s="79">
        <f>SUMIFS(tblData[Net Revenue],tblData[Scenario],IF(L$5&lt;=mSel,"Actual","Forecast"),tblData[Year],selFY,tblData[Month],L$5,tblData[Brand],$B428)/Unit</f>
        <v>4.3819999999999997</v>
      </c>
      <c r="M428" s="79">
        <f>SUMIFS(tblData[Net Revenue],tblData[Scenario],IF(M$5&lt;=mSel,"Actual","Forecast"),tblData[Year],selFY,tblData[Month],M$5,tblData[Brand],$B428)/Unit</f>
        <v>4.7190000000000003</v>
      </c>
      <c r="N428" s="79">
        <f>SUMIFS(tblData[Net Revenue],tblData[Scenario],IF(N$5&lt;=mSel,"Actual","Forecast"),tblData[Year],selFY,tblData[Month],N$5,tblData[Brand],$B428)/Unit</f>
        <v>5.0289999999999999</v>
      </c>
      <c r="O428" s="79">
        <f>SUMIFS(tblData[Net Revenue],tblData[Scenario],IF(O$5&lt;=mSel,"Actual","Forecast"),tblData[Year],selFY,tblData[Month],O$5,tblData[Brand],$B428)/Unit</f>
        <v>4.6369999999999996</v>
      </c>
    </row>
    <row r="429" spans="1:15" x14ac:dyDescent="0.25">
      <c r="A429" s="77" t="s">
        <v>4</v>
      </c>
      <c r="B429" s="77" t="str">
        <f>INDEX(lstBrand,Calc!$C$415)</f>
        <v>Tindra</v>
      </c>
      <c r="D429" s="79">
        <f>SUMIFS(tblData[Net Revenue],tblData[Scenario],IF(D$5&lt;=mSel,"Actual","Forecast"),tblData[Year],selFY,tblData[Month],D$5,tblData[Brand],$B429)/Unit</f>
        <v>1.855</v>
      </c>
      <c r="E429" s="79">
        <f>SUMIFS(tblData[Net Revenue],tblData[Scenario],IF(E$5&lt;=mSel,"Actual","Forecast"),tblData[Year],selFY,tblData[Month],E$5,tblData[Brand],$B429)/Unit</f>
        <v>1.823</v>
      </c>
      <c r="F429" s="79">
        <f>SUMIFS(tblData[Net Revenue],tblData[Scenario],IF(F$5&lt;=mSel,"Actual","Forecast"),tblData[Year],selFY,tblData[Month],F$5,tblData[Brand],$B429)/Unit</f>
        <v>2.06</v>
      </c>
      <c r="G429" s="79">
        <f>SUMIFS(tblData[Net Revenue],tblData[Scenario],IF(G$5&lt;=mSel,"Actual","Forecast"),tblData[Year],selFY,tblData[Month],G$5,tblData[Brand],$B429)/Unit</f>
        <v>2.121</v>
      </c>
      <c r="H429" s="79">
        <f>SUMIFS(tblData[Net Revenue],tblData[Scenario],IF(H$5&lt;=mSel,"Actual","Forecast"),tblData[Year],selFY,tblData[Month],H$5,tblData[Brand],$B429)/Unit</f>
        <v>2.2000000000000002</v>
      </c>
      <c r="I429" s="79">
        <f>SUMIFS(tblData[Net Revenue],tblData[Scenario],IF(I$5&lt;=mSel,"Actual","Forecast"),tblData[Year],selFY,tblData[Month],I$5,tblData[Brand],$B429)/Unit</f>
        <v>2.2290000000000001</v>
      </c>
      <c r="J429" s="79">
        <f>SUMIFS(tblData[Net Revenue],tblData[Scenario],IF(J$5&lt;=mSel,"Actual","Forecast"),tblData[Year],selFY,tblData[Month],J$5,tblData[Brand],$B429)/Unit</f>
        <v>2.2010000000000001</v>
      </c>
      <c r="K429" s="79">
        <f>SUMIFS(tblData[Net Revenue],tblData[Scenario],IF(K$5&lt;=mSel,"Actual","Forecast"),tblData[Year],selFY,tblData[Month],K$5,tblData[Brand],$B429)/Unit</f>
        <v>2.2570000000000001</v>
      </c>
      <c r="L429" s="79">
        <f>SUMIFS(tblData[Net Revenue],tblData[Scenario],IF(L$5&lt;=mSel,"Actual","Forecast"),tblData[Year],selFY,tblData[Month],L$5,tblData[Brand],$B429)/Unit</f>
        <v>2.4689999999999999</v>
      </c>
      <c r="M429" s="79">
        <f>SUMIFS(tblData[Net Revenue],tblData[Scenario],IF(M$5&lt;=mSel,"Actual","Forecast"),tblData[Year],selFY,tblData[Month],M$5,tblData[Brand],$B429)/Unit</f>
        <v>2.71</v>
      </c>
      <c r="N429" s="79">
        <f>SUMIFS(tblData[Net Revenue],tblData[Scenario],IF(N$5&lt;=mSel,"Actual","Forecast"),tblData[Year],selFY,tblData[Month],N$5,tblData[Brand],$B429)/Unit</f>
        <v>2.8580000000000001</v>
      </c>
      <c r="O429" s="79">
        <f>SUMIFS(tblData[Net Revenue],tblData[Scenario],IF(O$5&lt;=mSel,"Actual","Forecast"),tblData[Year],selFY,tblData[Month],O$5,tblData[Brand],$B429)/Unit</f>
        <v>2.641</v>
      </c>
    </row>
    <row r="431" spans="1:15" x14ac:dyDescent="0.25">
      <c r="A431" s="76" t="s">
        <v>237</v>
      </c>
    </row>
    <row r="432" spans="1:15" x14ac:dyDescent="0.25">
      <c r="A432" s="77" t="s">
        <v>3</v>
      </c>
      <c r="B432" s="77" t="s">
        <v>238</v>
      </c>
      <c r="D432" s="79">
        <f>SUMIFS(tblData[Net Revenue],tblData[Scenario],IF(D$5&lt;=mSel,"Actual","Forecast"),tblData[Year],selFY,tblData[Month],D$5,tblData[Channel],focusChannel)/Unit</f>
        <v>6.149</v>
      </c>
      <c r="E432" s="79">
        <f>SUMIFS(tblData[Net Revenue],tblData[Scenario],IF(E$5&lt;=mSel,"Actual","Forecast"),tblData[Year],selFY,tblData[Month],E$5,tblData[Channel],focusChannel)/Unit</f>
        <v>6.3529999999999998</v>
      </c>
      <c r="F432" s="79">
        <f>SUMIFS(tblData[Net Revenue],tblData[Scenario],IF(F$5&lt;=mSel,"Actual","Forecast"),tblData[Year],selFY,tblData[Month],F$5,tblData[Channel],focusChannel)/Unit</f>
        <v>7.085</v>
      </c>
      <c r="G432" s="79">
        <f>SUMIFS(tblData[Net Revenue],tblData[Scenario],IF(G$5&lt;=mSel,"Actual","Forecast"),tblData[Year],selFY,tblData[Month],G$5,tblData[Channel],focusChannel)/Unit</f>
        <v>7.2140000000000004</v>
      </c>
      <c r="H432" s="79">
        <f>SUMIFS(tblData[Net Revenue],tblData[Scenario],IF(H$5&lt;=mSel,"Actual","Forecast"),tblData[Year],selFY,tblData[Month],H$5,tblData[Channel],focusChannel)/Unit</f>
        <v>7.452</v>
      </c>
      <c r="I432" s="79">
        <f>SUMIFS(tblData[Net Revenue],tblData[Scenario],IF(I$5&lt;=mSel,"Actual","Forecast"),tblData[Year],selFY,tblData[Month],I$5,tblData[Channel],focusChannel)/Unit</f>
        <v>7.6369999999999996</v>
      </c>
      <c r="J432" s="79">
        <f>SUMIFS(tblData[Net Revenue],tblData[Scenario],IF(J$5&lt;=mSel,"Actual","Forecast"),tblData[Year],selFY,tblData[Month],J$5,tblData[Channel],focusChannel)/Unit</f>
        <v>7.4489999999999998</v>
      </c>
      <c r="K432" s="79">
        <f>SUMIFS(tblData[Net Revenue],tblData[Scenario],IF(K$5&lt;=mSel,"Actual","Forecast"),tblData[Year],selFY,tblData[Month],K$5,tblData[Channel],focusChannel)/Unit</f>
        <v>7.6760000000000002</v>
      </c>
      <c r="L432" s="79">
        <f>SUMIFS(tblData[Net Revenue],tblData[Scenario],IF(L$5&lt;=mSel,"Actual","Forecast"),tblData[Year],selFY,tblData[Month],L$5,tblData[Channel],focusChannel)/Unit</f>
        <v>8.3699999999999992</v>
      </c>
      <c r="M432" s="79">
        <f>SUMIFS(tblData[Net Revenue],tblData[Scenario],IF(M$5&lt;=mSel,"Actual","Forecast"),tblData[Year],selFY,tblData[Month],M$5,tblData[Channel],focusChannel)/Unit</f>
        <v>9.0860000000000003</v>
      </c>
      <c r="N432" s="79">
        <f>SUMIFS(tblData[Net Revenue],tblData[Scenario],IF(N$5&lt;=mSel,"Actual","Forecast"),tblData[Year],selFY,tblData[Month],N$5,tblData[Channel],focusChannel)/Unit</f>
        <v>9.6790000000000003</v>
      </c>
      <c r="O432" s="79">
        <f>SUMIFS(tblData[Net Revenue],tblData[Scenario],IF(O$5&lt;=mSel,"Actual","Forecast"),tblData[Year],selFY,tblData[Month],O$5,tblData[Channel],focusChannel)/Unit</f>
        <v>8.9429999999999996</v>
      </c>
    </row>
    <row r="433" spans="1:15" x14ac:dyDescent="0.25">
      <c r="A433" s="77" t="s">
        <v>3</v>
      </c>
      <c r="B433" s="77" t="s">
        <v>239</v>
      </c>
      <c r="D433" s="79">
        <f>SUMIFS(tblData[Net Revenue],tblData[Scenario],"Budget",tblData[Year],selFY,tblData[Month],D$5,tblData[Channel],focusChannel)/Unit</f>
        <v>5.6539999999999999</v>
      </c>
      <c r="E433" s="79">
        <f>SUMIFS(tblData[Net Revenue],tblData[Scenario],"Budget",tblData[Year],selFY,tblData[Month],E$5,tblData[Channel],focusChannel)/Unit</f>
        <v>5.827</v>
      </c>
      <c r="F433" s="79">
        <f>SUMIFS(tblData[Net Revenue],tblData[Scenario],"Budget",tblData[Year],selFY,tblData[Month],F$5,tblData[Channel],focusChannel)/Unit</f>
        <v>6.5119999999999996</v>
      </c>
      <c r="G433" s="79">
        <f>SUMIFS(tblData[Net Revenue],tblData[Scenario],"Budget",tblData[Year],selFY,tblData[Month],G$5,tblData[Channel],focusChannel)/Unit</f>
        <v>6.6829999999999998</v>
      </c>
      <c r="H433" s="79">
        <f>SUMIFS(tblData[Net Revenue],tblData[Scenario],"Budget",tblData[Year],selFY,tblData[Month],H$5,tblData[Channel],focusChannel)/Unit</f>
        <v>6.8559999999999999</v>
      </c>
      <c r="I433" s="79">
        <f>SUMIFS(tblData[Net Revenue],tblData[Scenario],"Budget",tblData[Year],selFY,tblData[Month],I$5,tblData[Channel],focusChannel)/Unit</f>
        <v>7.0250000000000004</v>
      </c>
      <c r="J433" s="79">
        <f>SUMIFS(tblData[Net Revenue],tblData[Scenario],"Budget",tblData[Year],selFY,tblData[Month],J$5,tblData[Channel],focusChannel)/Unit</f>
        <v>6.8559999999999999</v>
      </c>
      <c r="K433" s="79">
        <f>SUMIFS(tblData[Net Revenue],tblData[Scenario],"Budget",tblData[Year],selFY,tblData[Month],K$5,tblData[Channel],focusChannel)/Unit</f>
        <v>7.0250000000000004</v>
      </c>
      <c r="L433" s="79">
        <f>SUMIFS(tblData[Net Revenue],tblData[Scenario],"Budget",tblData[Year],selFY,tblData[Month],L$5,tblData[Channel],focusChannel)/Unit</f>
        <v>7.7089999999999996</v>
      </c>
      <c r="M433" s="79">
        <f>SUMIFS(tblData[Net Revenue],tblData[Scenario],"Budget",tblData[Year],selFY,tblData[Month],M$5,tblData[Channel],focusChannel)/Unit</f>
        <v>8.3960000000000008</v>
      </c>
      <c r="N433" s="79">
        <f>SUMIFS(tblData[Net Revenue],tblData[Scenario],"Budget",tblData[Year],selFY,tblData[Month],N$5,tblData[Channel],focusChannel)/Unit</f>
        <v>8.9109999999999996</v>
      </c>
      <c r="O433" s="79">
        <f>SUMIFS(tblData[Net Revenue],tblData[Scenario],"Budget",tblData[Year],selFY,tblData[Month],O$5,tblData[Channel],focusChannel)/Unit</f>
        <v>8.2270000000000003</v>
      </c>
    </row>
    <row r="434" spans="1:15" x14ac:dyDescent="0.25">
      <c r="A434" s="77" t="s">
        <v>3</v>
      </c>
      <c r="B434" s="77" t="s">
        <v>240</v>
      </c>
      <c r="D434" s="79">
        <f>SUMIFS(tblData[Contribution Margin],tblData[Scenario],IF(D$5&lt;=mSel,"Actual","Forecast"),tblData[Year],selFY,tblData[Month],D$5,tblData[Channel],focusChannel)/Unit</f>
        <v>2.3660000000000001</v>
      </c>
      <c r="E434" s="79">
        <f>SUMIFS(tblData[Contribution Margin],tblData[Scenario],IF(E$5&lt;=mSel,"Actual","Forecast"),tblData[Year],selFY,tblData[Month],E$5,tblData[Channel],focusChannel)/Unit</f>
        <v>2.4409999999999998</v>
      </c>
      <c r="F434" s="79">
        <f>SUMIFS(tblData[Contribution Margin],tblData[Scenario],IF(F$5&lt;=mSel,"Actual","Forecast"),tblData[Year],selFY,tblData[Month],F$5,tblData[Channel],focusChannel)/Unit</f>
        <v>2.7290000000000001</v>
      </c>
      <c r="G434" s="79">
        <f>SUMIFS(tblData[Contribution Margin],tblData[Scenario],IF(G$5&lt;=mSel,"Actual","Forecast"),tblData[Year],selFY,tblData[Month],G$5,tblData[Channel],focusChannel)/Unit</f>
        <v>2.7690000000000001</v>
      </c>
      <c r="H434" s="79">
        <f>SUMIFS(tblData[Contribution Margin],tblData[Scenario],IF(H$5&lt;=mSel,"Actual","Forecast"),tblData[Year],selFY,tblData[Month],H$5,tblData[Channel],focusChannel)/Unit</f>
        <v>2.867</v>
      </c>
      <c r="I434" s="79">
        <f>SUMIFS(tblData[Contribution Margin],tblData[Scenario],IF(I$5&lt;=mSel,"Actual","Forecast"),tblData[Year],selFY,tblData[Month],I$5,tblData[Channel],focusChannel)/Unit</f>
        <v>2.9329999999999998</v>
      </c>
      <c r="J434" s="79">
        <f>SUMIFS(tblData[Contribution Margin],tblData[Scenario],IF(J$5&lt;=mSel,"Actual","Forecast"),tblData[Year],selFY,tblData[Month],J$5,tblData[Channel],focusChannel)/Unit</f>
        <v>2.8650000000000002</v>
      </c>
      <c r="K434" s="79">
        <f>SUMIFS(tblData[Contribution Margin],tblData[Scenario],IF(K$5&lt;=mSel,"Actual","Forecast"),tblData[Year],selFY,tblData[Month],K$5,tblData[Channel],focusChannel)/Unit</f>
        <v>2.9529999999999998</v>
      </c>
      <c r="L434" s="79">
        <f>SUMIFS(tblData[Contribution Margin],tblData[Scenario],IF(L$5&lt;=mSel,"Actual","Forecast"),tblData[Year],selFY,tblData[Month],L$5,tblData[Channel],focusChannel)/Unit</f>
        <v>3.214</v>
      </c>
      <c r="M434" s="79">
        <f>SUMIFS(tblData[Contribution Margin],tblData[Scenario],IF(M$5&lt;=mSel,"Actual","Forecast"),tblData[Year],selFY,tblData[Month],M$5,tblData[Channel],focusChannel)/Unit</f>
        <v>3.4860000000000002</v>
      </c>
      <c r="N434" s="79">
        <f>SUMIFS(tblData[Contribution Margin],tblData[Scenario],IF(N$5&lt;=mSel,"Actual","Forecast"),tblData[Year],selFY,tblData[Month],N$5,tblData[Channel],focusChannel)/Unit</f>
        <v>3.7269999999999999</v>
      </c>
      <c r="O434" s="79">
        <f>SUMIFS(tblData[Contribution Margin],tblData[Scenario],IF(O$5&lt;=mSel,"Actual","Forecast"),tblData[Year],selFY,tblData[Month],O$5,tblData[Channel],focusChannel)/Unit</f>
        <v>3.44</v>
      </c>
    </row>
    <row r="435" spans="1:15" x14ac:dyDescent="0.25">
      <c r="A435" s="77" t="s">
        <v>3</v>
      </c>
      <c r="B435" s="77" t="s">
        <v>241</v>
      </c>
      <c r="D435" s="79">
        <f>SUMIFS(tblData[Contribution Margin],tblData[Scenario],"Budget",tblData[Year],selFY,tblData[Month],D$5,tblData[Channel],focusChannel)/Unit</f>
        <v>2.1669999999999998</v>
      </c>
      <c r="E435" s="79">
        <f>SUMIFS(tblData[Contribution Margin],tblData[Scenario],"Budget",tblData[Year],selFY,tblData[Month],E$5,tblData[Channel],focusChannel)/Unit</f>
        <v>2.2360000000000002</v>
      </c>
      <c r="F435" s="79">
        <f>SUMIFS(tblData[Contribution Margin],tblData[Scenario],"Budget",tblData[Year],selFY,tblData[Month],F$5,tblData[Channel],focusChannel)/Unit</f>
        <v>2.4990000000000001</v>
      </c>
      <c r="G435" s="79">
        <f>SUMIFS(tblData[Contribution Margin],tblData[Scenario],"Budget",tblData[Year],selFY,tblData[Month],G$5,tblData[Channel],focusChannel)/Unit</f>
        <v>2.5619999999999998</v>
      </c>
      <c r="H435" s="79">
        <f>SUMIFS(tblData[Contribution Margin],tblData[Scenario],"Budget",tblData[Year],selFY,tblData[Month],H$5,tblData[Channel],focusChannel)/Unit</f>
        <v>2.6320000000000001</v>
      </c>
      <c r="I435" s="79">
        <f>SUMIFS(tblData[Contribution Margin],tblData[Scenario],"Budget",tblData[Year],selFY,tblData[Month],I$5,tblData[Channel],focusChannel)/Unit</f>
        <v>2.6920000000000002</v>
      </c>
      <c r="J435" s="79">
        <f>SUMIFS(tblData[Contribution Margin],tblData[Scenario],"Budget",tblData[Year],selFY,tblData[Month],J$5,tblData[Channel],focusChannel)/Unit</f>
        <v>2.6320000000000001</v>
      </c>
      <c r="K435" s="79">
        <f>SUMIFS(tblData[Contribution Margin],tblData[Scenario],"Budget",tblData[Year],selFY,tblData[Month],K$5,tblData[Channel],focusChannel)/Unit</f>
        <v>2.6920000000000002</v>
      </c>
      <c r="L435" s="79">
        <f>SUMIFS(tblData[Contribution Margin],tblData[Scenario],"Budget",tblData[Year],selFY,tblData[Month],L$5,tblData[Channel],focusChannel)/Unit</f>
        <v>2.9540000000000002</v>
      </c>
      <c r="M435" s="79">
        <f>SUMIFS(tblData[Contribution Margin],tblData[Scenario],"Budget",tblData[Year],selFY,tblData[Month],M$5,tblData[Channel],focusChannel)/Unit</f>
        <v>3.2210000000000001</v>
      </c>
      <c r="N435" s="79">
        <f>SUMIFS(tblData[Contribution Margin],tblData[Scenario],"Budget",tblData[Year],selFY,tblData[Month],N$5,tblData[Channel],focusChannel)/Unit</f>
        <v>3.4180000000000001</v>
      </c>
      <c r="O435" s="79">
        <f>SUMIFS(tblData[Contribution Margin],tblData[Scenario],"Budget",tblData[Year],selFY,tblData[Month],O$5,tblData[Channel],focusChannel)/Unit</f>
        <v>3.1549999999999998</v>
      </c>
    </row>
    <row r="436" spans="1:15" x14ac:dyDescent="0.25">
      <c r="A436" s="77" t="s">
        <v>3</v>
      </c>
      <c r="B436" s="77" t="s">
        <v>242</v>
      </c>
      <c r="D436" s="80">
        <f t="shared" ref="D436:O436" si="171">IFERROR(D434/D432,0)</f>
        <v>0.38477801268498946</v>
      </c>
      <c r="E436" s="80">
        <f t="shared" si="171"/>
        <v>0.38422792381552023</v>
      </c>
      <c r="F436" s="80">
        <f t="shared" si="171"/>
        <v>0.3851799576570219</v>
      </c>
      <c r="G436" s="80">
        <f t="shared" si="171"/>
        <v>0.38383698364291657</v>
      </c>
      <c r="H436" s="80">
        <f t="shared" si="171"/>
        <v>0.38472893183038109</v>
      </c>
      <c r="I436" s="80">
        <f t="shared" si="171"/>
        <v>0.38405132905591199</v>
      </c>
      <c r="J436" s="80">
        <f t="shared" si="171"/>
        <v>0.38461538461538464</v>
      </c>
      <c r="K436" s="80">
        <f t="shared" si="171"/>
        <v>0.38470557582073994</v>
      </c>
      <c r="L436" s="80">
        <f t="shared" si="171"/>
        <v>0.38399044205495819</v>
      </c>
      <c r="M436" s="80">
        <f t="shared" si="171"/>
        <v>0.38366718027734981</v>
      </c>
      <c r="N436" s="80">
        <f t="shared" si="171"/>
        <v>0.38506044012811236</v>
      </c>
      <c r="O436" s="80">
        <f t="shared" si="171"/>
        <v>0.38465839203846586</v>
      </c>
    </row>
    <row r="437" spans="1:15" x14ac:dyDescent="0.25">
      <c r="A437" s="77" t="s">
        <v>3</v>
      </c>
      <c r="B437" s="77" t="s">
        <v>243</v>
      </c>
      <c r="D437" s="80">
        <f t="shared" ref="D437:O437" si="172">IFERROR(D435/D433,0)</f>
        <v>0.38326848249027234</v>
      </c>
      <c r="E437" s="80">
        <f t="shared" si="172"/>
        <v>0.38373090784280078</v>
      </c>
      <c r="F437" s="80">
        <f t="shared" si="172"/>
        <v>0.38375307125307129</v>
      </c>
      <c r="G437" s="80">
        <f t="shared" si="172"/>
        <v>0.38336076612299863</v>
      </c>
      <c r="H437" s="80">
        <f t="shared" si="172"/>
        <v>0.3838973162193699</v>
      </c>
      <c r="I437" s="80">
        <f t="shared" si="172"/>
        <v>0.383202846975089</v>
      </c>
      <c r="J437" s="80">
        <f t="shared" si="172"/>
        <v>0.3838973162193699</v>
      </c>
      <c r="K437" s="80">
        <f t="shared" si="172"/>
        <v>0.383202846975089</v>
      </c>
      <c r="L437" s="80">
        <f t="shared" si="172"/>
        <v>0.3831884809962382</v>
      </c>
      <c r="M437" s="80">
        <f t="shared" si="172"/>
        <v>0.38363506431634109</v>
      </c>
      <c r="N437" s="80">
        <f t="shared" si="172"/>
        <v>0.38357086746717545</v>
      </c>
      <c r="O437" s="80">
        <f t="shared" si="172"/>
        <v>0.38349337547101003</v>
      </c>
    </row>
    <row r="438" spans="1:15" x14ac:dyDescent="0.25">
      <c r="A438" s="77" t="s">
        <v>4</v>
      </c>
      <c r="B438" s="77" t="s">
        <v>238</v>
      </c>
      <c r="D438" s="79">
        <f>SUMIFS(tblData[Net Revenue],tblData[Scenario],IF(D$5&lt;=mSel,"Actual","Forecast"),tblData[Year],selFY,tblData[Month],D$5,tblData[Brand],focusBrand)/Unit</f>
        <v>10.002000000000001</v>
      </c>
      <c r="E438" s="79">
        <f>SUMIFS(tblData[Net Revenue],tblData[Scenario],IF(E$5&lt;=mSel,"Actual","Forecast"),tblData[Year],selFY,tblData[Month],E$5,tblData[Brand],focusBrand)/Unit</f>
        <v>10.311999999999999</v>
      </c>
      <c r="F438" s="79">
        <f>SUMIFS(tblData[Net Revenue],tblData[Scenario],IF(F$5&lt;=mSel,"Actual","Forecast"),tblData[Year],selFY,tblData[Month],F$5,tblData[Brand],focusBrand)/Unit</f>
        <v>11.679</v>
      </c>
      <c r="G438" s="79">
        <f>SUMIFS(tblData[Net Revenue],tblData[Scenario],IF(G$5&lt;=mSel,"Actual","Forecast"),tblData[Year],selFY,tblData[Month],G$5,tblData[Brand],focusBrand)/Unit</f>
        <v>11.743</v>
      </c>
      <c r="H438" s="79">
        <f>SUMIFS(tblData[Net Revenue],tblData[Scenario],IF(H$5&lt;=mSel,"Actual","Forecast"),tblData[Year],selFY,tblData[Month],H$5,tblData[Brand],focusBrand)/Unit</f>
        <v>12.156000000000001</v>
      </c>
      <c r="I438" s="79">
        <f>SUMIFS(tblData[Net Revenue],tblData[Scenario],IF(I$5&lt;=mSel,"Actual","Forecast"),tblData[Year],selFY,tblData[Month],I$5,tblData[Brand],focusBrand)/Unit</f>
        <v>12.393000000000001</v>
      </c>
      <c r="J438" s="79">
        <f>SUMIFS(tblData[Net Revenue],tblData[Scenario],IF(J$5&lt;=mSel,"Actual","Forecast"),tblData[Year],selFY,tblData[Month],J$5,tblData[Brand],focusBrand)/Unit</f>
        <v>12.115</v>
      </c>
      <c r="K438" s="79">
        <f>SUMIFS(tblData[Net Revenue],tblData[Scenario],IF(K$5&lt;=mSel,"Actual","Forecast"),tblData[Year],selFY,tblData[Month],K$5,tblData[Brand],focusBrand)/Unit</f>
        <v>12.33</v>
      </c>
      <c r="L438" s="79">
        <f>SUMIFS(tblData[Net Revenue],tblData[Scenario],IF(L$5&lt;=mSel,"Actual","Forecast"),tblData[Year],selFY,tblData[Month],L$5,tblData[Brand],focusBrand)/Unit</f>
        <v>13.496</v>
      </c>
      <c r="M438" s="79">
        <f>SUMIFS(tblData[Net Revenue],tblData[Scenario],IF(M$5&lt;=mSel,"Actual","Forecast"),tblData[Year],selFY,tblData[Month],M$5,tblData[Brand],focusBrand)/Unit</f>
        <v>14.88</v>
      </c>
      <c r="N438" s="79">
        <f>SUMIFS(tblData[Net Revenue],tblData[Scenario],IF(N$5&lt;=mSel,"Actual","Forecast"),tblData[Year],selFY,tblData[Month],N$5,tblData[Brand],focusBrand)/Unit</f>
        <v>15.744</v>
      </c>
      <c r="O438" s="79">
        <f>SUMIFS(tblData[Net Revenue],tblData[Scenario],IF(O$5&lt;=mSel,"Actual","Forecast"),tblData[Year],selFY,tblData[Month],O$5,tblData[Brand],focusBrand)/Unit</f>
        <v>14.512</v>
      </c>
    </row>
    <row r="439" spans="1:15" x14ac:dyDescent="0.25">
      <c r="A439" s="77" t="s">
        <v>4</v>
      </c>
      <c r="B439" s="77" t="s">
        <v>239</v>
      </c>
      <c r="D439" s="79">
        <f>SUMIFS(tblData[Net Revenue],tblData[Scenario],"Budget",tblData[Year],selFY,tblData[Month],D$5,tblData[Brand],focusBrand)/Unit</f>
        <v>9.6180000000000003</v>
      </c>
      <c r="E439" s="79">
        <f>SUMIFS(tblData[Net Revenue],tblData[Scenario],"Budget",tblData[Year],selFY,tblData[Month],E$5,tblData[Brand],focusBrand)/Unit</f>
        <v>9.91</v>
      </c>
      <c r="F439" s="79">
        <f>SUMIFS(tblData[Net Revenue],tblData[Scenario],"Budget",tblData[Year],selFY,tblData[Month],F$5,tblData[Brand],focusBrand)/Unit</f>
        <v>11.077</v>
      </c>
      <c r="G439" s="79">
        <f>SUMIFS(tblData[Net Revenue],tblData[Scenario],"Budget",tblData[Year],selFY,tblData[Month],G$5,tblData[Brand],focusBrand)/Unit</f>
        <v>11.368</v>
      </c>
      <c r="H439" s="79">
        <f>SUMIFS(tblData[Net Revenue],tblData[Scenario],"Budget",tblData[Year],selFY,tblData[Month],H$5,tblData[Brand],focusBrand)/Unit</f>
        <v>11.661</v>
      </c>
      <c r="I439" s="79">
        <f>SUMIFS(tblData[Net Revenue],tblData[Scenario],"Budget",tblData[Year],selFY,tblData[Month],I$5,tblData[Brand],focusBrand)/Unit</f>
        <v>11.951000000000001</v>
      </c>
      <c r="J439" s="79">
        <f>SUMIFS(tblData[Net Revenue],tblData[Scenario],"Budget",tblData[Year],selFY,tblData[Month],J$5,tblData[Brand],focusBrand)/Unit</f>
        <v>11.661</v>
      </c>
      <c r="K439" s="79">
        <f>SUMIFS(tblData[Net Revenue],tblData[Scenario],"Budget",tblData[Year],selFY,tblData[Month],K$5,tblData[Brand],focusBrand)/Unit</f>
        <v>11.951000000000001</v>
      </c>
      <c r="L439" s="79">
        <f>SUMIFS(tblData[Net Revenue],tblData[Scenario],"Budget",tblData[Year],selFY,tblData[Month],L$5,tblData[Brand],focusBrand)/Unit</f>
        <v>13.117000000000001</v>
      </c>
      <c r="M439" s="79">
        <f>SUMIFS(tblData[Net Revenue],tblData[Scenario],"Budget",tblData[Year],selFY,tblData[Month],M$5,tblData[Brand],focusBrand)/Unit</f>
        <v>14.282999999999999</v>
      </c>
      <c r="N439" s="79">
        <f>SUMIFS(tblData[Net Revenue],tblData[Scenario],"Budget",tblData[Year],selFY,tblData[Month],N$5,tblData[Brand],focusBrand)/Unit</f>
        <v>15.157999999999999</v>
      </c>
      <c r="O439" s="79">
        <f>SUMIFS(tblData[Net Revenue],tblData[Scenario],"Budget",tblData[Year],selFY,tblData[Month],O$5,tblData[Brand],focusBrand)/Unit</f>
        <v>13.992000000000001</v>
      </c>
    </row>
    <row r="440" spans="1:15" x14ac:dyDescent="0.25">
      <c r="A440" s="77" t="s">
        <v>4</v>
      </c>
      <c r="B440" s="77" t="s">
        <v>240</v>
      </c>
      <c r="D440" s="79">
        <f>SUMIFS(tblData[Contribution Margin],tblData[Scenario],IF(D$5&lt;=mSel,"Actual","Forecast"),tblData[Year],selFY,tblData[Month],D$5,tblData[Brand],focusBrand)/Unit</f>
        <v>4.3360000000000003</v>
      </c>
      <c r="E440" s="79">
        <f>SUMIFS(tblData[Contribution Margin],tblData[Scenario],IF(E$5&lt;=mSel,"Actual","Forecast"),tblData[Year],selFY,tblData[Month],E$5,tblData[Brand],focusBrand)/Unit</f>
        <v>4.4669999999999996</v>
      </c>
      <c r="F440" s="79">
        <f>SUMIFS(tblData[Contribution Margin],tblData[Scenario],IF(F$5&lt;=mSel,"Actual","Forecast"),tblData[Year],selFY,tblData[Month],F$5,tblData[Brand],focusBrand)/Unit</f>
        <v>5.0789999999999997</v>
      </c>
      <c r="G440" s="79">
        <f>SUMIFS(tblData[Contribution Margin],tblData[Scenario],IF(G$5&lt;=mSel,"Actual","Forecast"),tblData[Year],selFY,tblData[Month],G$5,tblData[Brand],focusBrand)/Unit</f>
        <v>5.0789999999999997</v>
      </c>
      <c r="H440" s="79">
        <f>SUMIFS(tblData[Contribution Margin],tblData[Scenario],IF(H$5&lt;=mSel,"Actual","Forecast"),tblData[Year],selFY,tblData[Month],H$5,tblData[Brand],focusBrand)/Unit</f>
        <v>5.274</v>
      </c>
      <c r="I440" s="79">
        <f>SUMIFS(tblData[Contribution Margin],tblData[Scenario],IF(I$5&lt;=mSel,"Actual","Forecast"),tblData[Year],selFY,tblData[Month],I$5,tblData[Brand],focusBrand)/Unit</f>
        <v>5.3730000000000002</v>
      </c>
      <c r="J440" s="79">
        <f>SUMIFS(tblData[Contribution Margin],tblData[Scenario],IF(J$5&lt;=mSel,"Actual","Forecast"),tblData[Year],selFY,tblData[Month],J$5,tblData[Brand],focusBrand)/Unit</f>
        <v>5.25</v>
      </c>
      <c r="K440" s="79">
        <f>SUMIFS(tblData[Contribution Margin],tblData[Scenario],IF(K$5&lt;=mSel,"Actual","Forecast"),tblData[Year],selFY,tblData[Month],K$5,tblData[Brand],focusBrand)/Unit</f>
        <v>5.3330000000000002</v>
      </c>
      <c r="L440" s="79">
        <f>SUMIFS(tblData[Contribution Margin],tblData[Scenario],IF(L$5&lt;=mSel,"Actual","Forecast"),tblData[Year],selFY,tblData[Month],L$5,tblData[Brand],focusBrand)/Unit</f>
        <v>5.8410000000000002</v>
      </c>
      <c r="M440" s="79">
        <f>SUMIFS(tblData[Contribution Margin],tblData[Scenario],IF(M$5&lt;=mSel,"Actual","Forecast"),tblData[Year],selFY,tblData[Month],M$5,tblData[Brand],focusBrand)/Unit</f>
        <v>6.4550000000000001</v>
      </c>
      <c r="N440" s="79">
        <f>SUMIFS(tblData[Contribution Margin],tblData[Scenario],IF(N$5&lt;=mSel,"Actual","Forecast"),tblData[Year],selFY,tblData[Month],N$5,tblData[Brand],focusBrand)/Unit</f>
        <v>6.8310000000000004</v>
      </c>
      <c r="O440" s="79">
        <f>SUMIFS(tblData[Contribution Margin],tblData[Scenario],IF(O$5&lt;=mSel,"Actual","Forecast"),tblData[Year],selFY,tblData[Month],O$5,tblData[Brand],focusBrand)/Unit</f>
        <v>6.2880000000000003</v>
      </c>
    </row>
    <row r="441" spans="1:15" x14ac:dyDescent="0.25">
      <c r="A441" s="77" t="s">
        <v>4</v>
      </c>
      <c r="B441" s="77" t="s">
        <v>241</v>
      </c>
      <c r="D441" s="79">
        <f>SUMIFS(tblData[Contribution Margin],tblData[Scenario],"Budget",tblData[Year],selFY,tblData[Month],D$5,tblData[Brand],focusBrand)/Unit</f>
        <v>4.2050000000000001</v>
      </c>
      <c r="E441" s="79">
        <f>SUMIFS(tblData[Contribution Margin],tblData[Scenario],"Budget",tblData[Year],selFY,tblData[Month],E$5,tblData[Brand],focusBrand)/Unit</f>
        <v>4.335</v>
      </c>
      <c r="F441" s="79">
        <f>SUMIFS(tblData[Contribution Margin],tblData[Scenario],"Budget",tblData[Year],selFY,tblData[Month],F$5,tblData[Brand],focusBrand)/Unit</f>
        <v>4.8460000000000001</v>
      </c>
      <c r="G441" s="79">
        <f>SUMIFS(tblData[Contribution Margin],tblData[Scenario],"Budget",tblData[Year],selFY,tblData[Month],G$5,tblData[Brand],focusBrand)/Unit</f>
        <v>4.9740000000000002</v>
      </c>
      <c r="H441" s="79">
        <f>SUMIFS(tblData[Contribution Margin],tblData[Scenario],"Budget",tblData[Year],selFY,tblData[Month],H$5,tblData[Brand],focusBrand)/Unit</f>
        <v>5.0999999999999996</v>
      </c>
      <c r="I441" s="79">
        <f>SUMIFS(tblData[Contribution Margin],tblData[Scenario],"Budget",tblData[Year],selFY,tblData[Month],I$5,tblData[Brand],focusBrand)/Unit</f>
        <v>5.23</v>
      </c>
      <c r="J441" s="79">
        <f>SUMIFS(tblData[Contribution Margin],tblData[Scenario],"Budget",tblData[Year],selFY,tblData[Month],J$5,tblData[Brand],focusBrand)/Unit</f>
        <v>5.0999999999999996</v>
      </c>
      <c r="K441" s="79">
        <f>SUMIFS(tblData[Contribution Margin],tblData[Scenario],"Budget",tblData[Year],selFY,tblData[Month],K$5,tblData[Brand],focusBrand)/Unit</f>
        <v>5.23</v>
      </c>
      <c r="L441" s="79">
        <f>SUMIFS(tblData[Contribution Margin],tblData[Scenario],"Budget",tblData[Year],selFY,tblData[Month],L$5,tblData[Brand],focusBrand)/Unit</f>
        <v>5.7350000000000003</v>
      </c>
      <c r="M441" s="79">
        <f>SUMIFS(tblData[Contribution Margin],tblData[Scenario],"Budget",tblData[Year],selFY,tblData[Month],M$5,tblData[Brand],focusBrand)/Unit</f>
        <v>6.2510000000000003</v>
      </c>
      <c r="N441" s="79">
        <f>SUMIFS(tblData[Contribution Margin],tblData[Scenario],"Budget",tblData[Year],selFY,tblData[Month],N$5,tblData[Brand],focusBrand)/Unit</f>
        <v>6.6310000000000002</v>
      </c>
      <c r="O441" s="79">
        <f>SUMIFS(tblData[Contribution Margin],tblData[Scenario],"Budget",tblData[Year],selFY,tblData[Month],O$5,tblData[Brand],focusBrand)/Unit</f>
        <v>6.125</v>
      </c>
    </row>
    <row r="442" spans="1:15" x14ac:dyDescent="0.25">
      <c r="A442" s="77" t="s">
        <v>4</v>
      </c>
      <c r="B442" s="77" t="s">
        <v>242</v>
      </c>
      <c r="D442" s="80">
        <f t="shared" ref="D442:O442" si="173">IFERROR(D440/D438,0)</f>
        <v>0.4335132973405319</v>
      </c>
      <c r="E442" s="80">
        <f t="shared" si="173"/>
        <v>0.43318463925523659</v>
      </c>
      <c r="F442" s="80">
        <f t="shared" si="173"/>
        <v>0.43488312355509884</v>
      </c>
      <c r="G442" s="80">
        <f t="shared" si="173"/>
        <v>0.43251298646001868</v>
      </c>
      <c r="H442" s="80">
        <f t="shared" si="173"/>
        <v>0.43385982230997039</v>
      </c>
      <c r="I442" s="80">
        <f t="shared" si="173"/>
        <v>0.43355119825708061</v>
      </c>
      <c r="J442" s="80">
        <f t="shared" si="173"/>
        <v>0.43334709038382169</v>
      </c>
      <c r="K442" s="80">
        <f t="shared" si="173"/>
        <v>0.43252230332522307</v>
      </c>
      <c r="L442" s="80">
        <f t="shared" si="173"/>
        <v>0.43279490219324246</v>
      </c>
      <c r="M442" s="80">
        <f t="shared" si="173"/>
        <v>0.43380376344086019</v>
      </c>
      <c r="N442" s="80">
        <f t="shared" si="173"/>
        <v>0.43387957317073172</v>
      </c>
      <c r="O442" s="80">
        <f t="shared" si="173"/>
        <v>0.43329658213891953</v>
      </c>
    </row>
    <row r="443" spans="1:15" x14ac:dyDescent="0.25">
      <c r="A443" s="77" t="s">
        <v>4</v>
      </c>
      <c r="B443" s="77" t="s">
        <v>243</v>
      </c>
      <c r="D443" s="80">
        <f t="shared" ref="D443:O443" si="174">IFERROR(D441/D439,0)</f>
        <v>0.43720108130588481</v>
      </c>
      <c r="E443" s="80">
        <f t="shared" si="174"/>
        <v>0.4374369323915237</v>
      </c>
      <c r="F443" s="80">
        <f t="shared" si="174"/>
        <v>0.43748307303421508</v>
      </c>
      <c r="G443" s="80">
        <f t="shared" si="174"/>
        <v>0.43754398311048559</v>
      </c>
      <c r="H443" s="80">
        <f t="shared" si="174"/>
        <v>0.43735528685361458</v>
      </c>
      <c r="I443" s="80">
        <f t="shared" si="174"/>
        <v>0.43762028282152121</v>
      </c>
      <c r="J443" s="80">
        <f t="shared" si="174"/>
        <v>0.43735528685361458</v>
      </c>
      <c r="K443" s="80">
        <f t="shared" si="174"/>
        <v>0.43762028282152121</v>
      </c>
      <c r="L443" s="80">
        <f t="shared" si="174"/>
        <v>0.43721887626743922</v>
      </c>
      <c r="M443" s="80">
        <f t="shared" si="174"/>
        <v>0.43765315409927891</v>
      </c>
      <c r="N443" s="80">
        <f t="shared" si="174"/>
        <v>0.4374587676474469</v>
      </c>
      <c r="O443" s="80">
        <f t="shared" si="174"/>
        <v>0.43775014293882214</v>
      </c>
    </row>
    <row r="445" spans="1:15" x14ac:dyDescent="0.25">
      <c r="A445" s="76" t="s">
        <v>244</v>
      </c>
    </row>
    <row r="446" spans="1:15" x14ac:dyDescent="0.25">
      <c r="A446" s="78" t="s">
        <v>3</v>
      </c>
      <c r="B446" s="78" t="s">
        <v>4</v>
      </c>
      <c r="C446" s="78" t="s">
        <v>245</v>
      </c>
      <c r="D446" s="78" t="s">
        <v>246</v>
      </c>
      <c r="E446" s="78" t="s">
        <v>238</v>
      </c>
      <c r="F446" s="78" t="s">
        <v>240</v>
      </c>
      <c r="G446" s="78" t="s">
        <v>247</v>
      </c>
      <c r="H446" s="78" t="s">
        <v>248</v>
      </c>
      <c r="I446" s="78" t="s">
        <v>239</v>
      </c>
      <c r="J446" s="78" t="s">
        <v>241</v>
      </c>
      <c r="K446" s="78" t="s">
        <v>249</v>
      </c>
      <c r="L446" s="78" t="s">
        <v>250</v>
      </c>
      <c r="M446" s="78" t="s">
        <v>251</v>
      </c>
      <c r="N446" s="78" t="s">
        <v>252</v>
      </c>
    </row>
    <row r="447" spans="1:15" x14ac:dyDescent="0.25">
      <c r="A447" s="77" t="str">
        <f t="shared" ref="A447:A452" si="175">INDEX(lstChannel,1)</f>
        <v>Hypermarkets</v>
      </c>
      <c r="B447" s="77" t="str">
        <f>INDEX(lstBrand,1)</f>
        <v>Aurelia</v>
      </c>
      <c r="C447" s="79">
        <f>(SUMIFS(tblData[Units],tblData[Scenario],"Actual",tblData[Year],selFY,tblData[Month],"&gt;="&amp;mFrom,tblData[Month],"&lt;="&amp;MIN(mTo,mSel),tblData[Channel],$A447,tblData[Brand],$B447)+SUMIFS(tblData[Units],tblData[Scenario],"Forecast",tblData[Year],selFY,tblData[Month],"&gt;="&amp;MAX(mFrom,mSel+1),tblData[Month],"&lt;="&amp;mTo,tblData[Channel],$A447,tblData[Brand],$B447))</f>
        <v>3017</v>
      </c>
      <c r="D447" s="79">
        <f>(SUMIFS(tblData[Gross Sales],tblData[Scenario],"Actual",tblData[Year],selFY,tblData[Month],"&gt;="&amp;mFrom,tblData[Month],"&lt;="&amp;MIN(mTo,mSel),tblData[Channel],$A447,tblData[Brand],$B447)+SUMIFS(tblData[Gross Sales],tblData[Scenario],"Forecast",tblData[Year],selFY,tblData[Month],"&gt;="&amp;MAX(mFrom,mSel+1),tblData[Month],"&lt;="&amp;mTo,tblData[Channel],$A447,tblData[Brand],$B447))/Unit</f>
        <v>42.494</v>
      </c>
      <c r="E447" s="79">
        <f>(SUMIFS(tblData[Net Revenue],tblData[Scenario],"Actual",tblData[Year],selFY,tblData[Month],"&gt;="&amp;mFrom,tblData[Month],"&lt;="&amp;MIN(mTo,mSel),tblData[Channel],$A447,tblData[Brand],$B447)+SUMIFS(tblData[Net Revenue],tblData[Scenario],"Forecast",tblData[Year],selFY,tblData[Month],"&gt;="&amp;MAX(mFrom,mSel+1),tblData[Month],"&lt;="&amp;mTo,tblData[Channel],$A447,tblData[Brand],$B447))/Unit</f>
        <v>33.527999999999999</v>
      </c>
      <c r="F447" s="79">
        <f>(SUMIFS(tblData[Contribution Margin],tblData[Scenario],"Actual",tblData[Year],selFY,tblData[Month],"&gt;="&amp;mFrom,tblData[Month],"&lt;="&amp;MIN(mTo,mSel),tblData[Channel],$A447,tblData[Brand],$B447)+SUMIFS(tblData[Contribution Margin],tblData[Scenario],"Forecast",tblData[Year],selFY,tblData[Month],"&gt;="&amp;MAX(mFrom,mSel+1),tblData[Month],"&lt;="&amp;mTo,tblData[Channel],$A447,tblData[Brand],$B447))/Unit</f>
        <v>13.798999999999999</v>
      </c>
      <c r="G447" s="79">
        <f>SUMIFS(tblData[Units],tblData[Scenario],"Budget",tblData[Year],selFY,tblData[Month],"&gt;="&amp;mFrom,tblData[Month],"&lt;="&amp;mTo,tblData[Channel],$A447,tblData[Brand],$B447)</f>
        <v>3024</v>
      </c>
      <c r="H447" s="79">
        <f>SUMIFS(tblData[Gross Sales],tblData[Scenario],"Budget",tblData[Year],selFY,tblData[Month],"&gt;="&amp;mFrom,tblData[Month],"&lt;="&amp;mTo,tblData[Channel],$A447,tblData[Brand],$B447)/Unit</f>
        <v>42.337000000000003</v>
      </c>
      <c r="I447" s="79">
        <f>SUMIFS(tblData[Net Revenue],tblData[Scenario],"Budget",tblData[Year],selFY,tblData[Month],"&gt;="&amp;mFrom,tblData[Month],"&lt;="&amp;mTo,tblData[Channel],$A447,tblData[Brand],$B447)/Unit</f>
        <v>33.659999999999997</v>
      </c>
      <c r="J447" s="79">
        <f>SUMIFS(tblData[Contribution Margin],tblData[Scenario],"Budget",tblData[Year],selFY,tblData[Month],"&gt;="&amp;mFrom,tblData[Month],"&lt;="&amp;mTo,tblData[Channel],$A447,tblData[Brand],$B447)/Unit</f>
        <v>14.185</v>
      </c>
      <c r="K447" s="79">
        <f t="shared" ref="K447:K482" si="176">IFERROR(G447*(SUM($C$447:$C$482)/SUM($G$447:$G$482)-1)*I447/G447,0)</f>
        <v>-0.23490828571590675</v>
      </c>
      <c r="L447" s="79">
        <f t="shared" ref="L447:L482" si="177">IFERROR((C447-G447*SUM($C$447:$C$482)/SUM($G$447:$G$482))*I447/G447,0)</f>
        <v>0.15699161904924341</v>
      </c>
      <c r="M447" s="79">
        <f t="shared" ref="M447:M482" si="178">IF(G447=0,D447,IFERROR(C447*(D447/C447-H447/G447),0))</f>
        <v>0.25500231481481106</v>
      </c>
      <c r="N447" s="79">
        <f t="shared" ref="N447:N482" si="179">IF(G447=0,E447-D447,IFERROR(C447*((E447-D447)/C447-(I447-H447)/G447),0))</f>
        <v>-0.30908564814814371</v>
      </c>
    </row>
    <row r="448" spans="1:15" x14ac:dyDescent="0.25">
      <c r="A448" s="77" t="str">
        <f t="shared" si="175"/>
        <v>Hypermarkets</v>
      </c>
      <c r="B448" s="77" t="str">
        <f>INDEX(lstBrand,2)</f>
        <v>Novara</v>
      </c>
      <c r="C448" s="79">
        <f>(SUMIFS(tblData[Units],tblData[Scenario],"Actual",tblData[Year],selFY,tblData[Month],"&gt;="&amp;mFrom,tblData[Month],"&lt;="&amp;MIN(mTo,mSel),tblData[Channel],$A448,tblData[Brand],$B448)+SUMIFS(tblData[Units],tblData[Scenario],"Forecast",tblData[Year],selFY,tblData[Month],"&gt;="&amp;MAX(mFrom,mSel+1),tblData[Month],"&lt;="&amp;mTo,tblData[Channel],$A448,tblData[Brand],$B448))</f>
        <v>3854.4999999999995</v>
      </c>
      <c r="D448" s="79">
        <f>(SUMIFS(tblData[Gross Sales],tblData[Scenario],"Actual",tblData[Year],selFY,tblData[Month],"&gt;="&amp;mFrom,tblData[Month],"&lt;="&amp;MIN(mTo,mSel),tblData[Channel],$A448,tblData[Brand],$B448)+SUMIFS(tblData[Gross Sales],tblData[Scenario],"Forecast",tblData[Year],selFY,tblData[Month],"&gt;="&amp;MAX(mFrom,mSel+1),tblData[Month],"&lt;="&amp;mTo,tblData[Channel],$A448,tblData[Brand],$B448))/Unit</f>
        <v>34.76</v>
      </c>
      <c r="E448" s="79">
        <f>(SUMIFS(tblData[Net Revenue],tblData[Scenario],"Actual",tblData[Year],selFY,tblData[Month],"&gt;="&amp;mFrom,tblData[Month],"&lt;="&amp;MIN(mTo,mSel),tblData[Channel],$A448,tblData[Brand],$B448)+SUMIFS(tblData[Net Revenue],tblData[Scenario],"Forecast",tblData[Year],selFY,tblData[Month],"&gt;="&amp;MAX(mFrom,mSel+1),tblData[Month],"&lt;="&amp;mTo,tblData[Channel],$A448,tblData[Brand],$B448))/Unit</f>
        <v>27.422999999999998</v>
      </c>
      <c r="F448" s="79">
        <f>(SUMIFS(tblData[Contribution Margin],tblData[Scenario],"Actual",tblData[Year],selFY,tblData[Month],"&gt;="&amp;mFrom,tblData[Month],"&lt;="&amp;MIN(mTo,mSel),tblData[Channel],$A448,tblData[Brand],$B448)+SUMIFS(tblData[Contribution Margin],tblData[Scenario],"Forecast",tblData[Year],selFY,tblData[Month],"&gt;="&amp;MAX(mFrom,mSel+1),tblData[Month],"&lt;="&amp;mTo,tblData[Channel],$A448,tblData[Brand],$B448))/Unit</f>
        <v>10.055</v>
      </c>
      <c r="G448" s="79">
        <f>SUMIFS(tblData[Units],tblData[Scenario],"Budget",tblData[Year],selFY,tblData[Month],"&gt;="&amp;mFrom,tblData[Month],"&lt;="&amp;mTo,tblData[Channel],$A448,tblData[Brand],$B448)</f>
        <v>4031.9</v>
      </c>
      <c r="H448" s="79">
        <f>SUMIFS(tblData[Gross Sales],tblData[Scenario],"Budget",tblData[Year],selFY,tblData[Month],"&gt;="&amp;mFrom,tblData[Month],"&lt;="&amp;mTo,tblData[Channel],$A448,tblData[Brand],$B448)/Unit</f>
        <v>36.287999999999997</v>
      </c>
      <c r="I448" s="79">
        <f>SUMIFS(tblData[Net Revenue],tblData[Scenario],"Budget",tblData[Year],selFY,tblData[Month],"&gt;="&amp;mFrom,tblData[Month],"&lt;="&amp;mTo,tblData[Channel],$A448,tblData[Brand],$B448)/Unit</f>
        <v>28.849</v>
      </c>
      <c r="J448" s="79">
        <f>SUMIFS(tblData[Contribution Margin],tblData[Scenario],"Budget",tblData[Year],selFY,tblData[Month],"&gt;="&amp;mFrom,tblData[Month],"&lt;="&amp;mTo,tblData[Channel],$A448,tblData[Brand],$B448)/Unit</f>
        <v>11.068</v>
      </c>
      <c r="K448" s="79">
        <f t="shared" si="176"/>
        <v>-0.20133301053529989</v>
      </c>
      <c r="L448" s="79">
        <f t="shared" si="177"/>
        <v>-1.0679972307901349</v>
      </c>
      <c r="M448" s="79">
        <f t="shared" si="178"/>
        <v>6.8639599196416809E-2</v>
      </c>
      <c r="N448" s="79">
        <f t="shared" si="179"/>
        <v>-0.22530935787098322</v>
      </c>
    </row>
    <row r="449" spans="1:14" x14ac:dyDescent="0.25">
      <c r="A449" s="77" t="str">
        <f t="shared" si="175"/>
        <v>Hypermarkets</v>
      </c>
      <c r="B449" s="77" t="str">
        <f>INDEX(lstBrand,3)</f>
        <v>Kestrel</v>
      </c>
      <c r="C449" s="79">
        <f>(SUMIFS(tblData[Units],tblData[Scenario],"Actual",tblData[Year],selFY,tblData[Month],"&gt;="&amp;mFrom,tblData[Month],"&lt;="&amp;MIN(mTo,mSel),tblData[Channel],$A449,tblData[Brand],$B449)+SUMIFS(tblData[Units],tblData[Scenario],"Forecast",tblData[Year],selFY,tblData[Month],"&gt;="&amp;MAX(mFrom,mSel+1),tblData[Month],"&lt;="&amp;mTo,tblData[Channel],$A449,tblData[Brand],$B449))</f>
        <v>3711.6000000000008</v>
      </c>
      <c r="D449" s="79">
        <f>(SUMIFS(tblData[Gross Sales],tblData[Scenario],"Actual",tblData[Year],selFY,tblData[Month],"&gt;="&amp;mFrom,tblData[Month],"&lt;="&amp;MIN(mTo,mSel),tblData[Channel],$A449,tblData[Brand],$B449)+SUMIFS(tblData[Gross Sales],tblData[Scenario],"Forecast",tblData[Year],selFY,tblData[Month],"&gt;="&amp;MAX(mFrom,mSel+1),tblData[Month],"&lt;="&amp;mTo,tblData[Channel],$A449,tblData[Brand],$B449))/Unit</f>
        <v>25.98</v>
      </c>
      <c r="E449" s="79">
        <f>(SUMIFS(tblData[Net Revenue],tblData[Scenario],"Actual",tblData[Year],selFY,tblData[Month],"&gt;="&amp;mFrom,tblData[Month],"&lt;="&amp;MIN(mTo,mSel),tblData[Channel],$A449,tblData[Brand],$B449)+SUMIFS(tblData[Net Revenue],tblData[Scenario],"Forecast",tblData[Year],selFY,tblData[Month],"&gt;="&amp;MAX(mFrom,mSel+1),tblData[Month],"&lt;="&amp;mTo,tblData[Channel],$A449,tblData[Brand],$B449))/Unit</f>
        <v>20.498999999999999</v>
      </c>
      <c r="F449" s="79">
        <f>(SUMIFS(tblData[Contribution Margin],tblData[Scenario],"Actual",tblData[Year],selFY,tblData[Month],"&gt;="&amp;mFrom,tblData[Month],"&lt;="&amp;MIN(mTo,mSel),tblData[Channel],$A449,tblData[Brand],$B449)+SUMIFS(tblData[Contribution Margin],tblData[Scenario],"Forecast",tblData[Year],selFY,tblData[Month],"&gt;="&amp;MAX(mFrom,mSel+1),tblData[Month],"&lt;="&amp;mTo,tblData[Channel],$A449,tblData[Brand],$B449))/Unit</f>
        <v>6.9690000000000003</v>
      </c>
      <c r="G449" s="79">
        <f>SUMIFS(tblData[Units],tblData[Scenario],"Budget",tblData[Year],selFY,tblData[Month],"&gt;="&amp;mFrom,tblData[Month],"&lt;="&amp;mTo,tblData[Channel],$A449,tblData[Brand],$B449)</f>
        <v>3888.1000000000004</v>
      </c>
      <c r="H449" s="79">
        <f>SUMIFS(tblData[Gross Sales],tblData[Scenario],"Budget",tblData[Year],selFY,tblData[Month],"&gt;="&amp;mFrom,tblData[Month],"&lt;="&amp;mTo,tblData[Channel],$A449,tblData[Brand],$B449)/Unit</f>
        <v>27.218</v>
      </c>
      <c r="I449" s="79">
        <f>SUMIFS(tblData[Net Revenue],tblData[Scenario],"Budget",tblData[Year],selFY,tblData[Month],"&gt;="&amp;mFrom,tblData[Month],"&lt;="&amp;mTo,tblData[Channel],$A449,tblData[Brand],$B449)/Unit</f>
        <v>21.637</v>
      </c>
      <c r="J449" s="79">
        <f>SUMIFS(tblData[Contribution Margin],tblData[Scenario],"Budget",tblData[Year],selFY,tblData[Month],"&gt;="&amp;mFrom,tblData[Month],"&lt;="&amp;mTo,tblData[Channel],$A449,tblData[Brand],$B449)/Unit</f>
        <v>7.7539999999999996</v>
      </c>
      <c r="K449" s="79">
        <f t="shared" si="176"/>
        <v>-0.15100150261542114</v>
      </c>
      <c r="L449" s="79">
        <f t="shared" si="177"/>
        <v>-0.83120844568837493</v>
      </c>
      <c r="M449" s="79">
        <f t="shared" si="178"/>
        <v>-2.4409866001411699E-3</v>
      </c>
      <c r="N449" s="79">
        <f t="shared" si="179"/>
        <v>-0.15334906509606372</v>
      </c>
    </row>
    <row r="450" spans="1:14" x14ac:dyDescent="0.25">
      <c r="A450" s="77" t="str">
        <f t="shared" si="175"/>
        <v>Hypermarkets</v>
      </c>
      <c r="B450" s="77" t="str">
        <f>INDEX(lstBrand,4)</f>
        <v>Lumio</v>
      </c>
      <c r="C450" s="79">
        <f>(SUMIFS(tblData[Units],tblData[Scenario],"Actual",tblData[Year],selFY,tblData[Month],"&gt;="&amp;mFrom,tblData[Month],"&lt;="&amp;MIN(mTo,mSel),tblData[Channel],$A450,tblData[Brand],$B450)+SUMIFS(tblData[Units],tblData[Scenario],"Forecast",tblData[Year],selFY,tblData[Month],"&gt;="&amp;MAX(mFrom,mSel+1),tblData[Month],"&lt;="&amp;mTo,tblData[Channel],$A450,tblData[Brand],$B450))</f>
        <v>1873.4999999999998</v>
      </c>
      <c r="D450" s="79">
        <f>(SUMIFS(tblData[Gross Sales],tblData[Scenario],"Actual",tblData[Year],selFY,tblData[Month],"&gt;="&amp;mFrom,tblData[Month],"&lt;="&amp;MIN(mTo,mSel),tblData[Channel],$A450,tblData[Brand],$B450)+SUMIFS(tblData[Gross Sales],tblData[Scenario],"Forecast",tblData[Year],selFY,tblData[Month],"&gt;="&amp;MAX(mFrom,mSel+1),tblData[Month],"&lt;="&amp;mTo,tblData[Channel],$A450,tblData[Brand],$B450))/Unit</f>
        <v>20.669</v>
      </c>
      <c r="E450" s="79">
        <f>(SUMIFS(tblData[Net Revenue],tblData[Scenario],"Actual",tblData[Year],selFY,tblData[Month],"&gt;="&amp;mFrom,tblData[Month],"&lt;="&amp;MIN(mTo,mSel),tblData[Channel],$A450,tblData[Brand],$B450)+SUMIFS(tblData[Net Revenue],tblData[Scenario],"Forecast",tblData[Year],selFY,tblData[Month],"&gt;="&amp;MAX(mFrom,mSel+1),tblData[Month],"&lt;="&amp;mTo,tblData[Channel],$A450,tblData[Brand],$B450))/Unit</f>
        <v>16.306999999999999</v>
      </c>
      <c r="F450" s="79">
        <f>(SUMIFS(tblData[Contribution Margin],tblData[Scenario],"Actual",tblData[Year],selFY,tblData[Month],"&gt;="&amp;mFrom,tblData[Month],"&lt;="&amp;MIN(mTo,mSel),tblData[Channel],$A450,tblData[Brand],$B450)+SUMIFS(tblData[Contribution Margin],tblData[Scenario],"Forecast",tblData[Year],selFY,tblData[Month],"&gt;="&amp;MAX(mFrom,mSel+1),tblData[Month],"&lt;="&amp;mTo,tblData[Channel],$A450,tblData[Brand],$B450))/Unit</f>
        <v>5.6189999999999998</v>
      </c>
      <c r="G450" s="79">
        <f>SUMIFS(tblData[Units],tblData[Scenario],"Budget",tblData[Year],selFY,tblData[Month],"&gt;="&amp;mFrom,tblData[Month],"&lt;="&amp;mTo,tblData[Channel],$A450,tblData[Brand],$B450)</f>
        <v>1924.2</v>
      </c>
      <c r="H450" s="79">
        <f>SUMIFS(tblData[Gross Sales],tblData[Scenario],"Budget",tblData[Year],selFY,tblData[Month],"&gt;="&amp;mFrom,tblData[Month],"&lt;="&amp;mTo,tblData[Channel],$A450,tblData[Brand],$B450)/Unit</f>
        <v>21.167999999999999</v>
      </c>
      <c r="I450" s="79">
        <f>SUMIFS(tblData[Net Revenue],tblData[Scenario],"Budget",tblData[Year],selFY,tblData[Month],"&gt;="&amp;mFrom,tblData[Month],"&lt;="&amp;mTo,tblData[Channel],$A450,tblData[Brand],$B450)/Unit</f>
        <v>16.827999999999999</v>
      </c>
      <c r="J450" s="79">
        <f>SUMIFS(tblData[Contribution Margin],tblData[Scenario],"Budget",tblData[Year],selFY,tblData[Month],"&gt;="&amp;mFrom,tblData[Month],"&lt;="&amp;mTo,tblData[Channel],$A450,tblData[Brand],$B450)/Unit</f>
        <v>6.0289999999999999</v>
      </c>
      <c r="K450" s="79">
        <f t="shared" si="176"/>
        <v>-0.11744018514638381</v>
      </c>
      <c r="L450" s="79">
        <f t="shared" si="177"/>
        <v>-0.32595426449502751</v>
      </c>
      <c r="M450" s="79">
        <f t="shared" si="178"/>
        <v>5.8747427502341291E-2</v>
      </c>
      <c r="N450" s="79">
        <f t="shared" si="179"/>
        <v>-0.13635297786093209</v>
      </c>
    </row>
    <row r="451" spans="1:14" x14ac:dyDescent="0.25">
      <c r="A451" s="77" t="str">
        <f t="shared" si="175"/>
        <v>Hypermarkets</v>
      </c>
      <c r="B451" s="77" t="str">
        <f>INDEX(lstBrand,5)</f>
        <v>Everwood</v>
      </c>
      <c r="C451" s="79">
        <f>(SUMIFS(tblData[Units],tblData[Scenario],"Actual",tblData[Year],selFY,tblData[Month],"&gt;="&amp;mFrom,tblData[Month],"&lt;="&amp;MIN(mTo,mSel),tblData[Channel],$A451,tblData[Brand],$B451)+SUMIFS(tblData[Units],tblData[Scenario],"Forecast",tblData[Year],selFY,tblData[Month],"&gt;="&amp;MAX(mFrom,mSel+1),tblData[Month],"&lt;="&amp;mTo,tblData[Channel],$A451,tblData[Brand],$B451))</f>
        <v>2239.8000000000002</v>
      </c>
      <c r="D451" s="79">
        <f>(SUMIFS(tblData[Gross Sales],tblData[Scenario],"Actual",tblData[Year],selFY,tblData[Month],"&gt;="&amp;mFrom,tblData[Month],"&lt;="&amp;MIN(mTo,mSel),tblData[Channel],$A451,tblData[Brand],$B451)+SUMIFS(tblData[Gross Sales],tblData[Scenario],"Forecast",tblData[Year],selFY,tblData[Month],"&gt;="&amp;MAX(mFrom,mSel+1),tblData[Month],"&lt;="&amp;mTo,tblData[Channel],$A451,tblData[Brand],$B451))/Unit</f>
        <v>13.382999999999999</v>
      </c>
      <c r="E451" s="79">
        <f>(SUMIFS(tblData[Net Revenue],tblData[Scenario],"Actual",tblData[Year],selFY,tblData[Month],"&gt;="&amp;mFrom,tblData[Month],"&lt;="&amp;MIN(mTo,mSel),tblData[Channel],$A451,tblData[Brand],$B451)+SUMIFS(tblData[Net Revenue],tblData[Scenario],"Forecast",tblData[Year],selFY,tblData[Month],"&gt;="&amp;MAX(mFrom,mSel+1),tblData[Month],"&lt;="&amp;mTo,tblData[Channel],$A451,tblData[Brand],$B451))/Unit</f>
        <v>10.558</v>
      </c>
      <c r="F451" s="79">
        <f>(SUMIFS(tblData[Contribution Margin],tblData[Scenario],"Actual",tblData[Year],selFY,tblData[Month],"&gt;="&amp;mFrom,tblData[Month],"&lt;="&amp;MIN(mTo,mSel),tblData[Channel],$A451,tblData[Brand],$B451)+SUMIFS(tblData[Contribution Margin],tblData[Scenario],"Forecast",tblData[Year],selFY,tblData[Month],"&gt;="&amp;MAX(mFrom,mSel+1),tblData[Month],"&lt;="&amp;mTo,tblData[Channel],$A451,tblData[Brand],$B451))/Unit</f>
        <v>3.141</v>
      </c>
      <c r="G451" s="79">
        <f>SUMIFS(tblData[Units],tblData[Scenario],"Budget",tblData[Year],selFY,tblData[Month],"&gt;="&amp;mFrom,tblData[Month],"&lt;="&amp;mTo,tblData[Channel],$A451,tblData[Brand],$B451)</f>
        <v>2520</v>
      </c>
      <c r="H451" s="79">
        <f>SUMIFS(tblData[Gross Sales],tblData[Scenario],"Budget",tblData[Year],selFY,tblData[Month],"&gt;="&amp;mFrom,tblData[Month],"&lt;="&amp;mTo,tblData[Channel],$A451,tblData[Brand],$B451)/Unit</f>
        <v>15.119</v>
      </c>
      <c r="I451" s="79">
        <f>SUMIFS(tblData[Net Revenue],tblData[Scenario],"Budget",tblData[Year],selFY,tblData[Month],"&gt;="&amp;mFrom,tblData[Month],"&lt;="&amp;mTo,tblData[Channel],$A451,tblData[Brand],$B451)/Unit</f>
        <v>12.02</v>
      </c>
      <c r="J451" s="79">
        <f>SUMIFS(tblData[Contribution Margin],tblData[Scenario],"Budget",tblData[Year],selFY,tblData[Month],"&gt;="&amp;mFrom,tblData[Month],"&lt;="&amp;mTo,tblData[Channel],$A451,tblData[Brand],$B451)/Unit</f>
        <v>3.859</v>
      </c>
      <c r="K451" s="79">
        <f t="shared" si="176"/>
        <v>-8.3885846533131289E-2</v>
      </c>
      <c r="L451" s="79">
        <f t="shared" si="177"/>
        <v>-1.2526236772763926</v>
      </c>
      <c r="M451" s="79">
        <f t="shared" si="178"/>
        <v>-5.4911190476192695E-2</v>
      </c>
      <c r="N451" s="79">
        <f t="shared" si="179"/>
        <v>-7.0579285714284457E-2</v>
      </c>
    </row>
    <row r="452" spans="1:14" x14ac:dyDescent="0.25">
      <c r="A452" s="77" t="str">
        <f t="shared" si="175"/>
        <v>Hypermarkets</v>
      </c>
      <c r="B452" s="77" t="str">
        <f>INDEX(lstBrand,6)</f>
        <v>Tindra</v>
      </c>
      <c r="C452" s="79">
        <f>(SUMIFS(tblData[Units],tblData[Scenario],"Actual",tblData[Year],selFY,tblData[Month],"&gt;="&amp;mFrom,tblData[Month],"&lt;="&amp;MIN(mTo,mSel),tblData[Channel],$A452,tblData[Brand],$B452)+SUMIFS(tblData[Units],tblData[Scenario],"Forecast",tblData[Year],selFY,tblData[Month],"&gt;="&amp;MAX(mFrom,mSel+1),tblData[Month],"&lt;="&amp;mTo,tblData[Channel],$A452,tblData[Brand],$B452))</f>
        <v>418.5</v>
      </c>
      <c r="D452" s="79">
        <f>(SUMIFS(tblData[Gross Sales],tblData[Scenario],"Actual",tblData[Year],selFY,tblData[Month],"&gt;="&amp;mFrom,tblData[Month],"&lt;="&amp;MIN(mTo,mSel),tblData[Channel],$A452,tblData[Brand],$B452)+SUMIFS(tblData[Gross Sales],tblData[Scenario],"Forecast",tblData[Year],selFY,tblData[Month],"&gt;="&amp;MAX(mFrom,mSel+1),tblData[Month],"&lt;="&amp;mTo,tblData[Channel],$A452,tblData[Brand],$B452))/Unit</f>
        <v>7.5309999999999997</v>
      </c>
      <c r="E452" s="79">
        <f>(SUMIFS(tblData[Net Revenue],tblData[Scenario],"Actual",tblData[Year],selFY,tblData[Month],"&gt;="&amp;mFrom,tblData[Month],"&lt;="&amp;MIN(mTo,mSel),tblData[Channel],$A452,tblData[Brand],$B452)+SUMIFS(tblData[Net Revenue],tblData[Scenario],"Forecast",tblData[Year],selFY,tblData[Month],"&gt;="&amp;MAX(mFrom,mSel+1),tblData[Month],"&lt;="&amp;mTo,tblData[Channel],$A452,tblData[Brand],$B452))/Unit</f>
        <v>5.9420000000000002</v>
      </c>
      <c r="F452" s="79">
        <f>(SUMIFS(tblData[Contribution Margin],tblData[Scenario],"Actual",tblData[Year],selFY,tblData[Month],"&gt;="&amp;mFrom,tblData[Month],"&lt;="&amp;MIN(mTo,mSel),tblData[Channel],$A452,tblData[Brand],$B452)+SUMIFS(tblData[Contribution Margin],tblData[Scenario],"Forecast",tblData[Year],selFY,tblData[Month],"&gt;="&amp;MAX(mFrom,mSel+1),tblData[Month],"&lt;="&amp;mTo,tblData[Channel],$A452,tblData[Brand],$B452))/Unit</f>
        <v>1.2549999999999999</v>
      </c>
      <c r="G452" s="79">
        <f>SUMIFS(tblData[Units],tblData[Scenario],"Budget",tblData[Year],selFY,tblData[Month],"&gt;="&amp;mFrom,tblData[Month],"&lt;="&amp;mTo,tblData[Channel],$A452,tblData[Brand],$B452)</f>
        <v>503.99999999999994</v>
      </c>
      <c r="H452" s="79">
        <f>SUMIFS(tblData[Gross Sales],tblData[Scenario],"Budget",tblData[Year],selFY,tblData[Month],"&gt;="&amp;mFrom,tblData[Month],"&lt;="&amp;mTo,tblData[Channel],$A452,tblData[Brand],$B452)/Unit</f>
        <v>9.0719999999999992</v>
      </c>
      <c r="I452" s="79">
        <f>SUMIFS(tblData[Net Revenue],tblData[Scenario],"Budget",tblData[Year],selFY,tblData[Month],"&gt;="&amp;mFrom,tblData[Month],"&lt;="&amp;mTo,tblData[Channel],$A452,tblData[Brand],$B452)/Unit</f>
        <v>7.2110000000000003</v>
      </c>
      <c r="J452" s="79">
        <f>SUMIFS(tblData[Contribution Margin],tblData[Scenario],"Budget",tblData[Year],selFY,tblData[Month],"&gt;="&amp;mFrom,tblData[Month],"&lt;="&amp;mTo,tblData[Channel],$A452,tblData[Brand],$B452)/Unit</f>
        <v>1.8620000000000001</v>
      </c>
      <c r="K452" s="79">
        <f t="shared" si="176"/>
        <v>-5.0324529064093994E-2</v>
      </c>
      <c r="L452" s="79">
        <f t="shared" si="177"/>
        <v>-1.1729701137930475</v>
      </c>
      <c r="M452" s="79">
        <f t="shared" si="178"/>
        <v>-2.0000000000014399E-3</v>
      </c>
      <c r="N452" s="79">
        <f t="shared" si="179"/>
        <v>-4.3705357142857344E-2</v>
      </c>
    </row>
    <row r="453" spans="1:14" x14ac:dyDescent="0.25">
      <c r="A453" s="77" t="str">
        <f t="shared" ref="A453:A458" si="180">INDEX(lstChannel,2)</f>
        <v>Supermarkets</v>
      </c>
      <c r="B453" s="77" t="str">
        <f>INDEX(lstBrand,1)</f>
        <v>Aurelia</v>
      </c>
      <c r="C453" s="79">
        <f>(SUMIFS(tblData[Units],tblData[Scenario],"Actual",tblData[Year],selFY,tblData[Month],"&gt;="&amp;mFrom,tblData[Month],"&lt;="&amp;MIN(mTo,mSel),tblData[Channel],$A453,tblData[Brand],$B453)+SUMIFS(tblData[Units],tblData[Scenario],"Forecast",tblData[Year],selFY,tblData[Month],"&gt;="&amp;MAX(mFrom,mSel+1),tblData[Month],"&lt;="&amp;mTo,tblData[Channel],$A453,tblData[Brand],$B453))</f>
        <v>2491.6999999999998</v>
      </c>
      <c r="D453" s="79">
        <f>(SUMIFS(tblData[Gross Sales],tblData[Scenario],"Actual",tblData[Year],selFY,tblData[Month],"&gt;="&amp;mFrom,tblData[Month],"&lt;="&amp;MIN(mTo,mSel),tblData[Channel],$A453,tblData[Brand],$B453)+SUMIFS(tblData[Gross Sales],tblData[Scenario],"Forecast",tblData[Year],selFY,tblData[Month],"&gt;="&amp;MAX(mFrom,mSel+1),tblData[Month],"&lt;="&amp;mTo,tblData[Channel],$A453,tblData[Brand],$B453))/Unit</f>
        <v>35.231999999999999</v>
      </c>
      <c r="E453" s="79">
        <f>(SUMIFS(tblData[Net Revenue],tblData[Scenario],"Actual",tblData[Year],selFY,tblData[Month],"&gt;="&amp;mFrom,tblData[Month],"&lt;="&amp;MIN(mTo,mSel),tblData[Channel],$A453,tblData[Brand],$B453)+SUMIFS(tblData[Net Revenue],tblData[Scenario],"Forecast",tblData[Year],selFY,tblData[Month],"&gt;="&amp;MAX(mFrom,mSel+1),tblData[Month],"&lt;="&amp;mTo,tblData[Channel],$A453,tblData[Brand],$B453))/Unit</f>
        <v>29.102</v>
      </c>
      <c r="F453" s="79">
        <f>(SUMIFS(tblData[Contribution Margin],tblData[Scenario],"Actual",tblData[Year],selFY,tblData[Month],"&gt;="&amp;mFrom,tblData[Month],"&lt;="&amp;MIN(mTo,mSel),tblData[Channel],$A453,tblData[Brand],$B453)+SUMIFS(tblData[Contribution Margin],tblData[Scenario],"Forecast",tblData[Year],selFY,tblData[Month],"&gt;="&amp;MAX(mFrom,mSel+1),tblData[Month],"&lt;="&amp;mTo,tblData[Channel],$A453,tblData[Brand],$B453))/Unit</f>
        <v>12.852</v>
      </c>
      <c r="G453" s="79">
        <f>SUMIFS(tblData[Units],tblData[Scenario],"Budget",tblData[Year],selFY,tblData[Month],"&gt;="&amp;mFrom,tblData[Month],"&lt;="&amp;mTo,tblData[Channel],$A453,tblData[Brand],$B453)</f>
        <v>2419.3000000000002</v>
      </c>
      <c r="H453" s="79">
        <f>SUMIFS(tblData[Gross Sales],tblData[Scenario],"Budget",tblData[Year],selFY,tblData[Month],"&gt;="&amp;mFrom,tblData[Month],"&lt;="&amp;mTo,tblData[Channel],$A453,tblData[Brand],$B453)/Unit</f>
        <v>33.869999999999997</v>
      </c>
      <c r="I453" s="79">
        <f>SUMIFS(tblData[Net Revenue],tblData[Scenario],"Budget",tblData[Year],selFY,tblData[Month],"&gt;="&amp;mFrom,tblData[Month],"&lt;="&amp;mTo,tblData[Channel],$A453,tblData[Brand],$B453)/Unit</f>
        <v>28.041</v>
      </c>
      <c r="J453" s="79">
        <f>SUMIFS(tblData[Contribution Margin],tblData[Scenario],"Budget",tblData[Year],selFY,tblData[Month],"&gt;="&amp;mFrom,tblData[Month],"&lt;="&amp;mTo,tblData[Channel],$A453,tblData[Brand],$B453)/Unit</f>
        <v>12.462999999999999</v>
      </c>
      <c r="K453" s="79">
        <f t="shared" si="176"/>
        <v>-0.19569409506119259</v>
      </c>
      <c r="L453" s="79">
        <f t="shared" si="177"/>
        <v>1.0348493879144924</v>
      </c>
      <c r="M453" s="79">
        <f t="shared" si="178"/>
        <v>0.34840598520233923</v>
      </c>
      <c r="N453" s="79">
        <f t="shared" si="179"/>
        <v>-0.1265612780556391</v>
      </c>
    </row>
    <row r="454" spans="1:14" x14ac:dyDescent="0.25">
      <c r="A454" s="77" t="str">
        <f t="shared" si="180"/>
        <v>Supermarkets</v>
      </c>
      <c r="B454" s="77" t="str">
        <f>INDEX(lstBrand,2)</f>
        <v>Novara</v>
      </c>
      <c r="C454" s="79">
        <f>(SUMIFS(tblData[Units],tblData[Scenario],"Actual",tblData[Year],selFY,tblData[Month],"&gt;="&amp;mFrom,tblData[Month],"&lt;="&amp;MIN(mTo,mSel),tblData[Channel],$A454,tblData[Brand],$B454)+SUMIFS(tblData[Units],tblData[Scenario],"Forecast",tblData[Year],selFY,tblData[Month],"&gt;="&amp;MAX(mFrom,mSel+1),tblData[Month],"&lt;="&amp;mTo,tblData[Channel],$A454,tblData[Brand],$B454))</f>
        <v>3237.7</v>
      </c>
      <c r="D454" s="79">
        <f>(SUMIFS(tblData[Gross Sales],tblData[Scenario],"Actual",tblData[Year],selFY,tblData[Month],"&gt;="&amp;mFrom,tblData[Month],"&lt;="&amp;MIN(mTo,mSel),tblData[Channel],$A454,tblData[Brand],$B454)+SUMIFS(tblData[Gross Sales],tblData[Scenario],"Forecast",tblData[Year],selFY,tblData[Month],"&gt;="&amp;MAX(mFrom,mSel+1),tblData[Month],"&lt;="&amp;mTo,tblData[Channel],$A454,tblData[Brand],$B454))/Unit</f>
        <v>29.315000000000001</v>
      </c>
      <c r="E454" s="79">
        <f>(SUMIFS(tblData[Net Revenue],tblData[Scenario],"Actual",tblData[Year],selFY,tblData[Month],"&gt;="&amp;mFrom,tblData[Month],"&lt;="&amp;MIN(mTo,mSel),tblData[Channel],$A454,tblData[Brand],$B454)+SUMIFS(tblData[Net Revenue],tblData[Scenario],"Forecast",tblData[Year],selFY,tblData[Month],"&gt;="&amp;MAX(mFrom,mSel+1),tblData[Month],"&lt;="&amp;mTo,tblData[Channel],$A454,tblData[Brand],$B454))/Unit</f>
        <v>24.213000000000001</v>
      </c>
      <c r="F454" s="79">
        <f>(SUMIFS(tblData[Contribution Margin],tblData[Scenario],"Actual",tblData[Year],selFY,tblData[Month],"&gt;="&amp;mFrom,tblData[Month],"&lt;="&amp;MIN(mTo,mSel),tblData[Channel],$A454,tblData[Brand],$B454)+SUMIFS(tblData[Contribution Margin],tblData[Scenario],"Forecast",tblData[Year],selFY,tblData[Month],"&gt;="&amp;MAX(mFrom,mSel+1),tblData[Month],"&lt;="&amp;mTo,tblData[Channel],$A454,tblData[Brand],$B454))/Unit</f>
        <v>9.6590000000000007</v>
      </c>
      <c r="G454" s="79">
        <f>SUMIFS(tblData[Units],tblData[Scenario],"Budget",tblData[Year],selFY,tblData[Month],"&gt;="&amp;mFrom,tblData[Month],"&lt;="&amp;mTo,tblData[Channel],$A454,tblData[Brand],$B454)</f>
        <v>3225.5999999999995</v>
      </c>
      <c r="H454" s="79">
        <f>SUMIFS(tblData[Gross Sales],tblData[Scenario],"Budget",tblData[Year],selFY,tblData[Month],"&gt;="&amp;mFrom,tblData[Month],"&lt;="&amp;mTo,tblData[Channel],$A454,tblData[Brand],$B454)/Unit</f>
        <v>29.030999999999999</v>
      </c>
      <c r="I454" s="79">
        <f>SUMIFS(tblData[Net Revenue],tblData[Scenario],"Budget",tblData[Year],selFY,tblData[Month],"&gt;="&amp;mFrom,tblData[Month],"&lt;="&amp;mTo,tblData[Channel],$A454,tblData[Brand],$B454)/Unit</f>
        <v>24.036999999999999</v>
      </c>
      <c r="J454" s="79">
        <f>SUMIFS(tblData[Contribution Margin],tblData[Scenario],"Budget",tblData[Year],selFY,tblData[Month],"&gt;="&amp;mFrom,tblData[Month],"&lt;="&amp;mTo,tblData[Channel],$A454,tblData[Brand],$B454)/Unit</f>
        <v>9.8130000000000006</v>
      </c>
      <c r="K454" s="79">
        <f t="shared" si="176"/>
        <v>-0.16775075649890825</v>
      </c>
      <c r="L454" s="79">
        <f t="shared" si="177"/>
        <v>0.25791931428661041</v>
      </c>
      <c r="M454" s="79">
        <f t="shared" si="178"/>
        <v>0.17509774925595234</v>
      </c>
      <c r="N454" s="79">
        <f t="shared" si="179"/>
        <v>-8.9266307043651072E-2</v>
      </c>
    </row>
    <row r="455" spans="1:14" x14ac:dyDescent="0.25">
      <c r="A455" s="77" t="str">
        <f t="shared" si="180"/>
        <v>Supermarkets</v>
      </c>
      <c r="B455" s="77" t="str">
        <f>INDEX(lstBrand,3)</f>
        <v>Kestrel</v>
      </c>
      <c r="C455" s="79">
        <f>(SUMIFS(tblData[Units],tblData[Scenario],"Actual",tblData[Year],selFY,tblData[Month],"&gt;="&amp;mFrom,tblData[Month],"&lt;="&amp;MIN(mTo,mSel),tblData[Channel],$A455,tblData[Brand],$B455)+SUMIFS(tblData[Units],tblData[Scenario],"Forecast",tblData[Year],selFY,tblData[Month],"&gt;="&amp;MAX(mFrom,mSel+1),tblData[Month],"&lt;="&amp;mTo,tblData[Channel],$A455,tblData[Brand],$B455))</f>
        <v>3063.6</v>
      </c>
      <c r="D455" s="79">
        <f>(SUMIFS(tblData[Gross Sales],tblData[Scenario],"Actual",tblData[Year],selFY,tblData[Month],"&gt;="&amp;mFrom,tblData[Month],"&lt;="&amp;MIN(mTo,mSel),tblData[Channel],$A455,tblData[Brand],$B455)+SUMIFS(tblData[Gross Sales],tblData[Scenario],"Forecast",tblData[Year],selFY,tblData[Month],"&gt;="&amp;MAX(mFrom,mSel+1),tblData[Month],"&lt;="&amp;mTo,tblData[Channel],$A455,tblData[Brand],$B455))/Unit</f>
        <v>21.529</v>
      </c>
      <c r="E455" s="79">
        <f>(SUMIFS(tblData[Net Revenue],tblData[Scenario],"Actual",tblData[Year],selFY,tblData[Month],"&gt;="&amp;mFrom,tblData[Month],"&lt;="&amp;MIN(mTo,mSel),tblData[Channel],$A455,tblData[Brand],$B455)+SUMIFS(tblData[Net Revenue],tblData[Scenario],"Forecast",tblData[Year],selFY,tblData[Month],"&gt;="&amp;MAX(mFrom,mSel+1),tblData[Month],"&lt;="&amp;mTo,tblData[Channel],$A455,tblData[Brand],$B455))/Unit</f>
        <v>17.783000000000001</v>
      </c>
      <c r="F455" s="79">
        <f>(SUMIFS(tblData[Contribution Margin],tblData[Scenario],"Actual",tblData[Year],selFY,tblData[Month],"&gt;="&amp;mFrom,tblData[Month],"&lt;="&amp;MIN(mTo,mSel),tblData[Channel],$A455,tblData[Brand],$B455)+SUMIFS(tblData[Contribution Margin],tblData[Scenario],"Forecast",tblData[Year],selFY,tblData[Month],"&gt;="&amp;MAX(mFrom,mSel+1),tblData[Month],"&lt;="&amp;mTo,tblData[Channel],$A455,tblData[Brand],$B455))/Unit</f>
        <v>6.6040000000000001</v>
      </c>
      <c r="G455" s="79">
        <f>SUMIFS(tblData[Units],tblData[Scenario],"Budget",tblData[Year],selFY,tblData[Month],"&gt;="&amp;mFrom,tblData[Month],"&lt;="&amp;mTo,tblData[Channel],$A455,tblData[Brand],$B455)</f>
        <v>3110.3</v>
      </c>
      <c r="H455" s="79">
        <f>SUMIFS(tblData[Gross Sales],tblData[Scenario],"Budget",tblData[Year],selFY,tblData[Month],"&gt;="&amp;mFrom,tblData[Month],"&lt;="&amp;mTo,tblData[Channel],$A455,tblData[Brand],$B455)/Unit</f>
        <v>21.771999999999998</v>
      </c>
      <c r="I455" s="79">
        <f>SUMIFS(tblData[Net Revenue],tblData[Scenario],"Budget",tblData[Year],selFY,tblData[Month],"&gt;="&amp;mFrom,tblData[Month],"&lt;="&amp;mTo,tblData[Channel],$A455,tblData[Brand],$B455)/Unit</f>
        <v>18.027999999999999</v>
      </c>
      <c r="J455" s="79">
        <f>SUMIFS(tblData[Contribution Margin],tblData[Scenario],"Budget",tblData[Year],selFY,tblData[Month],"&gt;="&amp;mFrom,tblData[Month],"&lt;="&amp;mTo,tblData[Channel],$A455,tblData[Brand],$B455)/Unit</f>
        <v>6.9249999999999998</v>
      </c>
      <c r="K455" s="79">
        <f t="shared" si="176"/>
        <v>-0.12581481208812736</v>
      </c>
      <c r="L455" s="79">
        <f t="shared" si="177"/>
        <v>-0.1448689161695989</v>
      </c>
      <c r="M455" s="79">
        <f t="shared" si="178"/>
        <v>8.3898498537120988E-2</v>
      </c>
      <c r="N455" s="79">
        <f t="shared" si="179"/>
        <v>-5.8214770279393334E-2</v>
      </c>
    </row>
    <row r="456" spans="1:14" x14ac:dyDescent="0.25">
      <c r="A456" s="77" t="str">
        <f t="shared" si="180"/>
        <v>Supermarkets</v>
      </c>
      <c r="B456" s="77" t="str">
        <f>INDEX(lstBrand,4)</f>
        <v>Lumio</v>
      </c>
      <c r="C456" s="79">
        <f>(SUMIFS(tblData[Units],tblData[Scenario],"Actual",tblData[Year],selFY,tblData[Month],"&gt;="&amp;mFrom,tblData[Month],"&lt;="&amp;MIN(mTo,mSel),tblData[Channel],$A456,tblData[Brand],$B456)+SUMIFS(tblData[Units],tblData[Scenario],"Forecast",tblData[Year],selFY,tblData[Month],"&gt;="&amp;MAX(mFrom,mSel+1),tblData[Month],"&lt;="&amp;mTo,tblData[Channel],$A456,tblData[Brand],$B456))</f>
        <v>1568.4</v>
      </c>
      <c r="D456" s="79">
        <f>(SUMIFS(tblData[Gross Sales],tblData[Scenario],"Actual",tblData[Year],selFY,tblData[Month],"&gt;="&amp;mFrom,tblData[Month],"&lt;="&amp;MIN(mTo,mSel),tblData[Channel],$A456,tblData[Brand],$B456)+SUMIFS(tblData[Gross Sales],tblData[Scenario],"Forecast",tblData[Year],selFY,tblData[Month],"&gt;="&amp;MAX(mFrom,mSel+1),tblData[Month],"&lt;="&amp;mTo,tblData[Channel],$A456,tblData[Brand],$B456))/Unit</f>
        <v>17.373999999999999</v>
      </c>
      <c r="E456" s="79">
        <f>(SUMIFS(tblData[Net Revenue],tblData[Scenario],"Actual",tblData[Year],selFY,tblData[Month],"&gt;="&amp;mFrom,tblData[Month],"&lt;="&amp;MIN(mTo,mSel),tblData[Channel],$A456,tblData[Brand],$B456)+SUMIFS(tblData[Net Revenue],tblData[Scenario],"Forecast",tblData[Year],selFY,tblData[Month],"&gt;="&amp;MAX(mFrom,mSel+1),tblData[Month],"&lt;="&amp;mTo,tblData[Channel],$A456,tblData[Brand],$B456))/Unit</f>
        <v>14.352</v>
      </c>
      <c r="F456" s="79">
        <f>(SUMIFS(tblData[Contribution Margin],tblData[Scenario],"Actual",tblData[Year],selFY,tblData[Month],"&gt;="&amp;mFrom,tblData[Month],"&lt;="&amp;MIN(mTo,mSel),tblData[Channel],$A456,tblData[Brand],$B456)+SUMIFS(tblData[Contribution Margin],tblData[Scenario],"Forecast",tblData[Year],selFY,tblData[Month],"&gt;="&amp;MAX(mFrom,mSel+1),tblData[Month],"&lt;="&amp;mTo,tblData[Channel],$A456,tblData[Brand],$B456))/Unit</f>
        <v>5.4569999999999999</v>
      </c>
      <c r="G456" s="79">
        <f>SUMIFS(tblData[Units],tblData[Scenario],"Budget",tblData[Year],selFY,tblData[Month],"&gt;="&amp;mFrom,tblData[Month],"&lt;="&amp;mTo,tblData[Channel],$A456,tblData[Brand],$B456)</f>
        <v>1539.5</v>
      </c>
      <c r="H456" s="79">
        <f>SUMIFS(tblData[Gross Sales],tblData[Scenario],"Budget",tblData[Year],selFY,tblData[Month],"&gt;="&amp;mFrom,tblData[Month],"&lt;="&amp;mTo,tblData[Channel],$A456,tblData[Brand],$B456)/Unit</f>
        <v>16.933</v>
      </c>
      <c r="I456" s="79">
        <f>SUMIFS(tblData[Net Revenue],tblData[Scenario],"Budget",tblData[Year],selFY,tblData[Month],"&gt;="&amp;mFrom,tblData[Month],"&lt;="&amp;mTo,tblData[Channel],$A456,tblData[Brand],$B456)/Unit</f>
        <v>14.02</v>
      </c>
      <c r="J456" s="79">
        <f>SUMIFS(tblData[Contribution Margin],tblData[Scenario],"Budget",tblData[Year],selFY,tblData[Month],"&gt;="&amp;mFrom,tblData[Month],"&lt;="&amp;mTo,tblData[Channel],$A456,tblData[Brand],$B456)/Unit</f>
        <v>5.3860000000000001</v>
      </c>
      <c r="K456" s="79">
        <f t="shared" si="176"/>
        <v>-9.7843558102703884E-2</v>
      </c>
      <c r="L456" s="79">
        <f t="shared" si="177"/>
        <v>0.3610316061702607</v>
      </c>
      <c r="M456" s="79">
        <f t="shared" si="178"/>
        <v>0.12312815849301675</v>
      </c>
      <c r="N456" s="79">
        <f t="shared" si="179"/>
        <v>-5.4316206560569652E-2</v>
      </c>
    </row>
    <row r="457" spans="1:14" x14ac:dyDescent="0.25">
      <c r="A457" s="77" t="str">
        <f t="shared" si="180"/>
        <v>Supermarkets</v>
      </c>
      <c r="B457" s="77" t="str">
        <f>INDEX(lstBrand,5)</f>
        <v>Everwood</v>
      </c>
      <c r="C457" s="79">
        <f>(SUMIFS(tblData[Units],tblData[Scenario],"Actual",tblData[Year],selFY,tblData[Month],"&gt;="&amp;mFrom,tblData[Month],"&lt;="&amp;MIN(mTo,mSel),tblData[Channel],$A457,tblData[Brand],$B457)+SUMIFS(tblData[Units],tblData[Scenario],"Forecast",tblData[Year],selFY,tblData[Month],"&gt;="&amp;MAX(mFrom,mSel+1),tblData[Month],"&lt;="&amp;mTo,tblData[Channel],$A457,tblData[Brand],$B457))</f>
        <v>1888.3</v>
      </c>
      <c r="D457" s="79">
        <f>(SUMIFS(tblData[Gross Sales],tblData[Scenario],"Actual",tblData[Year],selFY,tblData[Month],"&gt;="&amp;mFrom,tblData[Month],"&lt;="&amp;MIN(mTo,mSel),tblData[Channel],$A457,tblData[Brand],$B457)+SUMIFS(tblData[Gross Sales],tblData[Scenario],"Forecast",tblData[Year],selFY,tblData[Month],"&gt;="&amp;MAX(mFrom,mSel+1),tblData[Month],"&lt;="&amp;mTo,tblData[Channel],$A457,tblData[Brand],$B457))/Unit</f>
        <v>11.33</v>
      </c>
      <c r="E457" s="79">
        <f>(SUMIFS(tblData[Net Revenue],tblData[Scenario],"Actual",tblData[Year],selFY,tblData[Month],"&gt;="&amp;mFrom,tblData[Month],"&lt;="&amp;MIN(mTo,mSel),tblData[Channel],$A457,tblData[Brand],$B457)+SUMIFS(tblData[Net Revenue],tblData[Scenario],"Forecast",tblData[Year],selFY,tblData[Month],"&gt;="&amp;MAX(mFrom,mSel+1),tblData[Month],"&lt;="&amp;mTo,tblData[Channel],$A457,tblData[Brand],$B457))/Unit</f>
        <v>9.359</v>
      </c>
      <c r="F457" s="79">
        <f>(SUMIFS(tblData[Contribution Margin],tblData[Scenario],"Actual",tblData[Year],selFY,tblData[Month],"&gt;="&amp;mFrom,tblData[Month],"&lt;="&amp;MIN(mTo,mSel),tblData[Channel],$A457,tblData[Brand],$B457)+SUMIFS(tblData[Contribution Margin],tblData[Scenario],"Forecast",tblData[Year],selFY,tblData[Month],"&gt;="&amp;MAX(mFrom,mSel+1),tblData[Month],"&lt;="&amp;mTo,tblData[Channel],$A457,tblData[Brand],$B457))/Unit</f>
        <v>3.1070000000000002</v>
      </c>
      <c r="G457" s="79">
        <f>SUMIFS(tblData[Units],tblData[Scenario],"Budget",tblData[Year],selFY,tblData[Month],"&gt;="&amp;mFrom,tblData[Month],"&lt;="&amp;mTo,tblData[Channel],$A457,tblData[Brand],$B457)</f>
        <v>2015.9999999999998</v>
      </c>
      <c r="H457" s="79">
        <f>SUMIFS(tblData[Gross Sales],tblData[Scenario],"Budget",tblData[Year],selFY,tblData[Month],"&gt;="&amp;mFrom,tblData[Month],"&lt;="&amp;mTo,tblData[Channel],$A457,tblData[Brand],$B457)/Unit</f>
        <v>12.097</v>
      </c>
      <c r="I457" s="79">
        <f>SUMIFS(tblData[Net Revenue],tblData[Scenario],"Budget",tblData[Year],selFY,tblData[Month],"&gt;="&amp;mFrom,tblData[Month],"&lt;="&amp;mTo,tblData[Channel],$A457,tblData[Brand],$B457)/Unit</f>
        <v>10.013999999999999</v>
      </c>
      <c r="J457" s="79">
        <f>SUMIFS(tblData[Contribution Margin],tblData[Scenario],"Budget",tblData[Year],selFY,tblData[Month],"&gt;="&amp;mFrom,tblData[Month],"&lt;="&amp;mTo,tblData[Channel],$A457,tblData[Brand],$B457)/Unit</f>
        <v>3.4849999999999999</v>
      </c>
      <c r="K457" s="79">
        <f t="shared" si="176"/>
        <v>-6.988626182884998E-2</v>
      </c>
      <c r="L457" s="79">
        <f t="shared" si="177"/>
        <v>-0.56443308340924336</v>
      </c>
      <c r="M457" s="79">
        <f t="shared" si="178"/>
        <v>-7.3665674603211773E-4</v>
      </c>
      <c r="N457" s="79">
        <f t="shared" si="179"/>
        <v>-1.9943998015872752E-2</v>
      </c>
    </row>
    <row r="458" spans="1:14" x14ac:dyDescent="0.25">
      <c r="A458" s="77" t="str">
        <f t="shared" si="180"/>
        <v>Supermarkets</v>
      </c>
      <c r="B458" s="77" t="str">
        <f>INDEX(lstBrand,6)</f>
        <v>Tindra</v>
      </c>
      <c r="C458" s="79">
        <f>(SUMIFS(tblData[Units],tblData[Scenario],"Actual",tblData[Year],selFY,tblData[Month],"&gt;="&amp;mFrom,tblData[Month],"&lt;="&amp;MIN(mTo,mSel),tblData[Channel],$A458,tblData[Brand],$B458)+SUMIFS(tblData[Units],tblData[Scenario],"Forecast",tblData[Year],selFY,tblData[Month],"&gt;="&amp;MAX(mFrom,mSel+1),tblData[Month],"&lt;="&amp;mTo,tblData[Channel],$A458,tblData[Brand],$B458))</f>
        <v>355.40000000000003</v>
      </c>
      <c r="D458" s="79">
        <f>(SUMIFS(tblData[Gross Sales],tblData[Scenario],"Actual",tblData[Year],selFY,tblData[Month],"&gt;="&amp;mFrom,tblData[Month],"&lt;="&amp;MIN(mTo,mSel),tblData[Channel],$A458,tblData[Brand],$B458)+SUMIFS(tblData[Gross Sales],tblData[Scenario],"Forecast",tblData[Year],selFY,tblData[Month],"&gt;="&amp;MAX(mFrom,mSel+1),tblData[Month],"&lt;="&amp;mTo,tblData[Channel],$A458,tblData[Brand],$B458))/Unit</f>
        <v>6.4219999999999997</v>
      </c>
      <c r="E458" s="79">
        <f>(SUMIFS(tblData[Net Revenue],tblData[Scenario],"Actual",tblData[Year],selFY,tblData[Month],"&gt;="&amp;mFrom,tblData[Month],"&lt;="&amp;MIN(mTo,mSel),tblData[Channel],$A458,tblData[Brand],$B458)+SUMIFS(tblData[Net Revenue],tblData[Scenario],"Forecast",tblData[Year],selFY,tblData[Month],"&gt;="&amp;MAX(mFrom,mSel+1),tblData[Month],"&lt;="&amp;mTo,tblData[Channel],$A458,tblData[Brand],$B458))/Unit</f>
        <v>5.3049999999999997</v>
      </c>
      <c r="F458" s="79">
        <f>(SUMIFS(tblData[Contribution Margin],tblData[Scenario],"Actual",tblData[Year],selFY,tblData[Month],"&gt;="&amp;mFrom,tblData[Month],"&lt;="&amp;MIN(mTo,mSel),tblData[Channel],$A458,tblData[Brand],$B458)+SUMIFS(tblData[Contribution Margin],tblData[Scenario],"Forecast",tblData[Year],selFY,tblData[Month],"&gt;="&amp;MAX(mFrom,mSel+1),tblData[Month],"&lt;="&amp;mTo,tblData[Channel],$A458,tblData[Brand],$B458))/Unit</f>
        <v>1.3740000000000001</v>
      </c>
      <c r="G458" s="79">
        <f>SUMIFS(tblData[Units],tblData[Scenario],"Budget",tblData[Year],selFY,tblData[Month],"&gt;="&amp;mFrom,tblData[Month],"&lt;="&amp;mTo,tblData[Channel],$A458,tblData[Brand],$B458)</f>
        <v>403.2</v>
      </c>
      <c r="H458" s="79">
        <f>SUMIFS(tblData[Gross Sales],tblData[Scenario],"Budget",tblData[Year],selFY,tblData[Month],"&gt;="&amp;mFrom,tblData[Month],"&lt;="&amp;mTo,tblData[Channel],$A458,tblData[Brand],$B458)/Unit</f>
        <v>7.258</v>
      </c>
      <c r="I458" s="79">
        <f>SUMIFS(tblData[Net Revenue],tblData[Scenario],"Budget",tblData[Year],selFY,tblData[Month],"&gt;="&amp;mFrom,tblData[Month],"&lt;="&amp;mTo,tblData[Channel],$A458,tblData[Brand],$B458)/Unit</f>
        <v>6.01</v>
      </c>
      <c r="J458" s="79">
        <f>SUMIFS(tblData[Contribution Margin],tblData[Scenario],"Budget",tblData[Year],selFY,tblData[Month],"&gt;="&amp;mFrom,tblData[Month],"&lt;="&amp;mTo,tblData[Channel],$A458,tblData[Brand],$B458)/Unit</f>
        <v>1.7230000000000001</v>
      </c>
      <c r="K458" s="79">
        <f t="shared" si="176"/>
        <v>-4.1942923266565645E-2</v>
      </c>
      <c r="L458" s="79">
        <f t="shared" si="177"/>
        <v>-0.6705521164159739</v>
      </c>
      <c r="M458" s="79">
        <f t="shared" si="178"/>
        <v>2.4447420634919441E-2</v>
      </c>
      <c r="N458" s="79">
        <f t="shared" si="179"/>
        <v>-1.6952380952380625E-2</v>
      </c>
    </row>
    <row r="459" spans="1:14" x14ac:dyDescent="0.25">
      <c r="A459" s="77" t="str">
        <f t="shared" ref="A459:A464" si="181">INDEX(lstChannel,3)</f>
        <v>Discounters</v>
      </c>
      <c r="B459" s="77" t="str">
        <f>INDEX(lstBrand,1)</f>
        <v>Aurelia</v>
      </c>
      <c r="C459" s="79">
        <f>(SUMIFS(tblData[Units],tblData[Scenario],"Actual",tblData[Year],selFY,tblData[Month],"&gt;="&amp;mFrom,tblData[Month],"&lt;="&amp;MIN(mTo,mSel),tblData[Channel],$A459,tblData[Brand],$B459)+SUMIFS(tblData[Units],tblData[Scenario],"Forecast",tblData[Year],selFY,tblData[Month],"&gt;="&amp;MAX(mFrom,mSel+1),tblData[Month],"&lt;="&amp;mTo,tblData[Channel],$A459,tblData[Brand],$B459))</f>
        <v>1415</v>
      </c>
      <c r="D459" s="79">
        <f>(SUMIFS(tblData[Gross Sales],tblData[Scenario],"Actual",tblData[Year],selFY,tblData[Month],"&gt;="&amp;mFrom,tblData[Month],"&lt;="&amp;MIN(mTo,mSel),tblData[Channel],$A459,tblData[Brand],$B459)+SUMIFS(tblData[Gross Sales],tblData[Scenario],"Forecast",tblData[Year],selFY,tblData[Month],"&gt;="&amp;MAX(mFrom,mSel+1),tblData[Month],"&lt;="&amp;mTo,tblData[Channel],$A459,tblData[Brand],$B459))/Unit</f>
        <v>19.77</v>
      </c>
      <c r="E459" s="79">
        <f>(SUMIFS(tblData[Net Revenue],tblData[Scenario],"Actual",tblData[Year],selFY,tblData[Month],"&gt;="&amp;mFrom,tblData[Month],"&lt;="&amp;MIN(mTo,mSel),tblData[Channel],$A459,tblData[Brand],$B459)+SUMIFS(tblData[Net Revenue],tblData[Scenario],"Forecast",tblData[Year],selFY,tblData[Month],"&gt;="&amp;MAX(mFrom,mSel+1),tblData[Month],"&lt;="&amp;mTo,tblData[Channel],$A459,tblData[Brand],$B459))/Unit</f>
        <v>14.986000000000001</v>
      </c>
      <c r="F459" s="79">
        <f>(SUMIFS(tblData[Contribution Margin],tblData[Scenario],"Actual",tblData[Year],selFY,tblData[Month],"&gt;="&amp;mFrom,tblData[Month],"&lt;="&amp;MIN(mTo,mSel),tblData[Channel],$A459,tblData[Brand],$B459)+SUMIFS(tblData[Contribution Margin],tblData[Scenario],"Forecast",tblData[Year],selFY,tblData[Month],"&gt;="&amp;MAX(mFrom,mSel+1),tblData[Month],"&lt;="&amp;mTo,tblData[Channel],$A459,tblData[Brand],$B459))/Unit</f>
        <v>6.1079999999999997</v>
      </c>
      <c r="G459" s="79">
        <f>SUMIFS(tblData[Units],tblData[Scenario],"Budget",tblData[Year],selFY,tblData[Month],"&gt;="&amp;mFrom,tblData[Month],"&lt;="&amp;mTo,tblData[Channel],$A459,tblData[Brand],$B459)</f>
        <v>1411.2</v>
      </c>
      <c r="H459" s="79">
        <f>SUMIFS(tblData[Gross Sales],tblData[Scenario],"Budget",tblData[Year],selFY,tblData[Month],"&gt;="&amp;mFrom,tblData[Month],"&lt;="&amp;mTo,tblData[Channel],$A459,tblData[Brand],$B459)/Unit</f>
        <v>19.757000000000001</v>
      </c>
      <c r="I459" s="79">
        <f>SUMIFS(tblData[Net Revenue],tblData[Scenario],"Budget",tblData[Year],selFY,tblData[Month],"&gt;="&amp;mFrom,tblData[Month],"&lt;="&amp;mTo,tblData[Channel],$A459,tblData[Brand],$B459)/Unit</f>
        <v>15.212</v>
      </c>
      <c r="J459" s="79">
        <f>SUMIFS(tblData[Contribution Margin],tblData[Scenario],"Budget",tblData[Year],selFY,tblData[Month],"&gt;="&amp;mFrom,tblData[Month],"&lt;="&amp;mTo,tblData[Channel],$A459,tblData[Brand],$B459)/Unit</f>
        <v>6.4169999999999998</v>
      </c>
      <c r="K459" s="79">
        <f t="shared" si="176"/>
        <v>-0.10616235419816916</v>
      </c>
      <c r="L459" s="79">
        <f t="shared" si="177"/>
        <v>0.14712437233875827</v>
      </c>
      <c r="M459" s="79">
        <f t="shared" si="178"/>
        <v>-4.0200538548754744E-2</v>
      </c>
      <c r="N459" s="79">
        <f t="shared" si="179"/>
        <v>-0.22676147959183368</v>
      </c>
    </row>
    <row r="460" spans="1:14" x14ac:dyDescent="0.25">
      <c r="A460" s="77" t="str">
        <f t="shared" si="181"/>
        <v>Discounters</v>
      </c>
      <c r="B460" s="77" t="str">
        <f>INDEX(lstBrand,2)</f>
        <v>Novara</v>
      </c>
      <c r="C460" s="79">
        <f>(SUMIFS(tblData[Units],tblData[Scenario],"Actual",tblData[Year],selFY,tblData[Month],"&gt;="&amp;mFrom,tblData[Month],"&lt;="&amp;MIN(mTo,mSel),tblData[Channel],$A460,tblData[Brand],$B460)+SUMIFS(tblData[Units],tblData[Scenario],"Forecast",tblData[Year],selFY,tblData[Month],"&gt;="&amp;MAX(mFrom,mSel+1),tblData[Month],"&lt;="&amp;mTo,tblData[Channel],$A460,tblData[Brand],$B460))</f>
        <v>1831.5</v>
      </c>
      <c r="D460" s="79">
        <f>(SUMIFS(tblData[Gross Sales],tblData[Scenario],"Actual",tblData[Year],selFY,tblData[Month],"&gt;="&amp;mFrom,tblData[Month],"&lt;="&amp;MIN(mTo,mSel),tblData[Channel],$A460,tblData[Brand],$B460)+SUMIFS(tblData[Gross Sales],tblData[Scenario],"Forecast",tblData[Year],selFY,tblData[Month],"&gt;="&amp;MAX(mFrom,mSel+1),tblData[Month],"&lt;="&amp;mTo,tblData[Channel],$A460,tblData[Brand],$B460))/Unit</f>
        <v>16.382999999999999</v>
      </c>
      <c r="E460" s="79">
        <f>(SUMIFS(tblData[Net Revenue],tblData[Scenario],"Actual",tblData[Year],selFY,tblData[Month],"&gt;="&amp;mFrom,tblData[Month],"&lt;="&amp;MIN(mTo,mSel),tblData[Channel],$A460,tblData[Brand],$B460)+SUMIFS(tblData[Net Revenue],tblData[Scenario],"Forecast",tblData[Year],selFY,tblData[Month],"&gt;="&amp;MAX(mFrom,mSel+1),tblData[Month],"&lt;="&amp;mTo,tblData[Channel],$A460,tblData[Brand],$B460))/Unit</f>
        <v>12.417999999999999</v>
      </c>
      <c r="F460" s="79">
        <f>(SUMIFS(tblData[Contribution Margin],tblData[Scenario],"Actual",tblData[Year],selFY,tblData[Month],"&gt;="&amp;mFrom,tblData[Month],"&lt;="&amp;MIN(mTo,mSel),tblData[Channel],$A460,tblData[Brand],$B460)+SUMIFS(tblData[Contribution Margin],tblData[Scenario],"Forecast",tblData[Year],selFY,tblData[Month],"&gt;="&amp;MAX(mFrom,mSel+1),tblData[Month],"&lt;="&amp;mTo,tblData[Channel],$A460,tblData[Brand],$B460))/Unit</f>
        <v>4.492</v>
      </c>
      <c r="G460" s="79">
        <f>SUMIFS(tblData[Units],tblData[Scenario],"Budget",tblData[Year],selFY,tblData[Month],"&gt;="&amp;mFrom,tblData[Month],"&lt;="&amp;mTo,tblData[Channel],$A460,tblData[Brand],$B460)</f>
        <v>1881.8000000000004</v>
      </c>
      <c r="H460" s="79">
        <f>SUMIFS(tblData[Gross Sales],tblData[Scenario],"Budget",tblData[Year],selFY,tblData[Month],"&gt;="&amp;mFrom,tblData[Month],"&lt;="&amp;mTo,tblData[Channel],$A460,tblData[Brand],$B460)/Unit</f>
        <v>16.933</v>
      </c>
      <c r="I460" s="79">
        <f>SUMIFS(tblData[Net Revenue],tblData[Scenario],"Budget",tblData[Year],selFY,tblData[Month],"&gt;="&amp;mFrom,tblData[Month],"&lt;="&amp;mTo,tblData[Channel],$A460,tblData[Brand],$B460)/Unit</f>
        <v>13.038</v>
      </c>
      <c r="J460" s="79">
        <f>SUMIFS(tblData[Contribution Margin],tblData[Scenario],"Budget",tblData[Year],selFY,tblData[Month],"&gt;="&amp;mFrom,tblData[Month],"&lt;="&amp;mTo,tblData[Channel],$A460,tblData[Brand],$B460)/Unit</f>
        <v>4.9950000000000001</v>
      </c>
      <c r="K460" s="79">
        <f t="shared" si="176"/>
        <v>-9.0990321722043757E-2</v>
      </c>
      <c r="L460" s="79">
        <f t="shared" si="177"/>
        <v>-0.25751185704297092</v>
      </c>
      <c r="M460" s="79">
        <f t="shared" si="178"/>
        <v>-9.7385535125941461E-2</v>
      </c>
      <c r="N460" s="79">
        <f t="shared" si="179"/>
        <v>-0.17411228610904553</v>
      </c>
    </row>
    <row r="461" spans="1:14" x14ac:dyDescent="0.25">
      <c r="A461" s="77" t="str">
        <f t="shared" si="181"/>
        <v>Discounters</v>
      </c>
      <c r="B461" s="77" t="str">
        <f>INDEX(lstBrand,3)</f>
        <v>Kestrel</v>
      </c>
      <c r="C461" s="79">
        <f>(SUMIFS(tblData[Units],tblData[Scenario],"Actual",tblData[Year],selFY,tblData[Month],"&gt;="&amp;mFrom,tblData[Month],"&lt;="&amp;MIN(mTo,mSel),tblData[Channel],$A461,tblData[Brand],$B461)+SUMIFS(tblData[Units],tblData[Scenario],"Forecast",tblData[Year],selFY,tblData[Month],"&gt;="&amp;MAX(mFrom,mSel+1),tblData[Month],"&lt;="&amp;mTo,tblData[Channel],$A461,tblData[Brand],$B461))</f>
        <v>1747.5</v>
      </c>
      <c r="D461" s="79">
        <f>(SUMIFS(tblData[Gross Sales],tblData[Scenario],"Actual",tblData[Year],selFY,tblData[Month],"&gt;="&amp;mFrom,tblData[Month],"&lt;="&amp;MIN(mTo,mSel),tblData[Channel],$A461,tblData[Brand],$B461)+SUMIFS(tblData[Gross Sales],tblData[Scenario],"Forecast",tblData[Year],selFY,tblData[Month],"&gt;="&amp;MAX(mFrom,mSel+1),tblData[Month],"&lt;="&amp;mTo,tblData[Channel],$A461,tblData[Brand],$B461))/Unit</f>
        <v>12.135999999999999</v>
      </c>
      <c r="E461" s="79">
        <f>(SUMIFS(tblData[Net Revenue],tblData[Scenario],"Actual",tblData[Year],selFY,tblData[Month],"&gt;="&amp;mFrom,tblData[Month],"&lt;="&amp;MIN(mTo,mSel),tblData[Channel],$A461,tblData[Brand],$B461)+SUMIFS(tblData[Net Revenue],tblData[Scenario],"Forecast",tblData[Year],selFY,tblData[Month],"&gt;="&amp;MAX(mFrom,mSel+1),tblData[Month],"&lt;="&amp;mTo,tblData[Channel],$A461,tblData[Brand],$B461))/Unit</f>
        <v>9.1980000000000004</v>
      </c>
      <c r="F461" s="79">
        <f>(SUMIFS(tblData[Contribution Margin],tblData[Scenario],"Actual",tblData[Year],selFY,tblData[Month],"&gt;="&amp;mFrom,tblData[Month],"&lt;="&amp;MIN(mTo,mSel),tblData[Channel],$A461,tblData[Brand],$B461)+SUMIFS(tblData[Contribution Margin],tblData[Scenario],"Forecast",tblData[Year],selFY,tblData[Month],"&gt;="&amp;MAX(mFrom,mSel+1),tblData[Month],"&lt;="&amp;mTo,tblData[Channel],$A461,tblData[Brand],$B461))/Unit</f>
        <v>3.0659999999999998</v>
      </c>
      <c r="G461" s="79">
        <f>SUMIFS(tblData[Units],tblData[Scenario],"Budget",tblData[Year],selFY,tblData[Month],"&gt;="&amp;mFrom,tblData[Month],"&lt;="&amp;mTo,tblData[Channel],$A461,tblData[Brand],$B461)</f>
        <v>1814.3999999999999</v>
      </c>
      <c r="H461" s="79">
        <f>SUMIFS(tblData[Gross Sales],tblData[Scenario],"Budget",tblData[Year],selFY,tblData[Month],"&gt;="&amp;mFrom,tblData[Month],"&lt;="&amp;mTo,tblData[Channel],$A461,tblData[Brand],$B461)/Unit</f>
        <v>12.702</v>
      </c>
      <c r="I461" s="79">
        <f>SUMIFS(tblData[Net Revenue],tblData[Scenario],"Budget",tblData[Year],selFY,tblData[Month],"&gt;="&amp;mFrom,tblData[Month],"&lt;="&amp;mTo,tblData[Channel],$A461,tblData[Brand],$B461)/Unit</f>
        <v>9.7829999999999995</v>
      </c>
      <c r="J461" s="79">
        <f>SUMIFS(tblData[Contribution Margin],tblData[Scenario],"Budget",tblData[Year],selFY,tblData[Month],"&gt;="&amp;mFrom,tblData[Month],"&lt;="&amp;mTo,tblData[Channel],$A461,tblData[Brand],$B461)/Unit</f>
        <v>3.4969999999999999</v>
      </c>
      <c r="K461" s="79">
        <f t="shared" si="176"/>
        <v>-6.8274146142564343E-2</v>
      </c>
      <c r="L461" s="79">
        <f t="shared" si="177"/>
        <v>-0.29244162766695925</v>
      </c>
      <c r="M461" s="79">
        <f t="shared" si="178"/>
        <v>-9.765575396825546E-2</v>
      </c>
      <c r="N461" s="79">
        <f t="shared" si="179"/>
        <v>-0.1266284722222204</v>
      </c>
    </row>
    <row r="462" spans="1:14" x14ac:dyDescent="0.25">
      <c r="A462" s="77" t="str">
        <f t="shared" si="181"/>
        <v>Discounters</v>
      </c>
      <c r="B462" s="77" t="str">
        <f>INDEX(lstBrand,4)</f>
        <v>Lumio</v>
      </c>
      <c r="C462" s="79">
        <f>(SUMIFS(tblData[Units],tblData[Scenario],"Actual",tblData[Year],selFY,tblData[Month],"&gt;="&amp;mFrom,tblData[Month],"&lt;="&amp;MIN(mTo,mSel),tblData[Channel],$A462,tblData[Brand],$B462)+SUMIFS(tblData[Units],tblData[Scenario],"Forecast",tblData[Year],selFY,tblData[Month],"&gt;="&amp;MAX(mFrom,mSel+1),tblData[Month],"&lt;="&amp;mTo,tblData[Channel],$A462,tblData[Brand],$B462))</f>
        <v>877.09999999999991</v>
      </c>
      <c r="D462" s="79">
        <f>(SUMIFS(tblData[Gross Sales],tblData[Scenario],"Actual",tblData[Year],selFY,tblData[Month],"&gt;="&amp;mFrom,tblData[Month],"&lt;="&amp;MIN(mTo,mSel),tblData[Channel],$A462,tblData[Brand],$B462)+SUMIFS(tblData[Gross Sales],tblData[Scenario],"Forecast",tblData[Year],selFY,tblData[Month],"&gt;="&amp;MAX(mFrom,mSel+1),tblData[Month],"&lt;="&amp;mTo,tblData[Channel],$A462,tblData[Brand],$B462))/Unit</f>
        <v>9.6010000000000009</v>
      </c>
      <c r="E462" s="79">
        <f>(SUMIFS(tblData[Net Revenue],tblData[Scenario],"Actual",tblData[Year],selFY,tblData[Month],"&gt;="&amp;mFrom,tblData[Month],"&lt;="&amp;MIN(mTo,mSel),tblData[Channel],$A462,tblData[Brand],$B462)+SUMIFS(tblData[Net Revenue],tblData[Scenario],"Forecast",tblData[Year],selFY,tblData[Month],"&gt;="&amp;MAX(mFrom,mSel+1),tblData[Month],"&lt;="&amp;mTo,tblData[Channel],$A462,tblData[Brand],$B462))/Unit</f>
        <v>7.28</v>
      </c>
      <c r="F462" s="79">
        <f>(SUMIFS(tblData[Contribution Margin],tblData[Scenario],"Actual",tblData[Year],selFY,tblData[Month],"&gt;="&amp;mFrom,tblData[Month],"&lt;="&amp;MIN(mTo,mSel),tblData[Channel],$A462,tblData[Brand],$B462)+SUMIFS(tblData[Contribution Margin],tblData[Scenario],"Forecast",tblData[Year],selFY,tblData[Month],"&gt;="&amp;MAX(mFrom,mSel+1),tblData[Month],"&lt;="&amp;mTo,tblData[Channel],$A462,tblData[Brand],$B462))/Unit</f>
        <v>2.4550000000000001</v>
      </c>
      <c r="G462" s="79">
        <f>SUMIFS(tblData[Units],tblData[Scenario],"Budget",tblData[Year],selFY,tblData[Month],"&gt;="&amp;mFrom,tblData[Month],"&lt;="&amp;mTo,tblData[Channel],$A462,tblData[Brand],$B462)</f>
        <v>897.9</v>
      </c>
      <c r="H462" s="79">
        <f>SUMIFS(tblData[Gross Sales],tblData[Scenario],"Budget",tblData[Year],selFY,tblData[Month],"&gt;="&amp;mFrom,tblData[Month],"&lt;="&amp;mTo,tblData[Channel],$A462,tblData[Brand],$B462)/Unit</f>
        <v>9.8789999999999996</v>
      </c>
      <c r="I462" s="79">
        <f>SUMIFS(tblData[Net Revenue],tblData[Scenario],"Budget",tblData[Year],selFY,tblData[Month],"&gt;="&amp;mFrom,tblData[Month],"&lt;="&amp;mTo,tblData[Channel],$A462,tblData[Brand],$B462)/Unit</f>
        <v>7.609</v>
      </c>
      <c r="J462" s="79">
        <f>SUMIFS(tblData[Contribution Margin],tblData[Scenario],"Budget",tblData[Year],selFY,tblData[Month],"&gt;="&amp;mFrom,tblData[Month],"&lt;="&amp;mTo,tblData[Channel],$A462,tblData[Brand],$B462)/Unit</f>
        <v>2.7160000000000002</v>
      </c>
      <c r="K462" s="79">
        <f t="shared" si="176"/>
        <v>-5.3102113666438931E-2</v>
      </c>
      <c r="L462" s="79">
        <f t="shared" si="177"/>
        <v>-0.12316161280644276</v>
      </c>
      <c r="M462" s="79">
        <f t="shared" si="178"/>
        <v>-4.9151353157366393E-2</v>
      </c>
      <c r="N462" s="79">
        <f t="shared" si="179"/>
        <v>-0.10358492036975273</v>
      </c>
    </row>
    <row r="463" spans="1:14" x14ac:dyDescent="0.25">
      <c r="A463" s="77" t="str">
        <f t="shared" si="181"/>
        <v>Discounters</v>
      </c>
      <c r="B463" s="77" t="str">
        <f>INDEX(lstBrand,5)</f>
        <v>Everwood</v>
      </c>
      <c r="C463" s="79">
        <f>(SUMIFS(tblData[Units],tblData[Scenario],"Actual",tblData[Year],selFY,tblData[Month],"&gt;="&amp;mFrom,tblData[Month],"&lt;="&amp;MIN(mTo,mSel),tblData[Channel],$A463,tblData[Brand],$B463)+SUMIFS(tblData[Units],tblData[Scenario],"Forecast",tblData[Year],selFY,tblData[Month],"&gt;="&amp;MAX(mFrom,mSel+1),tblData[Month],"&lt;="&amp;mTo,tblData[Channel],$A463,tblData[Brand],$B463))</f>
        <v>1060.0000000000002</v>
      </c>
      <c r="D463" s="79">
        <f>(SUMIFS(tblData[Gross Sales],tblData[Scenario],"Actual",tblData[Year],selFY,tblData[Month],"&gt;="&amp;mFrom,tblData[Month],"&lt;="&amp;MIN(mTo,mSel),tblData[Channel],$A463,tblData[Brand],$B463)+SUMIFS(tblData[Gross Sales],tblData[Scenario],"Forecast",tblData[Year],selFY,tblData[Month],"&gt;="&amp;MAX(mFrom,mSel+1),tblData[Month],"&lt;="&amp;mTo,tblData[Channel],$A463,tblData[Brand],$B463))/Unit</f>
        <v>6.2850000000000001</v>
      </c>
      <c r="E463" s="79">
        <f>(SUMIFS(tblData[Net Revenue],tblData[Scenario],"Actual",tblData[Year],selFY,tblData[Month],"&gt;="&amp;mFrom,tblData[Month],"&lt;="&amp;MIN(mTo,mSel),tblData[Channel],$A463,tblData[Brand],$B463)+SUMIFS(tblData[Net Revenue],tblData[Scenario],"Forecast",tblData[Year],selFY,tblData[Month],"&gt;="&amp;MAX(mFrom,mSel+1),tblData[Month],"&lt;="&amp;mTo,tblData[Channel],$A463,tblData[Brand],$B463))/Unit</f>
        <v>4.766</v>
      </c>
      <c r="F463" s="79">
        <f>(SUMIFS(tblData[Contribution Margin],tblData[Scenario],"Actual",tblData[Year],selFY,tblData[Month],"&gt;="&amp;mFrom,tblData[Month],"&lt;="&amp;MIN(mTo,mSel),tblData[Channel],$A463,tblData[Brand],$B463)+SUMIFS(tblData[Contribution Margin],tblData[Scenario],"Forecast",tblData[Year],selFY,tblData[Month],"&gt;="&amp;MAX(mFrom,mSel+1),tblData[Month],"&lt;="&amp;mTo,tblData[Channel],$A463,tblData[Brand],$B463))/Unit</f>
        <v>1.383</v>
      </c>
      <c r="G463" s="79">
        <f>SUMIFS(tblData[Units],tblData[Scenario],"Budget",tblData[Year],selFY,tblData[Month],"&gt;="&amp;mFrom,tblData[Month],"&lt;="&amp;mTo,tblData[Channel],$A463,tblData[Brand],$B463)</f>
        <v>1176</v>
      </c>
      <c r="H463" s="79">
        <f>SUMIFS(tblData[Gross Sales],tblData[Scenario],"Budget",tblData[Year],selFY,tblData[Month],"&gt;="&amp;mFrom,tblData[Month],"&lt;="&amp;mTo,tblData[Channel],$A463,tblData[Brand],$B463)/Unit</f>
        <v>7.056</v>
      </c>
      <c r="I463" s="79">
        <f>SUMIFS(tblData[Net Revenue],tblData[Scenario],"Budget",tblData[Year],selFY,tblData[Month],"&gt;="&amp;mFrom,tblData[Month],"&lt;="&amp;mTo,tblData[Channel],$A463,tblData[Brand],$B463)/Unit</f>
        <v>5.4340000000000002</v>
      </c>
      <c r="J463" s="79">
        <f>SUMIFS(tblData[Contribution Margin],tblData[Scenario],"Budget",tblData[Year],selFY,tblData[Month],"&gt;="&amp;mFrom,tblData[Month],"&lt;="&amp;mTo,tblData[Channel],$A463,tblData[Brand],$B463)/Unit</f>
        <v>1.7350000000000001</v>
      </c>
      <c r="K463" s="79">
        <f t="shared" si="176"/>
        <v>-3.7923102334528738E-2</v>
      </c>
      <c r="L463" s="79">
        <f t="shared" si="177"/>
        <v>-0.4980837003865588</v>
      </c>
      <c r="M463" s="79">
        <f t="shared" si="178"/>
        <v>-7.5000000000001468E-2</v>
      </c>
      <c r="N463" s="79">
        <f t="shared" si="179"/>
        <v>-5.6993197278911507E-2</v>
      </c>
    </row>
    <row r="464" spans="1:14" x14ac:dyDescent="0.25">
      <c r="A464" s="77" t="str">
        <f t="shared" si="181"/>
        <v>Discounters</v>
      </c>
      <c r="B464" s="77" t="str">
        <f>INDEX(lstBrand,6)</f>
        <v>Tindra</v>
      </c>
      <c r="C464" s="79">
        <f>(SUMIFS(tblData[Units],tblData[Scenario],"Actual",tblData[Year],selFY,tblData[Month],"&gt;="&amp;mFrom,tblData[Month],"&lt;="&amp;MIN(mTo,mSel),tblData[Channel],$A464,tblData[Brand],$B464)+SUMIFS(tblData[Units],tblData[Scenario],"Forecast",tblData[Year],selFY,tblData[Month],"&gt;="&amp;MAX(mFrom,mSel+1),tblData[Month],"&lt;="&amp;mTo,tblData[Channel],$A464,tblData[Brand],$B464))</f>
        <v>200.7</v>
      </c>
      <c r="D464" s="79">
        <f>(SUMIFS(tblData[Gross Sales],tblData[Scenario],"Actual",tblData[Year],selFY,tblData[Month],"&gt;="&amp;mFrom,tblData[Month],"&lt;="&amp;MIN(mTo,mSel),tblData[Channel],$A464,tblData[Brand],$B464)+SUMIFS(tblData[Gross Sales],tblData[Scenario],"Forecast",tblData[Year],selFY,tblData[Month],"&gt;="&amp;MAX(mFrom,mSel+1),tblData[Month],"&lt;="&amp;mTo,tblData[Channel],$A464,tblData[Brand],$B464))/Unit</f>
        <v>3.5840000000000001</v>
      </c>
      <c r="E464" s="79">
        <f>(SUMIFS(tblData[Net Revenue],tblData[Scenario],"Actual",tblData[Year],selFY,tblData[Month],"&gt;="&amp;mFrom,tblData[Month],"&lt;="&amp;MIN(mTo,mSel),tblData[Channel],$A464,tblData[Brand],$B464)+SUMIFS(tblData[Net Revenue],tblData[Scenario],"Forecast",tblData[Year],selFY,tblData[Month],"&gt;="&amp;MAX(mFrom,mSel+1),tblData[Month],"&lt;="&amp;mTo,tblData[Channel],$A464,tblData[Brand],$B464))/Unit</f>
        <v>2.7149999999999999</v>
      </c>
      <c r="F464" s="79">
        <f>(SUMIFS(tblData[Contribution Margin],tblData[Scenario],"Actual",tblData[Year],selFY,tblData[Month],"&gt;="&amp;mFrom,tblData[Month],"&lt;="&amp;MIN(mTo,mSel),tblData[Channel],$A464,tblData[Brand],$B464)+SUMIFS(tblData[Contribution Margin],tblData[Scenario],"Forecast",tblData[Year],selFY,tblData[Month],"&gt;="&amp;MAX(mFrom,mSel+1),tblData[Month],"&lt;="&amp;mTo,tblData[Channel],$A464,tblData[Brand],$B464))/Unit</f>
        <v>0.55200000000000005</v>
      </c>
      <c r="G464" s="79">
        <f>SUMIFS(tblData[Units],tblData[Scenario],"Budget",tblData[Year],selFY,tblData[Month],"&gt;="&amp;mFrom,tblData[Month],"&lt;="&amp;mTo,tblData[Channel],$A464,tblData[Brand],$B464)</f>
        <v>235.1</v>
      </c>
      <c r="H464" s="79">
        <f>SUMIFS(tblData[Gross Sales],tblData[Scenario],"Budget",tblData[Year],selFY,tblData[Month],"&gt;="&amp;mFrom,tblData[Month],"&lt;="&amp;mTo,tblData[Channel],$A464,tblData[Brand],$B464)/Unit</f>
        <v>4.2329999999999997</v>
      </c>
      <c r="I464" s="79">
        <f>SUMIFS(tblData[Net Revenue],tblData[Scenario],"Budget",tblData[Year],selFY,tblData[Month],"&gt;="&amp;mFrom,tblData[Month],"&lt;="&amp;mTo,tblData[Channel],$A464,tblData[Brand],$B464)/Unit</f>
        <v>3.262</v>
      </c>
      <c r="J464" s="79">
        <f>SUMIFS(tblData[Contribution Margin],tblData[Scenario],"Budget",tblData[Year],selFY,tblData[Month],"&gt;="&amp;mFrom,tblData[Month],"&lt;="&amp;mTo,tblData[Channel],$A464,tblData[Brand],$B464)/Unit</f>
        <v>0.82699999999999996</v>
      </c>
      <c r="K464" s="79">
        <f t="shared" si="176"/>
        <v>-2.2765027569972899E-2</v>
      </c>
      <c r="L464" s="79">
        <f t="shared" si="177"/>
        <v>-0.4545331434210948</v>
      </c>
      <c r="M464" s="79">
        <f t="shared" si="178"/>
        <v>-2.9624415142492196E-2</v>
      </c>
      <c r="N464" s="79">
        <f t="shared" si="179"/>
        <v>-4.0077413866440405E-2</v>
      </c>
    </row>
    <row r="465" spans="1:14" x14ac:dyDescent="0.25">
      <c r="A465" s="77" t="str">
        <f t="shared" ref="A465:A470" si="182">INDEX(lstChannel,4)</f>
        <v>Marketplaces</v>
      </c>
      <c r="B465" s="77" t="str">
        <f>INDEX(lstBrand,1)</f>
        <v>Aurelia</v>
      </c>
      <c r="C465" s="79">
        <f>(SUMIFS(tblData[Units],tblData[Scenario],"Actual",tblData[Year],selFY,tblData[Month],"&gt;="&amp;mFrom,tblData[Month],"&lt;="&amp;MIN(mTo,mSel),tblData[Channel],$A465,tblData[Brand],$B465)+SUMIFS(tblData[Units],tblData[Scenario],"Forecast",tblData[Year],selFY,tblData[Month],"&gt;="&amp;MAX(mFrom,mSel+1),tblData[Month],"&lt;="&amp;mTo,tblData[Channel],$A465,tblData[Brand],$B465))</f>
        <v>1802.8999999999996</v>
      </c>
      <c r="D465" s="79">
        <f>(SUMIFS(tblData[Gross Sales],tblData[Scenario],"Actual",tblData[Year],selFY,tblData[Month],"&gt;="&amp;mFrom,tblData[Month],"&lt;="&amp;MIN(mTo,mSel),tblData[Channel],$A465,tblData[Brand],$B465)+SUMIFS(tblData[Gross Sales],tblData[Scenario],"Forecast",tblData[Year],selFY,tblData[Month],"&gt;="&amp;MAX(mFrom,mSel+1),tblData[Month],"&lt;="&amp;mTo,tblData[Channel],$A465,tblData[Brand],$B465))/Unit</f>
        <v>25.443000000000001</v>
      </c>
      <c r="E465" s="79">
        <f>(SUMIFS(tblData[Net Revenue],tblData[Scenario],"Actual",tblData[Year],selFY,tblData[Month],"&gt;="&amp;mFrom,tblData[Month],"&lt;="&amp;MIN(mTo,mSel),tblData[Channel],$A465,tblData[Brand],$B465)+SUMIFS(tblData[Net Revenue],tblData[Scenario],"Forecast",tblData[Year],selFY,tblData[Month],"&gt;="&amp;MAX(mFrom,mSel+1),tblData[Month],"&lt;="&amp;mTo,tblData[Channel],$A465,tblData[Brand],$B465))/Unit</f>
        <v>21.678000000000001</v>
      </c>
      <c r="F465" s="79">
        <f>(SUMIFS(tblData[Contribution Margin],tblData[Scenario],"Actual",tblData[Year],selFY,tblData[Month],"&gt;="&amp;mFrom,tblData[Month],"&lt;="&amp;MIN(mTo,mSel),tblData[Channel],$A465,tblData[Brand],$B465)+SUMIFS(tblData[Contribution Margin],tblData[Scenario],"Forecast",tblData[Year],selFY,tblData[Month],"&gt;="&amp;MAX(mFrom,mSel+1),tblData[Month],"&lt;="&amp;mTo,tblData[Channel],$A465,tblData[Brand],$B465))/Unit</f>
        <v>9.4420000000000002</v>
      </c>
      <c r="G465" s="79">
        <f>SUMIFS(tblData[Units],tblData[Scenario],"Budget",tblData[Year],selFY,tblData[Month],"&gt;="&amp;mFrom,tblData[Month],"&lt;="&amp;mTo,tblData[Channel],$A465,tblData[Brand],$B465)</f>
        <v>1612.7999999999997</v>
      </c>
      <c r="H465" s="79">
        <f>SUMIFS(tblData[Gross Sales],tblData[Scenario],"Budget",tblData[Year],selFY,tblData[Month],"&gt;="&amp;mFrom,tblData[Month],"&lt;="&amp;mTo,tblData[Channel],$A465,tblData[Brand],$B465)/Unit</f>
        <v>22.577999999999999</v>
      </c>
      <c r="I465" s="79">
        <f>SUMIFS(tblData[Net Revenue],tblData[Scenario],"Budget",tblData[Year],selFY,tblData[Month],"&gt;="&amp;mFrom,tblData[Month],"&lt;="&amp;mTo,tblData[Channel],$A465,tblData[Brand],$B465)/Unit</f>
        <v>19.190000000000001</v>
      </c>
      <c r="J465" s="79">
        <f>SUMIFS(tblData[Contribution Margin],tblData[Scenario],"Budget",tblData[Year],selFY,tblData[Month],"&gt;="&amp;mFrom,tblData[Month],"&lt;="&amp;mTo,tblData[Channel],$A465,tblData[Brand],$B465)/Unit</f>
        <v>8.24</v>
      </c>
      <c r="K465" s="79">
        <f t="shared" si="176"/>
        <v>-0.13392424251004909</v>
      </c>
      <c r="L465" s="79">
        <f t="shared" si="177"/>
        <v>2.3958407851687795</v>
      </c>
      <c r="M465" s="79">
        <f t="shared" si="178"/>
        <v>0.20374144345238515</v>
      </c>
      <c r="N465" s="79">
        <f t="shared" si="179"/>
        <v>2.2342013888885882E-2</v>
      </c>
    </row>
    <row r="466" spans="1:14" x14ac:dyDescent="0.25">
      <c r="A466" s="77" t="str">
        <f t="shared" si="182"/>
        <v>Marketplaces</v>
      </c>
      <c r="B466" s="77" t="str">
        <f>INDEX(lstBrand,2)</f>
        <v>Novara</v>
      </c>
      <c r="C466" s="79">
        <f>(SUMIFS(tblData[Units],tblData[Scenario],"Actual",tblData[Year],selFY,tblData[Month],"&gt;="&amp;mFrom,tblData[Month],"&lt;="&amp;MIN(mTo,mSel),tblData[Channel],$A466,tblData[Brand],$B466)+SUMIFS(tblData[Units],tblData[Scenario],"Forecast",tblData[Year],selFY,tblData[Month],"&gt;="&amp;MAX(mFrom,mSel+1),tblData[Month],"&lt;="&amp;mTo,tblData[Channel],$A466,tblData[Brand],$B466))</f>
        <v>2353.5</v>
      </c>
      <c r="D466" s="79">
        <f>(SUMIFS(tblData[Gross Sales],tblData[Scenario],"Actual",tblData[Year],selFY,tblData[Month],"&gt;="&amp;mFrom,tblData[Month],"&lt;="&amp;MIN(mTo,mSel),tblData[Channel],$A466,tblData[Brand],$B466)+SUMIFS(tblData[Gross Sales],tblData[Scenario],"Forecast",tblData[Year],selFY,tblData[Month],"&gt;="&amp;MAX(mFrom,mSel+1),tblData[Month],"&lt;="&amp;mTo,tblData[Channel],$A466,tblData[Brand],$B466))/Unit</f>
        <v>21.265000000000001</v>
      </c>
      <c r="E466" s="79">
        <f>(SUMIFS(tblData[Net Revenue],tblData[Scenario],"Actual",tblData[Year],selFY,tblData[Month],"&gt;="&amp;mFrom,tblData[Month],"&lt;="&amp;MIN(mTo,mSel),tblData[Channel],$A466,tblData[Brand],$B466)+SUMIFS(tblData[Net Revenue],tblData[Scenario],"Forecast",tblData[Year],selFY,tblData[Month],"&gt;="&amp;MAX(mFrom,mSel+1),tblData[Month],"&lt;="&amp;mTo,tblData[Channel],$A466,tblData[Brand],$B466))/Unit</f>
        <v>18.117999999999999</v>
      </c>
      <c r="F466" s="79">
        <f>(SUMIFS(tblData[Contribution Margin],tblData[Scenario],"Actual",tblData[Year],selFY,tblData[Month],"&gt;="&amp;mFrom,tblData[Month],"&lt;="&amp;MIN(mTo,mSel),tblData[Channel],$A466,tblData[Brand],$B466)+SUMIFS(tblData[Contribution Margin],tblData[Scenario],"Forecast",tblData[Year],selFY,tblData[Month],"&gt;="&amp;MAX(mFrom,mSel+1),tblData[Month],"&lt;="&amp;mTo,tblData[Channel],$A466,tblData[Brand],$B466))/Unit</f>
        <v>7.1070000000000002</v>
      </c>
      <c r="G466" s="79">
        <f>SUMIFS(tblData[Units],tblData[Scenario],"Budget",tblData[Year],selFY,tblData[Month],"&gt;="&amp;mFrom,tblData[Month],"&lt;="&amp;mTo,tblData[Channel],$A466,tblData[Brand],$B466)</f>
        <v>2150.3000000000002</v>
      </c>
      <c r="H466" s="79">
        <f>SUMIFS(tblData[Gross Sales],tblData[Scenario],"Budget",tblData[Year],selFY,tblData[Month],"&gt;="&amp;mFrom,tblData[Month],"&lt;="&amp;mTo,tblData[Channel],$A466,tblData[Brand],$B466)/Unit</f>
        <v>19.353999999999999</v>
      </c>
      <c r="I466" s="79">
        <f>SUMIFS(tblData[Net Revenue],tblData[Scenario],"Budget",tblData[Year],selFY,tblData[Month],"&gt;="&amp;mFrom,tblData[Month],"&lt;="&amp;mTo,tblData[Channel],$A466,tblData[Brand],$B466)/Unit</f>
        <v>16.451000000000001</v>
      </c>
      <c r="J466" s="79">
        <f>SUMIFS(tblData[Contribution Margin],tblData[Scenario],"Budget",tblData[Year],selFY,tblData[Month],"&gt;="&amp;mFrom,tblData[Month],"&lt;="&amp;mTo,tblData[Channel],$A466,tblData[Brand],$B466)/Unit</f>
        <v>6.4809999999999999</v>
      </c>
      <c r="K466" s="79">
        <f t="shared" si="176"/>
        <v>-0.1148091565155194</v>
      </c>
      <c r="L466" s="79">
        <f t="shared" si="177"/>
        <v>1.6694030271382216</v>
      </c>
      <c r="M466" s="79">
        <f t="shared" si="178"/>
        <v>8.207715202529825E-2</v>
      </c>
      <c r="N466" s="79">
        <f t="shared" si="179"/>
        <v>3.0328977351993445E-2</v>
      </c>
    </row>
    <row r="467" spans="1:14" x14ac:dyDescent="0.25">
      <c r="A467" s="77" t="str">
        <f t="shared" si="182"/>
        <v>Marketplaces</v>
      </c>
      <c r="B467" s="77" t="str">
        <f>INDEX(lstBrand,3)</f>
        <v>Kestrel</v>
      </c>
      <c r="C467" s="79">
        <f>(SUMIFS(tblData[Units],tblData[Scenario],"Actual",tblData[Year],selFY,tblData[Month],"&gt;="&amp;mFrom,tblData[Month],"&lt;="&amp;MIN(mTo,mSel),tblData[Channel],$A467,tblData[Brand],$B467)+SUMIFS(tblData[Units],tblData[Scenario],"Forecast",tblData[Year],selFY,tblData[Month],"&gt;="&amp;MAX(mFrom,mSel+1),tblData[Month],"&lt;="&amp;mTo,tblData[Channel],$A467,tblData[Brand],$B467))</f>
        <v>2215</v>
      </c>
      <c r="D467" s="79">
        <f>(SUMIFS(tblData[Gross Sales],tblData[Scenario],"Actual",tblData[Year],selFY,tblData[Month],"&gt;="&amp;mFrom,tblData[Month],"&lt;="&amp;MIN(mTo,mSel),tblData[Channel],$A467,tblData[Brand],$B467)+SUMIFS(tblData[Gross Sales],tblData[Scenario],"Forecast",tblData[Year],selFY,tblData[Month],"&gt;="&amp;MAX(mFrom,mSel+1),tblData[Month],"&lt;="&amp;mTo,tblData[Channel],$A467,tblData[Brand],$B467))/Unit</f>
        <v>15.535</v>
      </c>
      <c r="E467" s="79">
        <f>(SUMIFS(tblData[Net Revenue],tblData[Scenario],"Actual",tblData[Year],selFY,tblData[Month],"&gt;="&amp;mFrom,tblData[Month],"&lt;="&amp;MIN(mTo,mSel),tblData[Channel],$A467,tblData[Brand],$B467)+SUMIFS(tblData[Net Revenue],tblData[Scenario],"Forecast",tblData[Year],selFY,tblData[Month],"&gt;="&amp;MAX(mFrom,mSel+1),tblData[Month],"&lt;="&amp;mTo,tblData[Channel],$A467,tblData[Brand],$B467))/Unit</f>
        <v>13.236000000000001</v>
      </c>
      <c r="F467" s="79">
        <f>(SUMIFS(tblData[Contribution Margin],tblData[Scenario],"Actual",tblData[Year],selFY,tblData[Month],"&gt;="&amp;mFrom,tblData[Month],"&lt;="&amp;MIN(mTo,mSel),tblData[Channel],$A467,tblData[Brand],$B467)+SUMIFS(tblData[Contribution Margin],tblData[Scenario],"Forecast",tblData[Year],selFY,tblData[Month],"&gt;="&amp;MAX(mFrom,mSel+1),tblData[Month],"&lt;="&amp;mTo,tblData[Channel],$A467,tblData[Brand],$B467))/Unit</f>
        <v>4.8079999999999998</v>
      </c>
      <c r="G467" s="79">
        <f>SUMIFS(tblData[Units],tblData[Scenario],"Budget",tblData[Year],selFY,tblData[Month],"&gt;="&amp;mFrom,tblData[Month],"&lt;="&amp;mTo,tblData[Channel],$A467,tblData[Brand],$B467)</f>
        <v>2073.6999999999998</v>
      </c>
      <c r="H467" s="79">
        <f>SUMIFS(tblData[Gross Sales],tblData[Scenario],"Budget",tblData[Year],selFY,tblData[Month],"&gt;="&amp;mFrom,tblData[Month],"&lt;="&amp;mTo,tblData[Channel],$A467,tblData[Brand],$B467)/Unit</f>
        <v>14.516999999999999</v>
      </c>
      <c r="I467" s="79">
        <f>SUMIFS(tblData[Net Revenue],tblData[Scenario],"Budget",tblData[Year],selFY,tblData[Month],"&gt;="&amp;mFrom,tblData[Month],"&lt;="&amp;mTo,tblData[Channel],$A467,tblData[Brand],$B467)/Unit</f>
        <v>12.336</v>
      </c>
      <c r="J467" s="79">
        <f>SUMIFS(tblData[Contribution Margin],tblData[Scenario],"Budget",tblData[Year],selFY,tblData[Month],"&gt;="&amp;mFrom,tblData[Month],"&lt;="&amp;mTo,tblData[Channel],$A467,tblData[Brand],$B467)/Unit</f>
        <v>4.5679999999999996</v>
      </c>
      <c r="K467" s="79">
        <f t="shared" si="176"/>
        <v>-8.6091164961123762E-2</v>
      </c>
      <c r="L467" s="79">
        <f t="shared" si="177"/>
        <v>0.92665479518729144</v>
      </c>
      <c r="M467" s="79">
        <f t="shared" si="178"/>
        <v>2.8825047017408394E-2</v>
      </c>
      <c r="N467" s="79">
        <f t="shared" si="179"/>
        <v>3.0611322756425544E-2</v>
      </c>
    </row>
    <row r="468" spans="1:14" x14ac:dyDescent="0.25">
      <c r="A468" s="77" t="str">
        <f t="shared" si="182"/>
        <v>Marketplaces</v>
      </c>
      <c r="B468" s="77" t="str">
        <f>INDEX(lstBrand,4)</f>
        <v>Lumio</v>
      </c>
      <c r="C468" s="79">
        <f>(SUMIFS(tblData[Units],tblData[Scenario],"Actual",tblData[Year],selFY,tblData[Month],"&gt;="&amp;mFrom,tblData[Month],"&lt;="&amp;MIN(mTo,mSel),tblData[Channel],$A468,tblData[Brand],$B468)+SUMIFS(tblData[Units],tblData[Scenario],"Forecast",tblData[Year],selFY,tblData[Month],"&gt;="&amp;MAX(mFrom,mSel+1),tblData[Month],"&lt;="&amp;mTo,tblData[Channel],$A468,tblData[Brand],$B468))</f>
        <v>1124.8</v>
      </c>
      <c r="D468" s="79">
        <f>(SUMIFS(tblData[Gross Sales],tblData[Scenario],"Actual",tblData[Year],selFY,tblData[Month],"&gt;="&amp;mFrom,tblData[Month],"&lt;="&amp;MIN(mTo,mSel),tblData[Channel],$A468,tblData[Brand],$B468)+SUMIFS(tblData[Gross Sales],tblData[Scenario],"Forecast",tblData[Year],selFY,tblData[Month],"&gt;="&amp;MAX(mFrom,mSel+1),tblData[Month],"&lt;="&amp;mTo,tblData[Channel],$A468,tblData[Brand],$B468))/Unit</f>
        <v>12.435</v>
      </c>
      <c r="E468" s="79">
        <f>(SUMIFS(tblData[Net Revenue],tblData[Scenario],"Actual",tblData[Year],selFY,tblData[Month],"&gt;="&amp;mFrom,tblData[Month],"&lt;="&amp;MIN(mTo,mSel),tblData[Channel],$A468,tblData[Brand],$B468)+SUMIFS(tblData[Net Revenue],tblData[Scenario],"Forecast",tblData[Year],selFY,tblData[Month],"&gt;="&amp;MAX(mFrom,mSel+1),tblData[Month],"&lt;="&amp;mTo,tblData[Channel],$A468,tblData[Brand],$B468))/Unit</f>
        <v>10.595000000000001</v>
      </c>
      <c r="F468" s="79">
        <f>(SUMIFS(tblData[Contribution Margin],tblData[Scenario],"Actual",tblData[Year],selFY,tblData[Month],"&gt;="&amp;mFrom,tblData[Month],"&lt;="&amp;MIN(mTo,mSel),tblData[Channel],$A468,tblData[Brand],$B468)+SUMIFS(tblData[Contribution Margin],tblData[Scenario],"Forecast",tblData[Year],selFY,tblData[Month],"&gt;="&amp;MAX(mFrom,mSel+1),tblData[Month],"&lt;="&amp;mTo,tblData[Channel],$A468,tblData[Brand],$B468))/Unit</f>
        <v>3.996</v>
      </c>
      <c r="G468" s="79">
        <f>SUMIFS(tblData[Units],tblData[Scenario],"Budget",tblData[Year],selFY,tblData[Month],"&gt;="&amp;mFrom,tblData[Month],"&lt;="&amp;mTo,tblData[Channel],$A468,tblData[Brand],$B468)</f>
        <v>1026.3000000000002</v>
      </c>
      <c r="H468" s="79">
        <f>SUMIFS(tblData[Gross Sales],tblData[Scenario],"Budget",tblData[Year],selFY,tblData[Month],"&gt;="&amp;mFrom,tblData[Month],"&lt;="&amp;mTo,tblData[Channel],$A468,tblData[Brand],$B468)/Unit</f>
        <v>11.29</v>
      </c>
      <c r="I468" s="79">
        <f>SUMIFS(tblData[Net Revenue],tblData[Scenario],"Budget",tblData[Year],selFY,tblData[Month],"&gt;="&amp;mFrom,tblData[Month],"&lt;="&amp;mTo,tblData[Channel],$A468,tblData[Brand],$B468)/Unit</f>
        <v>9.5990000000000002</v>
      </c>
      <c r="J468" s="79">
        <f>SUMIFS(tblData[Contribution Margin],tblData[Scenario],"Budget",tblData[Year],selFY,tblData[Month],"&gt;="&amp;mFrom,tblData[Month],"&lt;="&amp;mTo,tblData[Channel],$A468,tblData[Brand],$B468)/Unit</f>
        <v>3.556</v>
      </c>
      <c r="K468" s="79">
        <f t="shared" si="176"/>
        <v>-6.6990036678163681E-2</v>
      </c>
      <c r="L468" s="79">
        <f t="shared" si="177"/>
        <v>0.98826208188911269</v>
      </c>
      <c r="M468" s="79">
        <f t="shared" si="178"/>
        <v>6.1432816915136017E-2</v>
      </c>
      <c r="N468" s="79">
        <f t="shared" si="179"/>
        <v>1.329513787391445E-2</v>
      </c>
    </row>
    <row r="469" spans="1:14" x14ac:dyDescent="0.25">
      <c r="A469" s="77" t="str">
        <f t="shared" si="182"/>
        <v>Marketplaces</v>
      </c>
      <c r="B469" s="77" t="str">
        <f>INDEX(lstBrand,5)</f>
        <v>Everwood</v>
      </c>
      <c r="C469" s="79">
        <f>(SUMIFS(tblData[Units],tblData[Scenario],"Actual",tblData[Year],selFY,tblData[Month],"&gt;="&amp;mFrom,tblData[Month],"&lt;="&amp;MIN(mTo,mSel),tblData[Channel],$A469,tblData[Brand],$B469)+SUMIFS(tblData[Units],tblData[Scenario],"Forecast",tblData[Year],selFY,tblData[Month],"&gt;="&amp;MAX(mFrom,mSel+1),tblData[Month],"&lt;="&amp;mTo,tblData[Channel],$A469,tblData[Brand],$B469))</f>
        <v>1346.7</v>
      </c>
      <c r="D469" s="79">
        <f>(SUMIFS(tblData[Gross Sales],tblData[Scenario],"Actual",tblData[Year],selFY,tblData[Month],"&gt;="&amp;mFrom,tblData[Month],"&lt;="&amp;MIN(mTo,mSel),tblData[Channel],$A469,tblData[Brand],$B469)+SUMIFS(tblData[Gross Sales],tblData[Scenario],"Forecast",tblData[Year],selFY,tblData[Month],"&gt;="&amp;MAX(mFrom,mSel+1),tblData[Month],"&lt;="&amp;mTo,tblData[Channel],$A469,tblData[Brand],$B469))/Unit</f>
        <v>8.0640000000000001</v>
      </c>
      <c r="E469" s="79">
        <f>(SUMIFS(tblData[Net Revenue],tblData[Scenario],"Actual",tblData[Year],selFY,tblData[Month],"&gt;="&amp;mFrom,tblData[Month],"&lt;="&amp;MIN(mTo,mSel),tblData[Channel],$A469,tblData[Brand],$B469)+SUMIFS(tblData[Net Revenue],tblData[Scenario],"Forecast",tblData[Year],selFY,tblData[Month],"&gt;="&amp;MAX(mFrom,mSel+1),tblData[Month],"&lt;="&amp;mTo,tblData[Channel],$A469,tblData[Brand],$B469))/Unit</f>
        <v>6.87</v>
      </c>
      <c r="F469" s="79">
        <f>(SUMIFS(tblData[Contribution Margin],tblData[Scenario],"Actual",tblData[Year],selFY,tblData[Month],"&gt;="&amp;mFrom,tblData[Month],"&lt;="&amp;MIN(mTo,mSel),tblData[Channel],$A469,tblData[Brand],$B469)+SUMIFS(tblData[Contribution Margin],tblData[Scenario],"Forecast",tblData[Year],selFY,tblData[Month],"&gt;="&amp;MAX(mFrom,mSel+1),tblData[Month],"&lt;="&amp;mTo,tblData[Channel],$A469,tblData[Brand],$B469))/Unit</f>
        <v>2.2210000000000001</v>
      </c>
      <c r="G469" s="79">
        <f>SUMIFS(tblData[Units],tblData[Scenario],"Budget",tblData[Year],selFY,tblData[Month],"&gt;="&amp;mFrom,tblData[Month],"&lt;="&amp;mTo,tblData[Channel],$A469,tblData[Brand],$B469)</f>
        <v>1344</v>
      </c>
      <c r="H469" s="79">
        <f>SUMIFS(tblData[Gross Sales],tblData[Scenario],"Budget",tblData[Year],selFY,tblData[Month],"&gt;="&amp;mFrom,tblData[Month],"&lt;="&amp;mTo,tblData[Channel],$A469,tblData[Brand],$B469)/Unit</f>
        <v>8.0630000000000006</v>
      </c>
      <c r="I469" s="79">
        <f>SUMIFS(tblData[Net Revenue],tblData[Scenario],"Budget",tblData[Year],selFY,tblData[Month],"&gt;="&amp;mFrom,tblData[Month],"&lt;="&amp;mTo,tblData[Channel],$A469,tblData[Brand],$B469)/Unit</f>
        <v>6.8540000000000001</v>
      </c>
      <c r="J469" s="79">
        <f>SUMIFS(tblData[Contribution Margin],tblData[Scenario],"Budget",tblData[Year],selFY,tblData[Month],"&gt;="&amp;mFrom,tblData[Month],"&lt;="&amp;mTo,tblData[Channel],$A469,tblData[Brand],$B469)/Unit</f>
        <v>2.3029999999999999</v>
      </c>
      <c r="K469" s="79">
        <f t="shared" si="176"/>
        <v>-4.7833077548925282E-2</v>
      </c>
      <c r="L469" s="79">
        <f t="shared" si="177"/>
        <v>6.1602273977497235E-2</v>
      </c>
      <c r="M469" s="79">
        <f t="shared" si="178"/>
        <v>-1.5197991071430056E-2</v>
      </c>
      <c r="N469" s="79">
        <f t="shared" si="179"/>
        <v>1.7428794642857629E-2</v>
      </c>
    </row>
    <row r="470" spans="1:14" x14ac:dyDescent="0.25">
      <c r="A470" s="77" t="str">
        <f t="shared" si="182"/>
        <v>Marketplaces</v>
      </c>
      <c r="B470" s="77" t="str">
        <f>INDEX(lstBrand,6)</f>
        <v>Tindra</v>
      </c>
      <c r="C470" s="79">
        <f>(SUMIFS(tblData[Units],tblData[Scenario],"Actual",tblData[Year],selFY,tblData[Month],"&gt;="&amp;mFrom,tblData[Month],"&lt;="&amp;MIN(mTo,mSel),tblData[Channel],$A470,tblData[Brand],$B470)+SUMIFS(tblData[Units],tblData[Scenario],"Forecast",tblData[Year],selFY,tblData[Month],"&gt;="&amp;MAX(mFrom,mSel+1),tblData[Month],"&lt;="&amp;mTo,tblData[Channel],$A470,tblData[Brand],$B470))</f>
        <v>258.7</v>
      </c>
      <c r="D470" s="79">
        <f>(SUMIFS(tblData[Gross Sales],tblData[Scenario],"Actual",tblData[Year],selFY,tblData[Month],"&gt;="&amp;mFrom,tblData[Month],"&lt;="&amp;MIN(mTo,mSel),tblData[Channel],$A470,tblData[Brand],$B470)+SUMIFS(tblData[Gross Sales],tblData[Scenario],"Forecast",tblData[Year],selFY,tblData[Month],"&gt;="&amp;MAX(mFrom,mSel+1),tblData[Month],"&lt;="&amp;mTo,tblData[Channel],$A470,tblData[Brand],$B470))/Unit</f>
        <v>4.665</v>
      </c>
      <c r="E470" s="79">
        <f>(SUMIFS(tblData[Net Revenue],tblData[Scenario],"Actual",tblData[Year],selFY,tblData[Month],"&gt;="&amp;mFrom,tblData[Month],"&lt;="&amp;MIN(mTo,mSel),tblData[Channel],$A470,tblData[Brand],$B470)+SUMIFS(tblData[Net Revenue],tblData[Scenario],"Forecast",tblData[Year],selFY,tblData[Month],"&gt;="&amp;MAX(mFrom,mSel+1),tblData[Month],"&lt;="&amp;mTo,tblData[Channel],$A470,tblData[Brand],$B470))/Unit</f>
        <v>3.9740000000000002</v>
      </c>
      <c r="F470" s="79">
        <f>(SUMIFS(tblData[Contribution Margin],tblData[Scenario],"Actual",tblData[Year],selFY,tblData[Month],"&gt;="&amp;mFrom,tblData[Month],"&lt;="&amp;MIN(mTo,mSel),tblData[Channel],$A470,tblData[Brand],$B470)+SUMIFS(tblData[Contribution Margin],tblData[Scenario],"Forecast",tblData[Year],selFY,tblData[Month],"&gt;="&amp;MAX(mFrom,mSel+1),tblData[Month],"&lt;="&amp;mTo,tblData[Channel],$A470,tblData[Brand],$B470))/Unit</f>
        <v>1.0489999999999999</v>
      </c>
      <c r="G470" s="79">
        <f>SUMIFS(tblData[Units],tblData[Scenario],"Budget",tblData[Year],selFY,tblData[Month],"&gt;="&amp;mFrom,tblData[Month],"&lt;="&amp;mTo,tblData[Channel],$A470,tblData[Brand],$B470)</f>
        <v>268.79999999999995</v>
      </c>
      <c r="H470" s="79">
        <f>SUMIFS(tblData[Gross Sales],tblData[Scenario],"Budget",tblData[Year],selFY,tblData[Month],"&gt;="&amp;mFrom,tblData[Month],"&lt;="&amp;mTo,tblData[Channel],$A470,tblData[Brand],$B470)/Unit</f>
        <v>4.8390000000000004</v>
      </c>
      <c r="I470" s="79">
        <f>SUMIFS(tblData[Net Revenue],tblData[Scenario],"Budget",tblData[Year],selFY,tblData[Month],"&gt;="&amp;mFrom,tblData[Month],"&lt;="&amp;mTo,tblData[Channel],$A470,tblData[Brand],$B470)/Unit</f>
        <v>4.1130000000000004</v>
      </c>
      <c r="J470" s="79">
        <f>SUMIFS(tblData[Contribution Margin],tblData[Scenario],"Budget",tblData[Year],selFY,tblData[Month],"&gt;="&amp;mFrom,tblData[Month],"&lt;="&amp;mTo,tblData[Channel],$A470,tblData[Brand],$B470)/Unit</f>
        <v>1.139</v>
      </c>
      <c r="K470" s="79">
        <f t="shared" si="176"/>
        <v>-2.8704033842826045E-2</v>
      </c>
      <c r="L470" s="79">
        <f t="shared" si="177"/>
        <v>-0.1258394929428876</v>
      </c>
      <c r="M470" s="79">
        <f t="shared" si="178"/>
        <v>7.8225446428565083E-3</v>
      </c>
      <c r="N470" s="79">
        <f t="shared" si="179"/>
        <v>7.7209821428573348E-3</v>
      </c>
    </row>
    <row r="471" spans="1:14" x14ac:dyDescent="0.25">
      <c r="A471" s="77" t="str">
        <f t="shared" ref="A471:A476" si="183">INDEX(lstChannel,5)</f>
        <v>Direct to Consumer</v>
      </c>
      <c r="B471" s="77" t="str">
        <f>INDEX(lstBrand,1)</f>
        <v>Aurelia</v>
      </c>
      <c r="C471" s="79">
        <f>(SUMIFS(tblData[Units],tblData[Scenario],"Actual",tblData[Year],selFY,tblData[Month],"&gt;="&amp;mFrom,tblData[Month],"&lt;="&amp;MIN(mTo,mSel),tblData[Channel],$A471,tblData[Brand],$B471)+SUMIFS(tblData[Units],tblData[Scenario],"Forecast",tblData[Year],selFY,tblData[Month],"&gt;="&amp;MAX(mFrom,mSel+1),tblData[Month],"&lt;="&amp;mTo,tblData[Channel],$A471,tblData[Brand],$B471))</f>
        <v>656.9</v>
      </c>
      <c r="D471" s="79">
        <f>(SUMIFS(tblData[Gross Sales],tblData[Scenario],"Actual",tblData[Year],selFY,tblData[Month],"&gt;="&amp;mFrom,tblData[Month],"&lt;="&amp;MIN(mTo,mSel),tblData[Channel],$A471,tblData[Brand],$B471)+SUMIFS(tblData[Gross Sales],tblData[Scenario],"Forecast",tblData[Year],selFY,tblData[Month],"&gt;="&amp;MAX(mFrom,mSel+1),tblData[Month],"&lt;="&amp;mTo,tblData[Channel],$A471,tblData[Brand],$B471))/Unit</f>
        <v>9.3079999999999998</v>
      </c>
      <c r="E471" s="79">
        <f>(SUMIFS(tblData[Net Revenue],tblData[Scenario],"Actual",tblData[Year],selFY,tblData[Month],"&gt;="&amp;mFrom,tblData[Month],"&lt;="&amp;MIN(mTo,mSel),tblData[Channel],$A471,tblData[Brand],$B471)+SUMIFS(tblData[Net Revenue],tblData[Scenario],"Forecast",tblData[Year],selFY,tblData[Month],"&gt;="&amp;MAX(mFrom,mSel+1),tblData[Month],"&lt;="&amp;mTo,tblData[Channel],$A471,tblData[Brand],$B471))/Unit</f>
        <v>8.5619999999999994</v>
      </c>
      <c r="F471" s="79">
        <f>(SUMIFS(tblData[Contribution Margin],tblData[Scenario],"Actual",tblData[Year],selFY,tblData[Month],"&gt;="&amp;mFrom,tblData[Month],"&lt;="&amp;MIN(mTo,mSel),tblData[Channel],$A471,tblData[Brand],$B471)+SUMIFS(tblData[Contribution Margin],tblData[Scenario],"Forecast",tblData[Year],selFY,tblData[Month],"&gt;="&amp;MAX(mFrom,mSel+1),tblData[Month],"&lt;="&amp;mTo,tblData[Channel],$A471,tblData[Brand],$B471))/Unit</f>
        <v>3.45</v>
      </c>
      <c r="G471" s="79">
        <f>SUMIFS(tblData[Units],tblData[Scenario],"Budget",tblData[Year],selFY,tblData[Month],"&gt;="&amp;mFrom,tblData[Month],"&lt;="&amp;mTo,tblData[Channel],$A471,tblData[Brand],$B471)</f>
        <v>604.9</v>
      </c>
      <c r="H471" s="79">
        <f>SUMIFS(tblData[Gross Sales],tblData[Scenario],"Budget",tblData[Year],selFY,tblData[Month],"&gt;="&amp;mFrom,tblData[Month],"&lt;="&amp;mTo,tblData[Channel],$A471,tblData[Brand],$B471)/Unit</f>
        <v>8.4689999999999994</v>
      </c>
      <c r="I471" s="79">
        <f>SUMIFS(tblData[Net Revenue],tblData[Scenario],"Budget",tblData[Year],selFY,tblData[Month],"&gt;="&amp;mFrom,tblData[Month],"&lt;="&amp;mTo,tblData[Channel],$A471,tblData[Brand],$B471)/Unit</f>
        <v>7.7930000000000001</v>
      </c>
      <c r="J471" s="79">
        <f>SUMIFS(tblData[Contribution Margin],tblData[Scenario],"Budget",tblData[Year],selFY,tblData[Month],"&gt;="&amp;mFrom,tblData[Month],"&lt;="&amp;mTo,tblData[Channel],$A471,tblData[Brand],$B471)/Unit</f>
        <v>3.1339999999999999</v>
      </c>
      <c r="K471" s="79">
        <f t="shared" si="176"/>
        <v>-5.4386223130839621E-2</v>
      </c>
      <c r="L471" s="79">
        <f t="shared" si="177"/>
        <v>0.72430852433765014</v>
      </c>
      <c r="M471" s="79">
        <f t="shared" si="178"/>
        <v>0.11096561415109971</v>
      </c>
      <c r="N471" s="79">
        <f t="shared" si="179"/>
        <v>-1.1887915357911529E-2</v>
      </c>
    </row>
    <row r="472" spans="1:14" x14ac:dyDescent="0.25">
      <c r="A472" s="77" t="str">
        <f t="shared" si="183"/>
        <v>Direct to Consumer</v>
      </c>
      <c r="B472" s="77" t="str">
        <f>INDEX(lstBrand,2)</f>
        <v>Novara</v>
      </c>
      <c r="C472" s="79">
        <f>(SUMIFS(tblData[Units],tblData[Scenario],"Actual",tblData[Year],selFY,tblData[Month],"&gt;="&amp;mFrom,tblData[Month],"&lt;="&amp;MIN(mTo,mSel),tblData[Channel],$A472,tblData[Brand],$B472)+SUMIFS(tblData[Units],tblData[Scenario],"Forecast",tblData[Year],selFY,tblData[Month],"&gt;="&amp;MAX(mFrom,mSel+1),tblData[Month],"&lt;="&amp;mTo,tblData[Channel],$A472,tblData[Brand],$B472))</f>
        <v>858.4</v>
      </c>
      <c r="D472" s="79">
        <f>(SUMIFS(tblData[Gross Sales],tblData[Scenario],"Actual",tblData[Year],selFY,tblData[Month],"&gt;="&amp;mFrom,tblData[Month],"&lt;="&amp;MIN(mTo,mSel),tblData[Channel],$A472,tblData[Brand],$B472)+SUMIFS(tblData[Gross Sales],tblData[Scenario],"Forecast",tblData[Year],selFY,tblData[Month],"&gt;="&amp;MAX(mFrom,mSel+1),tblData[Month],"&lt;="&amp;mTo,tblData[Channel],$A472,tblData[Brand],$B472))/Unit</f>
        <v>7.7859999999999996</v>
      </c>
      <c r="E472" s="79">
        <f>(SUMIFS(tblData[Net Revenue],tblData[Scenario],"Actual",tblData[Year],selFY,tblData[Month],"&gt;="&amp;mFrom,tblData[Month],"&lt;="&amp;MIN(mTo,mSel),tblData[Channel],$A472,tblData[Brand],$B472)+SUMIFS(tblData[Net Revenue],tblData[Scenario],"Forecast",tblData[Year],selFY,tblData[Month],"&gt;="&amp;MAX(mFrom,mSel+1),tblData[Month],"&lt;="&amp;mTo,tblData[Channel],$A472,tblData[Brand],$B472))/Unit</f>
        <v>7.1619999999999999</v>
      </c>
      <c r="F472" s="79">
        <f>(SUMIFS(tblData[Contribution Margin],tblData[Scenario],"Actual",tblData[Year],selFY,tblData[Month],"&gt;="&amp;mFrom,tblData[Month],"&lt;="&amp;MIN(mTo,mSel),tblData[Channel],$A472,tblData[Brand],$B472)+SUMIFS(tblData[Contribution Margin],tblData[Scenario],"Forecast",tblData[Year],selFY,tblData[Month],"&gt;="&amp;MAX(mFrom,mSel+1),tblData[Month],"&lt;="&amp;mTo,tblData[Channel],$A472,tblData[Brand],$B472))/Unit</f>
        <v>2.6019999999999999</v>
      </c>
      <c r="G472" s="79">
        <f>SUMIFS(tblData[Units],tblData[Scenario],"Budget",tblData[Year],selFY,tblData[Month],"&gt;="&amp;mFrom,tblData[Month],"&lt;="&amp;mTo,tblData[Channel],$A472,tblData[Brand],$B472)</f>
        <v>806.3</v>
      </c>
      <c r="H472" s="79">
        <f>SUMIFS(tblData[Gross Sales],tblData[Scenario],"Budget",tblData[Year],selFY,tblData[Month],"&gt;="&amp;mFrom,tblData[Month],"&lt;="&amp;mTo,tblData[Channel],$A472,tblData[Brand],$B472)/Unit</f>
        <v>7.258</v>
      </c>
      <c r="I472" s="79">
        <f>SUMIFS(tblData[Net Revenue],tblData[Scenario],"Budget",tblData[Year],selFY,tblData[Month],"&gt;="&amp;mFrom,tblData[Month],"&lt;="&amp;mTo,tblData[Channel],$A472,tblData[Brand],$B472)/Unit</f>
        <v>6.6790000000000003</v>
      </c>
      <c r="J472" s="79">
        <f>SUMIFS(tblData[Contribution Margin],tblData[Scenario],"Budget",tblData[Year],selFY,tblData[Month],"&gt;="&amp;mFrom,tblData[Month],"&lt;="&amp;mTo,tblData[Channel],$A472,tblData[Brand],$B472)/Unit</f>
        <v>2.4670000000000001</v>
      </c>
      <c r="K472" s="79">
        <f t="shared" si="176"/>
        <v>-4.6611777786587677E-2</v>
      </c>
      <c r="L472" s="79">
        <f t="shared" si="177"/>
        <v>0.47818302918184974</v>
      </c>
      <c r="M472" s="79">
        <f t="shared" si="178"/>
        <v>5.9015999007812785E-2</v>
      </c>
      <c r="N472" s="79">
        <f t="shared" si="179"/>
        <v>-7.5872504030757484E-3</v>
      </c>
    </row>
    <row r="473" spans="1:14" x14ac:dyDescent="0.25">
      <c r="A473" s="77" t="str">
        <f t="shared" si="183"/>
        <v>Direct to Consumer</v>
      </c>
      <c r="B473" s="77" t="str">
        <f>INDEX(lstBrand,3)</f>
        <v>Kestrel</v>
      </c>
      <c r="C473" s="79">
        <f>(SUMIFS(tblData[Units],tblData[Scenario],"Actual",tblData[Year],selFY,tblData[Month],"&gt;="&amp;mFrom,tblData[Month],"&lt;="&amp;MIN(mTo,mSel),tblData[Channel],$A473,tblData[Brand],$B473)+SUMIFS(tblData[Units],tblData[Scenario],"Forecast",tblData[Year],selFY,tblData[Month],"&gt;="&amp;MAX(mFrom,mSel+1),tblData[Month],"&lt;="&amp;mTo,tblData[Channel],$A473,tblData[Brand],$B473))</f>
        <v>814.09999999999991</v>
      </c>
      <c r="D473" s="79">
        <f>(SUMIFS(tblData[Gross Sales],tblData[Scenario],"Actual",tblData[Year],selFY,tblData[Month],"&gt;="&amp;mFrom,tblData[Month],"&lt;="&amp;MIN(mTo,mSel),tblData[Channel],$A473,tblData[Brand],$B473)+SUMIFS(tblData[Gross Sales],tblData[Scenario],"Forecast",tblData[Year],selFY,tblData[Month],"&gt;="&amp;MAX(mFrom,mSel+1),tblData[Month],"&lt;="&amp;mTo,tblData[Channel],$A473,tblData[Brand],$B473))/Unit</f>
        <v>5.7329999999999997</v>
      </c>
      <c r="E473" s="79">
        <f>(SUMIFS(tblData[Net Revenue],tblData[Scenario],"Actual",tblData[Year],selFY,tblData[Month],"&gt;="&amp;mFrom,tblData[Month],"&lt;="&amp;MIN(mTo,mSel),tblData[Channel],$A473,tblData[Brand],$B473)+SUMIFS(tblData[Net Revenue],tblData[Scenario],"Forecast",tblData[Year],selFY,tblData[Month],"&gt;="&amp;MAX(mFrom,mSel+1),tblData[Month],"&lt;="&amp;mTo,tblData[Channel],$A473,tblData[Brand],$B473))/Unit</f>
        <v>5.274</v>
      </c>
      <c r="F473" s="79">
        <f>(SUMIFS(tblData[Contribution Margin],tblData[Scenario],"Actual",tblData[Year],selFY,tblData[Month],"&gt;="&amp;mFrom,tblData[Month],"&lt;="&amp;MIN(mTo,mSel),tblData[Channel],$A473,tblData[Brand],$B473)+SUMIFS(tblData[Contribution Margin],tblData[Scenario],"Forecast",tblData[Year],selFY,tblData[Month],"&gt;="&amp;MAX(mFrom,mSel+1),tblData[Month],"&lt;="&amp;mTo,tblData[Channel],$A473,tblData[Brand],$B473))/Unit</f>
        <v>1.782</v>
      </c>
      <c r="G473" s="79">
        <f>SUMIFS(tblData[Units],tblData[Scenario],"Budget",tblData[Year],selFY,tblData[Month],"&gt;="&amp;mFrom,tblData[Month],"&lt;="&amp;mTo,tblData[Channel],$A473,tblData[Brand],$B473)</f>
        <v>777.8</v>
      </c>
      <c r="H473" s="79">
        <f>SUMIFS(tblData[Gross Sales],tblData[Scenario],"Budget",tblData[Year],selFY,tblData[Month],"&gt;="&amp;mFrom,tblData[Month],"&lt;="&amp;mTo,tblData[Channel],$A473,tblData[Brand],$B473)/Unit</f>
        <v>5.4429999999999996</v>
      </c>
      <c r="I473" s="79">
        <f>SUMIFS(tblData[Net Revenue],tblData[Scenario],"Budget",tblData[Year],selFY,tblData[Month],"&gt;="&amp;mFrom,tblData[Month],"&lt;="&amp;mTo,tblData[Channel],$A473,tblData[Brand],$B473)/Unit</f>
        <v>5.008</v>
      </c>
      <c r="J473" s="79">
        <f>SUMIFS(tblData[Contribution Margin],tblData[Scenario],"Budget",tblData[Year],selFY,tblData[Month],"&gt;="&amp;mFrom,tblData[Month],"&lt;="&amp;mTo,tblData[Channel],$A473,tblData[Brand],$B473)/Unit</f>
        <v>1.7430000000000001</v>
      </c>
      <c r="K473" s="79">
        <f t="shared" si="176"/>
        <v>-3.4950109770209778E-2</v>
      </c>
      <c r="L473" s="79">
        <f t="shared" si="177"/>
        <v>0.26867394623202473</v>
      </c>
      <c r="M473" s="79">
        <f t="shared" si="178"/>
        <v>3.5974672152224579E-2</v>
      </c>
      <c r="N473" s="79">
        <f t="shared" si="179"/>
        <v>-3.6985086140396673E-3</v>
      </c>
    </row>
    <row r="474" spans="1:14" x14ac:dyDescent="0.25">
      <c r="A474" s="77" t="str">
        <f t="shared" si="183"/>
        <v>Direct to Consumer</v>
      </c>
      <c r="B474" s="77" t="str">
        <f>INDEX(lstBrand,4)</f>
        <v>Lumio</v>
      </c>
      <c r="C474" s="79">
        <f>(SUMIFS(tblData[Units],tblData[Scenario],"Actual",tblData[Year],selFY,tblData[Month],"&gt;="&amp;mFrom,tblData[Month],"&lt;="&amp;MIN(mTo,mSel),tblData[Channel],$A474,tblData[Brand],$B474)+SUMIFS(tblData[Units],tblData[Scenario],"Forecast",tblData[Year],selFY,tblData[Month],"&gt;="&amp;MAX(mFrom,mSel+1),tblData[Month],"&lt;="&amp;mTo,tblData[Channel],$A474,tblData[Brand],$B474))</f>
        <v>410.1</v>
      </c>
      <c r="D474" s="79">
        <f>(SUMIFS(tblData[Gross Sales],tblData[Scenario],"Actual",tblData[Year],selFY,tblData[Month],"&gt;="&amp;mFrom,tblData[Month],"&lt;="&amp;MIN(mTo,mSel),tblData[Channel],$A474,tblData[Brand],$B474)+SUMIFS(tblData[Gross Sales],tblData[Scenario],"Forecast",tblData[Year],selFY,tblData[Month],"&gt;="&amp;MAX(mFrom,mSel+1),tblData[Month],"&lt;="&amp;mTo,tblData[Channel],$A474,tblData[Brand],$B474))/Unit</f>
        <v>4.5510000000000002</v>
      </c>
      <c r="E474" s="79">
        <f>(SUMIFS(tblData[Net Revenue],tblData[Scenario],"Actual",tblData[Year],selFY,tblData[Month],"&gt;="&amp;mFrom,tblData[Month],"&lt;="&amp;MIN(mTo,mSel),tblData[Channel],$A474,tblData[Brand],$B474)+SUMIFS(tblData[Net Revenue],tblData[Scenario],"Forecast",tblData[Year],selFY,tblData[Month],"&gt;="&amp;MAX(mFrom,mSel+1),tblData[Month],"&lt;="&amp;mTo,tblData[Channel],$A474,tblData[Brand],$B474))/Unit</f>
        <v>4.1890000000000001</v>
      </c>
      <c r="F474" s="79">
        <f>(SUMIFS(tblData[Contribution Margin],tblData[Scenario],"Actual",tblData[Year],selFY,tblData[Month],"&gt;="&amp;mFrom,tblData[Month],"&lt;="&amp;MIN(mTo,mSel),tblData[Channel],$A474,tblData[Brand],$B474)+SUMIFS(tblData[Contribution Margin],tblData[Scenario],"Forecast",tblData[Year],selFY,tblData[Month],"&gt;="&amp;MAX(mFrom,mSel+1),tblData[Month],"&lt;="&amp;mTo,tblData[Channel],$A474,tblData[Brand],$B474))/Unit</f>
        <v>1.458</v>
      </c>
      <c r="G474" s="79">
        <f>SUMIFS(tblData[Units],tblData[Scenario],"Budget",tblData[Year],selFY,tblData[Month],"&gt;="&amp;mFrom,tblData[Month],"&lt;="&amp;mTo,tblData[Channel],$A474,tblData[Brand],$B474)</f>
        <v>384.8</v>
      </c>
      <c r="H474" s="79">
        <f>SUMIFS(tblData[Gross Sales],tblData[Scenario],"Budget",tblData[Year],selFY,tblData[Month],"&gt;="&amp;mFrom,tblData[Month],"&lt;="&amp;mTo,tblData[Channel],$A474,tblData[Brand],$B474)/Unit</f>
        <v>4.2329999999999997</v>
      </c>
      <c r="I474" s="79">
        <f>SUMIFS(tblData[Net Revenue],tblData[Scenario],"Budget",tblData[Year],selFY,tblData[Month],"&gt;="&amp;mFrom,tblData[Month],"&lt;="&amp;mTo,tblData[Channel],$A474,tblData[Brand],$B474)/Unit</f>
        <v>3.8940000000000001</v>
      </c>
      <c r="J474" s="79">
        <f>SUMIFS(tblData[Contribution Margin],tblData[Scenario],"Budget",tblData[Year],selFY,tblData[Month],"&gt;="&amp;mFrom,tblData[Month],"&lt;="&amp;mTo,tblData[Channel],$A474,tblData[Brand],$B474)/Unit</f>
        <v>1.353</v>
      </c>
      <c r="K474" s="79">
        <f t="shared" si="176"/>
        <v>-2.7175664425957844E-2</v>
      </c>
      <c r="L474" s="79">
        <f t="shared" si="177"/>
        <v>0.28320009270038654</v>
      </c>
      <c r="M474" s="79">
        <f t="shared" si="178"/>
        <v>3.9686850311850624E-2</v>
      </c>
      <c r="N474" s="79">
        <f t="shared" si="179"/>
        <v>-7.1127858627922024E-4</v>
      </c>
    </row>
    <row r="475" spans="1:14" x14ac:dyDescent="0.25">
      <c r="A475" s="77" t="str">
        <f t="shared" si="183"/>
        <v>Direct to Consumer</v>
      </c>
      <c r="B475" s="77" t="str">
        <f>INDEX(lstBrand,5)</f>
        <v>Everwood</v>
      </c>
      <c r="C475" s="79">
        <f>(SUMIFS(tblData[Units],tblData[Scenario],"Actual",tblData[Year],selFY,tblData[Month],"&gt;="&amp;mFrom,tblData[Month],"&lt;="&amp;MIN(mTo,mSel),tblData[Channel],$A475,tblData[Brand],$B475)+SUMIFS(tblData[Units],tblData[Scenario],"Forecast",tblData[Year],selFY,tblData[Month],"&gt;="&amp;MAX(mFrom,mSel+1),tblData[Month],"&lt;="&amp;mTo,tblData[Channel],$A475,tblData[Brand],$B475))</f>
        <v>490.4</v>
      </c>
      <c r="D475" s="79">
        <f>(SUMIFS(tblData[Gross Sales],tblData[Scenario],"Actual",tblData[Year],selFY,tblData[Month],"&gt;="&amp;mFrom,tblData[Month],"&lt;="&amp;MIN(mTo,mSel),tblData[Channel],$A475,tblData[Brand],$B475)+SUMIFS(tblData[Gross Sales],tblData[Scenario],"Forecast",tblData[Year],selFY,tblData[Month],"&gt;="&amp;MAX(mFrom,mSel+1),tblData[Month],"&lt;="&amp;mTo,tblData[Channel],$A475,tblData[Brand],$B475))/Unit</f>
        <v>2.9489999999999998</v>
      </c>
      <c r="E475" s="79">
        <f>(SUMIFS(tblData[Net Revenue],tblData[Scenario],"Actual",tblData[Year],selFY,tblData[Month],"&gt;="&amp;mFrom,tblData[Month],"&lt;="&amp;MIN(mTo,mSel),tblData[Channel],$A475,tblData[Brand],$B475)+SUMIFS(tblData[Net Revenue],tblData[Scenario],"Forecast",tblData[Year],selFY,tblData[Month],"&gt;="&amp;MAX(mFrom,mSel+1),tblData[Month],"&lt;="&amp;mTo,tblData[Channel],$A475,tblData[Brand],$B475))/Unit</f>
        <v>2.7120000000000002</v>
      </c>
      <c r="F475" s="79">
        <f>(SUMIFS(tblData[Contribution Margin],tblData[Scenario],"Actual",tblData[Year],selFY,tblData[Month],"&gt;="&amp;mFrom,tblData[Month],"&lt;="&amp;MIN(mTo,mSel),tblData[Channel],$A475,tblData[Brand],$B475)+SUMIFS(tblData[Contribution Margin],tblData[Scenario],"Forecast",tblData[Year],selFY,tblData[Month],"&gt;="&amp;MAX(mFrom,mSel+1),tblData[Month],"&lt;="&amp;mTo,tblData[Channel],$A475,tblData[Brand],$B475))/Unit</f>
        <v>0.81899999999999995</v>
      </c>
      <c r="G475" s="79">
        <f>SUMIFS(tblData[Units],tblData[Scenario],"Budget",tblData[Year],selFY,tblData[Month],"&gt;="&amp;mFrom,tblData[Month],"&lt;="&amp;mTo,tblData[Channel],$A475,tblData[Brand],$B475)</f>
        <v>503.99999999999994</v>
      </c>
      <c r="H475" s="79">
        <f>SUMIFS(tblData[Gross Sales],tblData[Scenario],"Budget",tblData[Year],selFY,tblData[Month],"&gt;="&amp;mFrom,tblData[Month],"&lt;="&amp;mTo,tblData[Channel],$A475,tblData[Brand],$B475)/Unit</f>
        <v>3.0219999999999998</v>
      </c>
      <c r="I475" s="79">
        <f>SUMIFS(tblData[Net Revenue],tblData[Scenario],"Budget",tblData[Year],selFY,tblData[Month],"&gt;="&amp;mFrom,tblData[Month],"&lt;="&amp;mTo,tblData[Channel],$A475,tblData[Brand],$B475)/Unit</f>
        <v>2.782</v>
      </c>
      <c r="J475" s="79">
        <f>SUMIFS(tblData[Contribution Margin],tblData[Scenario],"Budget",tblData[Year],selFY,tblData[Month],"&gt;="&amp;mFrom,tblData[Month],"&lt;="&amp;mTo,tblData[Channel],$A475,tblData[Brand],$B475)/Unit</f>
        <v>0.879</v>
      </c>
      <c r="K475" s="79">
        <f t="shared" si="176"/>
        <v>-1.9415176793275479E-2</v>
      </c>
      <c r="L475" s="79">
        <f t="shared" si="177"/>
        <v>-5.5654664476565335E-2</v>
      </c>
      <c r="M475" s="79">
        <f t="shared" si="178"/>
        <v>8.5460317460314753E-3</v>
      </c>
      <c r="N475" s="79">
        <f t="shared" si="179"/>
        <v>-3.4761904761903364E-3</v>
      </c>
    </row>
    <row r="476" spans="1:14" x14ac:dyDescent="0.25">
      <c r="A476" s="77" t="str">
        <f t="shared" si="183"/>
        <v>Direct to Consumer</v>
      </c>
      <c r="B476" s="77" t="str">
        <f>INDEX(lstBrand,6)</f>
        <v>Tindra</v>
      </c>
      <c r="C476" s="79">
        <f>(SUMIFS(tblData[Units],tblData[Scenario],"Actual",tblData[Year],selFY,tblData[Month],"&gt;="&amp;mFrom,tblData[Month],"&lt;="&amp;MIN(mTo,mSel),tblData[Channel],$A476,tblData[Brand],$B476)+SUMIFS(tblData[Units],tblData[Scenario],"Forecast",tblData[Year],selFY,tblData[Month],"&gt;="&amp;MAX(mFrom,mSel+1),tblData[Month],"&lt;="&amp;mTo,tblData[Channel],$A476,tblData[Brand],$B476))</f>
        <v>93.3</v>
      </c>
      <c r="D476" s="79">
        <f>(SUMIFS(tblData[Gross Sales],tblData[Scenario],"Actual",tblData[Year],selFY,tblData[Month],"&gt;="&amp;mFrom,tblData[Month],"&lt;="&amp;MIN(mTo,mSel),tblData[Channel],$A476,tblData[Brand],$B476)+SUMIFS(tblData[Gross Sales],tblData[Scenario],"Forecast",tblData[Year],selFY,tblData[Month],"&gt;="&amp;MAX(mFrom,mSel+1),tblData[Month],"&lt;="&amp;mTo,tblData[Channel],$A476,tblData[Brand],$B476))/Unit</f>
        <v>1.6919999999999999</v>
      </c>
      <c r="E476" s="79">
        <f>(SUMIFS(tblData[Net Revenue],tblData[Scenario],"Actual",tblData[Year],selFY,tblData[Month],"&gt;="&amp;mFrom,tblData[Month],"&lt;="&amp;MIN(mTo,mSel),tblData[Channel],$A476,tblData[Brand],$B476)+SUMIFS(tblData[Net Revenue],tblData[Scenario],"Forecast",tblData[Year],selFY,tblData[Month],"&gt;="&amp;MAX(mFrom,mSel+1),tblData[Month],"&lt;="&amp;mTo,tblData[Channel],$A476,tblData[Brand],$B476))/Unit</f>
        <v>1.5569999999999999</v>
      </c>
      <c r="F476" s="79">
        <f>(SUMIFS(tblData[Contribution Margin],tblData[Scenario],"Actual",tblData[Year],selFY,tblData[Month],"&gt;="&amp;mFrom,tblData[Month],"&lt;="&amp;MIN(mTo,mSel),tblData[Channel],$A476,tblData[Brand],$B476)+SUMIFS(tblData[Contribution Margin],tblData[Scenario],"Forecast",tblData[Year],selFY,tblData[Month],"&gt;="&amp;MAX(mFrom,mSel+1),tblData[Month],"&lt;="&amp;mTo,tblData[Channel],$A476,tblData[Brand],$B476))/Unit</f>
        <v>0.379</v>
      </c>
      <c r="G476" s="79">
        <f>SUMIFS(tblData[Units],tblData[Scenario],"Budget",tblData[Year],selFY,tblData[Month],"&gt;="&amp;mFrom,tblData[Month],"&lt;="&amp;mTo,tblData[Channel],$A476,tblData[Brand],$B476)</f>
        <v>100.69999999999999</v>
      </c>
      <c r="H476" s="79">
        <f>SUMIFS(tblData[Gross Sales],tblData[Scenario],"Budget",tblData[Year],selFY,tblData[Month],"&gt;="&amp;mFrom,tblData[Month],"&lt;="&amp;mTo,tblData[Channel],$A476,tblData[Brand],$B476)/Unit</f>
        <v>1.8129999999999999</v>
      </c>
      <c r="I476" s="79">
        <f>SUMIFS(tblData[Net Revenue],tblData[Scenario],"Budget",tblData[Year],selFY,tblData[Month],"&gt;="&amp;mFrom,tblData[Month],"&lt;="&amp;mTo,tblData[Channel],$A476,tblData[Brand],$B476)/Unit</f>
        <v>1.669</v>
      </c>
      <c r="J476" s="79">
        <f>SUMIFS(tblData[Contribution Margin],tblData[Scenario],"Budget",tblData[Year],selFY,tblData[Month],"&gt;="&amp;mFrom,tblData[Month],"&lt;="&amp;mTo,tblData[Channel],$A476,tblData[Brand],$B476)/Unit</f>
        <v>0.433</v>
      </c>
      <c r="K476" s="79">
        <f t="shared" si="176"/>
        <v>-1.1647710304808332E-2</v>
      </c>
      <c r="L476" s="79">
        <f t="shared" si="177"/>
        <v>-0.11099975742111</v>
      </c>
      <c r="M476" s="79">
        <f t="shared" si="178"/>
        <v>1.2229394240317767E-2</v>
      </c>
      <c r="N476" s="79">
        <f t="shared" si="179"/>
        <v>-1.5819265143992909E-3</v>
      </c>
    </row>
    <row r="477" spans="1:14" x14ac:dyDescent="0.25">
      <c r="A477" s="77" t="str">
        <f t="shared" ref="A477:A482" si="184">INDEX(lstChannel,6)</f>
        <v>Distributors</v>
      </c>
      <c r="B477" s="77" t="str">
        <f>INDEX(lstBrand,1)</f>
        <v>Aurelia</v>
      </c>
      <c r="C477" s="79">
        <f>(SUMIFS(tblData[Units],tblData[Scenario],"Actual",tblData[Year],selFY,tblData[Month],"&gt;="&amp;mFrom,tblData[Month],"&lt;="&amp;MIN(mTo,mSel),tblData[Channel],$A477,tblData[Brand],$B477)+SUMIFS(tblData[Units],tblData[Scenario],"Forecast",tblData[Year],selFY,tblData[Month],"&gt;="&amp;MAX(mFrom,mSel+1),tblData[Month],"&lt;="&amp;mTo,tblData[Channel],$A477,tblData[Brand],$B477))</f>
        <v>1045.1000000000001</v>
      </c>
      <c r="D477" s="79">
        <f>(SUMIFS(tblData[Gross Sales],tblData[Scenario],"Actual",tblData[Year],selFY,tblData[Month],"&gt;="&amp;mFrom,tblData[Month],"&lt;="&amp;MIN(mTo,mSel),tblData[Channel],$A477,tblData[Brand],$B477)+SUMIFS(tblData[Gross Sales],tblData[Scenario],"Forecast",tblData[Year],selFY,tblData[Month],"&gt;="&amp;MAX(mFrom,mSel+1),tblData[Month],"&lt;="&amp;mTo,tblData[Channel],$A477,tblData[Brand],$B477))/Unit</f>
        <v>14.72</v>
      </c>
      <c r="E477" s="79">
        <f>(SUMIFS(tblData[Net Revenue],tblData[Scenario],"Actual",tblData[Year],selFY,tblData[Month],"&gt;="&amp;mFrom,tblData[Month],"&lt;="&amp;MIN(mTo,mSel),tblData[Channel],$A477,tblData[Brand],$B477)+SUMIFS(tblData[Net Revenue],tblData[Scenario],"Forecast",tblData[Year],selFY,tblData[Month],"&gt;="&amp;MAX(mFrom,mSel+1),tblData[Month],"&lt;="&amp;mTo,tblData[Channel],$A477,tblData[Brand],$B477))/Unit</f>
        <v>13.25</v>
      </c>
      <c r="F477" s="79">
        <f>(SUMIFS(tblData[Contribution Margin],tblData[Scenario],"Actual",tblData[Year],selFY,tblData[Month],"&gt;="&amp;mFrom,tblData[Month],"&lt;="&amp;MIN(mTo,mSel),tblData[Channel],$A477,tblData[Brand],$B477)+SUMIFS(tblData[Contribution Margin],tblData[Scenario],"Forecast",tblData[Year],selFY,tblData[Month],"&gt;="&amp;MAX(mFrom,mSel+1),tblData[Month],"&lt;="&amp;mTo,tblData[Channel],$A477,tblData[Brand],$B477))/Unit</f>
        <v>6.8360000000000003</v>
      </c>
      <c r="G477" s="79">
        <f>SUMIFS(tblData[Units],tblData[Scenario],"Budget",tblData[Year],selFY,tblData[Month],"&gt;="&amp;mFrom,tblData[Month],"&lt;="&amp;mTo,tblData[Channel],$A477,tblData[Brand],$B477)</f>
        <v>1008.0999999999999</v>
      </c>
      <c r="H477" s="79">
        <f>SUMIFS(tblData[Gross Sales],tblData[Scenario],"Budget",tblData[Year],selFY,tblData[Month],"&gt;="&amp;mFrom,tblData[Month],"&lt;="&amp;mTo,tblData[Channel],$A477,tblData[Brand],$B477)/Unit</f>
        <v>14.112</v>
      </c>
      <c r="I477" s="79">
        <f>SUMIFS(tblData[Net Revenue],tblData[Scenario],"Budget",tblData[Year],selFY,tblData[Month],"&gt;="&amp;mFrom,tblData[Month],"&lt;="&amp;mTo,tblData[Channel],$A477,tblData[Brand],$B477)/Unit</f>
        <v>12.701000000000001</v>
      </c>
      <c r="J477" s="79">
        <f>SUMIFS(tblData[Contribution Margin],tblData[Scenario],"Budget",tblData[Year],selFY,tblData[Month],"&gt;="&amp;mFrom,tblData[Month],"&lt;="&amp;mTo,tblData[Channel],$A477,tblData[Brand],$B477)/Unit</f>
        <v>6.5670000000000002</v>
      </c>
      <c r="K477" s="79">
        <f t="shared" si="176"/>
        <v>-8.8638447322570771E-2</v>
      </c>
      <c r="L477" s="79">
        <f t="shared" si="177"/>
        <v>0.55479954245202612</v>
      </c>
      <c r="M477" s="79">
        <f t="shared" si="178"/>
        <v>9.005138379128784E-2</v>
      </c>
      <c r="N477" s="79">
        <f t="shared" si="179"/>
        <v>-7.2124789207427915E-3</v>
      </c>
    </row>
    <row r="478" spans="1:14" x14ac:dyDescent="0.25">
      <c r="A478" s="77" t="str">
        <f t="shared" si="184"/>
        <v>Distributors</v>
      </c>
      <c r="B478" s="77" t="str">
        <f>INDEX(lstBrand,2)</f>
        <v>Novara</v>
      </c>
      <c r="C478" s="79">
        <f>(SUMIFS(tblData[Units],tblData[Scenario],"Actual",tblData[Year],selFY,tblData[Month],"&gt;="&amp;mFrom,tblData[Month],"&lt;="&amp;MIN(mTo,mSel),tblData[Channel],$A478,tblData[Brand],$B478)+SUMIFS(tblData[Units],tblData[Scenario],"Forecast",tblData[Year],selFY,tblData[Month],"&gt;="&amp;MAX(mFrom,mSel+1),tblData[Month],"&lt;="&amp;mTo,tblData[Channel],$A478,tblData[Brand],$B478))</f>
        <v>1380.7</v>
      </c>
      <c r="D478" s="79">
        <f>(SUMIFS(tblData[Gross Sales],tblData[Scenario],"Actual",tblData[Year],selFY,tblData[Month],"&gt;="&amp;mFrom,tblData[Month],"&lt;="&amp;MIN(mTo,mSel),tblData[Channel],$A478,tblData[Brand],$B478)+SUMIFS(tblData[Gross Sales],tblData[Scenario],"Forecast",tblData[Year],selFY,tblData[Month],"&gt;="&amp;MAX(mFrom,mSel+1),tblData[Month],"&lt;="&amp;mTo,tblData[Channel],$A478,tblData[Brand],$B478))/Unit</f>
        <v>12.451000000000001</v>
      </c>
      <c r="E478" s="79">
        <f>(SUMIFS(tblData[Net Revenue],tblData[Scenario],"Actual",tblData[Year],selFY,tblData[Month],"&gt;="&amp;mFrom,tblData[Month],"&lt;="&amp;MIN(mTo,mSel),tblData[Channel],$A478,tblData[Brand],$B478)+SUMIFS(tblData[Net Revenue],tblData[Scenario],"Forecast",tblData[Year],selFY,tblData[Month],"&gt;="&amp;MAX(mFrom,mSel+1),tblData[Month],"&lt;="&amp;mTo,tblData[Channel],$A478,tblData[Brand],$B478))/Unit</f>
        <v>11.205</v>
      </c>
      <c r="F478" s="79">
        <f>(SUMIFS(tblData[Contribution Margin],tblData[Scenario],"Actual",tblData[Year],selFY,tblData[Month],"&gt;="&amp;mFrom,tblData[Month],"&lt;="&amp;MIN(mTo,mSel),tblData[Channel],$A478,tblData[Brand],$B478)+SUMIFS(tblData[Contribution Margin],tblData[Scenario],"Forecast",tblData[Year],selFY,tblData[Month],"&gt;="&amp;MAX(mFrom,mSel+1),tblData[Month],"&lt;="&amp;mTo,tblData[Channel],$A478,tblData[Brand],$B478))/Unit</f>
        <v>5.35</v>
      </c>
      <c r="G478" s="79">
        <f>SUMIFS(tblData[Units],tblData[Scenario],"Budget",tblData[Year],selFY,tblData[Month],"&gt;="&amp;mFrom,tblData[Month],"&lt;="&amp;mTo,tblData[Channel],$A478,tblData[Brand],$B478)</f>
        <v>1344</v>
      </c>
      <c r="H478" s="79">
        <f>SUMIFS(tblData[Gross Sales],tblData[Scenario],"Budget",tblData[Year],selFY,tblData[Month],"&gt;="&amp;mFrom,tblData[Month],"&lt;="&amp;mTo,tblData[Channel],$A478,tblData[Brand],$B478)/Unit</f>
        <v>12.097</v>
      </c>
      <c r="I478" s="79">
        <f>SUMIFS(tblData[Net Revenue],tblData[Scenario],"Budget",tblData[Year],selFY,tblData[Month],"&gt;="&amp;mFrom,tblData[Month],"&lt;="&amp;mTo,tblData[Channel],$A478,tblData[Brand],$B478)/Unit</f>
        <v>10.888</v>
      </c>
      <c r="J478" s="79">
        <f>SUMIFS(tblData[Contribution Margin],tblData[Scenario],"Budget",tblData[Year],selFY,tblData[Month],"&gt;="&amp;mFrom,tblData[Month],"&lt;="&amp;mTo,tblData[Channel],$A478,tblData[Brand],$B478)/Unit</f>
        <v>5.2670000000000003</v>
      </c>
      <c r="K478" s="79">
        <f t="shared" si="176"/>
        <v>-7.5985781784753209E-2</v>
      </c>
      <c r="L478" s="79">
        <f t="shared" si="177"/>
        <v>0.37329947226094451</v>
      </c>
      <c r="M478" s="79">
        <f t="shared" si="178"/>
        <v>2.3672693452381429E-2</v>
      </c>
      <c r="N478" s="79">
        <f t="shared" si="179"/>
        <v>-3.9863839285722595E-3</v>
      </c>
    </row>
    <row r="479" spans="1:14" x14ac:dyDescent="0.25">
      <c r="A479" s="77" t="str">
        <f t="shared" si="184"/>
        <v>Distributors</v>
      </c>
      <c r="B479" s="77" t="str">
        <f>INDEX(lstBrand,3)</f>
        <v>Kestrel</v>
      </c>
      <c r="C479" s="79">
        <f>(SUMIFS(tblData[Units],tblData[Scenario],"Actual",tblData[Year],selFY,tblData[Month],"&gt;="&amp;mFrom,tblData[Month],"&lt;="&amp;MIN(mTo,mSel),tblData[Channel],$A479,tblData[Brand],$B479)+SUMIFS(tblData[Units],tblData[Scenario],"Forecast",tblData[Year],selFY,tblData[Month],"&gt;="&amp;MAX(mFrom,mSel+1),tblData[Month],"&lt;="&amp;mTo,tblData[Channel],$A479,tblData[Brand],$B479))</f>
        <v>1298.3</v>
      </c>
      <c r="D479" s="79">
        <f>(SUMIFS(tblData[Gross Sales],tblData[Scenario],"Actual",tblData[Year],selFY,tblData[Month],"&gt;="&amp;mFrom,tblData[Month],"&lt;="&amp;MIN(mTo,mSel),tblData[Channel],$A479,tblData[Brand],$B479)+SUMIFS(tblData[Gross Sales],tblData[Scenario],"Forecast",tblData[Year],selFY,tblData[Month],"&gt;="&amp;MAX(mFrom,mSel+1),tblData[Month],"&lt;="&amp;mTo,tblData[Channel],$A479,tblData[Brand],$B479))/Unit</f>
        <v>9.0879999999999992</v>
      </c>
      <c r="E479" s="79">
        <f>(SUMIFS(tblData[Net Revenue],tblData[Scenario],"Actual",tblData[Year],selFY,tblData[Month],"&gt;="&amp;mFrom,tblData[Month],"&lt;="&amp;MIN(mTo,mSel),tblData[Channel],$A479,tblData[Brand],$B479)+SUMIFS(tblData[Net Revenue],tblData[Scenario],"Forecast",tblData[Year],selFY,tblData[Month],"&gt;="&amp;MAX(mFrom,mSel+1),tblData[Month],"&lt;="&amp;mTo,tblData[Channel],$A479,tblData[Brand],$B479))/Unit</f>
        <v>8.1809999999999992</v>
      </c>
      <c r="F479" s="79">
        <f>(SUMIFS(tblData[Contribution Margin],tblData[Scenario],"Actual",tblData[Year],selFY,tblData[Month],"&gt;="&amp;mFrom,tblData[Month],"&lt;="&amp;MIN(mTo,mSel),tblData[Channel],$A479,tblData[Brand],$B479)+SUMIFS(tblData[Contribution Margin],tblData[Scenario],"Forecast",tblData[Year],selFY,tblData[Month],"&gt;="&amp;MAX(mFrom,mSel+1),tblData[Month],"&lt;="&amp;mTo,tblData[Channel],$A479,tblData[Brand],$B479))/Unit</f>
        <v>3.6920000000000002</v>
      </c>
      <c r="G479" s="79">
        <f>SUMIFS(tblData[Units],tblData[Scenario],"Budget",tblData[Year],selFY,tblData[Month],"&gt;="&amp;mFrom,tblData[Month],"&lt;="&amp;mTo,tblData[Channel],$A479,tblData[Brand],$B479)</f>
        <v>1296</v>
      </c>
      <c r="H479" s="79">
        <f>SUMIFS(tblData[Gross Sales],tblData[Scenario],"Budget",tblData[Year],selFY,tblData[Month],"&gt;="&amp;mFrom,tblData[Month],"&lt;="&amp;mTo,tblData[Channel],$A479,tblData[Brand],$B479)/Unit</f>
        <v>9.0719999999999992</v>
      </c>
      <c r="I479" s="79">
        <f>SUMIFS(tblData[Net Revenue],tblData[Scenario],"Budget",tblData[Year],selFY,tblData[Month],"&gt;="&amp;mFrom,tblData[Month],"&lt;="&amp;mTo,tblData[Channel],$A479,tblData[Brand],$B479)/Unit</f>
        <v>8.1639999999999997</v>
      </c>
      <c r="J479" s="79">
        <f>SUMIFS(tblData[Contribution Margin],tblData[Scenario],"Budget",tblData[Year],selFY,tblData[Month],"&gt;="&amp;mFrom,tblData[Month],"&lt;="&amp;mTo,tblData[Channel],$A479,tblData[Brand],$B479)/Unit</f>
        <v>3.7650000000000001</v>
      </c>
      <c r="K479" s="79">
        <f t="shared" si="176"/>
        <v>-5.6975378626995331E-2</v>
      </c>
      <c r="L479" s="79">
        <f t="shared" si="177"/>
        <v>7.1463958873907996E-2</v>
      </c>
      <c r="M479" s="79">
        <f t="shared" si="178"/>
        <v>-9.9999999999968604E-5</v>
      </c>
      <c r="N479" s="79">
        <f t="shared" si="179"/>
        <v>2.6114197530858934E-3</v>
      </c>
    </row>
    <row r="480" spans="1:14" x14ac:dyDescent="0.25">
      <c r="A480" s="77" t="str">
        <f t="shared" si="184"/>
        <v>Distributors</v>
      </c>
      <c r="B480" s="77" t="str">
        <f>INDEX(lstBrand,4)</f>
        <v>Lumio</v>
      </c>
      <c r="C480" s="79">
        <f>(SUMIFS(tblData[Units],tblData[Scenario],"Actual",tblData[Year],selFY,tblData[Month],"&gt;="&amp;mFrom,tblData[Month],"&lt;="&amp;MIN(mTo,mSel),tblData[Channel],$A480,tblData[Brand],$B480)+SUMIFS(tblData[Units],tblData[Scenario],"Forecast",tblData[Year],selFY,tblData[Month],"&gt;="&amp;MAX(mFrom,mSel+1),tblData[Month],"&lt;="&amp;mTo,tblData[Channel],$A480,tblData[Brand],$B480))</f>
        <v>663.80000000000007</v>
      </c>
      <c r="D480" s="79">
        <f>(SUMIFS(tblData[Gross Sales],tblData[Scenario],"Actual",tblData[Year],selFY,tblData[Month],"&gt;="&amp;mFrom,tblData[Month],"&lt;="&amp;MIN(mTo,mSel),tblData[Channel],$A480,tblData[Brand],$B480)+SUMIFS(tblData[Gross Sales],tblData[Scenario],"Forecast",tblData[Year],selFY,tblData[Month],"&gt;="&amp;MAX(mFrom,mSel+1),tblData[Month],"&lt;="&amp;mTo,tblData[Channel],$A480,tblData[Brand],$B480))/Unit</f>
        <v>7.3250000000000002</v>
      </c>
      <c r="E480" s="79">
        <f>(SUMIFS(tblData[Net Revenue],tblData[Scenario],"Actual",tblData[Year],selFY,tblData[Month],"&gt;="&amp;mFrom,tblData[Month],"&lt;="&amp;MIN(mTo,mSel),tblData[Channel],$A480,tblData[Brand],$B480)+SUMIFS(tblData[Net Revenue],tblData[Scenario],"Forecast",tblData[Year],selFY,tblData[Month],"&gt;="&amp;MAX(mFrom,mSel+1),tblData[Month],"&lt;="&amp;mTo,tblData[Channel],$A480,tblData[Brand],$B480))/Unit</f>
        <v>6.5949999999999998</v>
      </c>
      <c r="F480" s="79">
        <f>(SUMIFS(tblData[Contribution Margin],tblData[Scenario],"Actual",tblData[Year],selFY,tblData[Month],"&gt;="&amp;mFrom,tblData[Month],"&lt;="&amp;MIN(mTo,mSel),tblData[Channel],$A480,tblData[Brand],$B480)+SUMIFS(tblData[Contribution Margin],tblData[Scenario],"Forecast",tblData[Year],selFY,tblData[Month],"&gt;="&amp;MAX(mFrom,mSel+1),tblData[Month],"&lt;="&amp;mTo,tblData[Channel],$A480,tblData[Brand],$B480))/Unit</f>
        <v>3.0449999999999999</v>
      </c>
      <c r="G480" s="79">
        <f>SUMIFS(tblData[Units],tblData[Scenario],"Budget",tblData[Year],selFY,tblData[Month],"&gt;="&amp;mFrom,tblData[Month],"&lt;="&amp;mTo,tblData[Channel],$A480,tblData[Brand],$B480)</f>
        <v>641.19999999999993</v>
      </c>
      <c r="H480" s="79">
        <f>SUMIFS(tblData[Gross Sales],tblData[Scenario],"Budget",tblData[Year],selFY,tblData[Month],"&gt;="&amp;mFrom,tblData[Month],"&lt;="&amp;mTo,tblData[Channel],$A480,tblData[Brand],$B480)/Unit</f>
        <v>7.056</v>
      </c>
      <c r="I480" s="79">
        <f>SUMIFS(tblData[Net Revenue],tblData[Scenario],"Budget",tblData[Year],selFY,tblData[Month],"&gt;="&amp;mFrom,tblData[Month],"&lt;="&amp;mTo,tblData[Channel],$A480,tblData[Brand],$B480)/Unit</f>
        <v>6.35</v>
      </c>
      <c r="J480" s="79">
        <f>SUMIFS(tblData[Contribution Margin],tblData[Scenario],"Budget",tblData[Year],selFY,tblData[Month],"&gt;="&amp;mFrom,tblData[Month],"&lt;="&amp;mTo,tblData[Channel],$A480,tblData[Brand],$B480)/Unit</f>
        <v>2.9249999999999998</v>
      </c>
      <c r="K480" s="79">
        <f t="shared" si="176"/>
        <v>-4.4315734233392981E-2</v>
      </c>
      <c r="L480" s="79">
        <f t="shared" si="177"/>
        <v>0.26813045662890178</v>
      </c>
      <c r="M480" s="79">
        <f t="shared" si="178"/>
        <v>2.0301310043666313E-2</v>
      </c>
      <c r="N480" s="79">
        <f t="shared" si="179"/>
        <v>8.8396756082359713E-4</v>
      </c>
    </row>
    <row r="481" spans="1:16" x14ac:dyDescent="0.25">
      <c r="A481" s="77" t="str">
        <f t="shared" si="184"/>
        <v>Distributors</v>
      </c>
      <c r="B481" s="77" t="str">
        <f>INDEX(lstBrand,5)</f>
        <v>Everwood</v>
      </c>
      <c r="C481" s="79">
        <f>(SUMIFS(tblData[Units],tblData[Scenario],"Actual",tblData[Year],selFY,tblData[Month],"&gt;="&amp;mFrom,tblData[Month],"&lt;="&amp;MIN(mTo,mSel),tblData[Channel],$A481,tblData[Brand],$B481)+SUMIFS(tblData[Units],tblData[Scenario],"Forecast",tblData[Year],selFY,tblData[Month],"&gt;="&amp;MAX(mFrom,mSel+1),tblData[Month],"&lt;="&amp;mTo,tblData[Channel],$A481,tblData[Brand],$B481))</f>
        <v>789.9</v>
      </c>
      <c r="D481" s="79">
        <f>(SUMIFS(tblData[Gross Sales],tblData[Scenario],"Actual",tblData[Year],selFY,tblData[Month],"&gt;="&amp;mFrom,tblData[Month],"&lt;="&amp;MIN(mTo,mSel),tblData[Channel],$A481,tblData[Brand],$B481)+SUMIFS(tblData[Gross Sales],tblData[Scenario],"Forecast",tblData[Year],selFY,tblData[Month],"&gt;="&amp;MAX(mFrom,mSel+1),tblData[Month],"&lt;="&amp;mTo,tblData[Channel],$A481,tblData[Brand],$B481))/Unit</f>
        <v>4.7190000000000003</v>
      </c>
      <c r="E481" s="79">
        <f>(SUMIFS(tblData[Net Revenue],tblData[Scenario],"Actual",tblData[Year],selFY,tblData[Month],"&gt;="&amp;mFrom,tblData[Month],"&lt;="&amp;MIN(mTo,mSel),tblData[Channel],$A481,tblData[Brand],$B481)+SUMIFS(tblData[Net Revenue],tblData[Scenario],"Forecast",tblData[Year],selFY,tblData[Month],"&gt;="&amp;MAX(mFrom,mSel+1),tblData[Month],"&lt;="&amp;mTo,tblData[Channel],$A481,tblData[Brand],$B481))/Unit</f>
        <v>4.2460000000000004</v>
      </c>
      <c r="F481" s="79">
        <f>(SUMIFS(tblData[Contribution Margin],tblData[Scenario],"Actual",tblData[Year],selFY,tblData[Month],"&gt;="&amp;mFrom,tblData[Month],"&lt;="&amp;MIN(mTo,mSel),tblData[Channel],$A481,tblData[Brand],$B481)+SUMIFS(tblData[Contribution Margin],tblData[Scenario],"Forecast",tblData[Year],selFY,tblData[Month],"&gt;="&amp;MAX(mFrom,mSel+1),tblData[Month],"&lt;="&amp;mTo,tblData[Channel],$A481,tblData[Brand],$B481))/Unit</f>
        <v>1.762</v>
      </c>
      <c r="G481" s="79">
        <f>SUMIFS(tblData[Units],tblData[Scenario],"Budget",tblData[Year],selFY,tblData[Month],"&gt;="&amp;mFrom,tblData[Month],"&lt;="&amp;mTo,tblData[Channel],$A481,tblData[Brand],$B481)</f>
        <v>840</v>
      </c>
      <c r="H481" s="79">
        <f>SUMIFS(tblData[Gross Sales],tblData[Scenario],"Budget",tblData[Year],selFY,tblData[Month],"&gt;="&amp;mFrom,tblData[Month],"&lt;="&amp;mTo,tblData[Channel],$A481,tblData[Brand],$B481)/Unit</f>
        <v>5.04</v>
      </c>
      <c r="I481" s="79">
        <f>SUMIFS(tblData[Net Revenue],tblData[Scenario],"Budget",tblData[Year],selFY,tblData[Month],"&gt;="&amp;mFrom,tblData[Month],"&lt;="&amp;mTo,tblData[Channel],$A481,tblData[Brand],$B481)/Unit</f>
        <v>4.5380000000000003</v>
      </c>
      <c r="J481" s="79">
        <f>SUMIFS(tblData[Contribution Margin],tblData[Scenario],"Budget",tblData[Year],selFY,tblData[Month],"&gt;="&amp;mFrom,tblData[Month],"&lt;="&amp;mTo,tblData[Channel],$A481,tblData[Brand],$B481)/Unit</f>
        <v>1.9419999999999999</v>
      </c>
      <c r="K481" s="79">
        <f t="shared" si="176"/>
        <v>-3.1670047551360221E-2</v>
      </c>
      <c r="L481" s="79">
        <f t="shared" si="177"/>
        <v>-0.23898923816292622</v>
      </c>
      <c r="M481" s="79">
        <f t="shared" si="178"/>
        <v>-2.0399999999999547E-2</v>
      </c>
      <c r="N481" s="79">
        <f t="shared" si="179"/>
        <v>-9.4071428571439674E-4</v>
      </c>
    </row>
    <row r="482" spans="1:16" x14ac:dyDescent="0.25">
      <c r="A482" s="77" t="str">
        <f t="shared" si="184"/>
        <v>Distributors</v>
      </c>
      <c r="B482" s="77" t="str">
        <f>INDEX(lstBrand,6)</f>
        <v>Tindra</v>
      </c>
      <c r="C482" s="79">
        <f>(SUMIFS(tblData[Units],tblData[Scenario],"Actual",tblData[Year],selFY,tblData[Month],"&gt;="&amp;mFrom,tblData[Month],"&lt;="&amp;MIN(mTo,mSel),tblData[Channel],$A482,tblData[Brand],$B482)+SUMIFS(tblData[Units],tblData[Scenario],"Forecast",tblData[Year],selFY,tblData[Month],"&gt;="&amp;MAX(mFrom,mSel+1),tblData[Month],"&lt;="&amp;mTo,tblData[Channel],$A482,tblData[Brand],$B482))</f>
        <v>150.19999999999999</v>
      </c>
      <c r="D482" s="79">
        <f>(SUMIFS(tblData[Gross Sales],tblData[Scenario],"Actual",tblData[Year],selFY,tblData[Month],"&gt;="&amp;mFrom,tblData[Month],"&lt;="&amp;MIN(mTo,mSel),tblData[Channel],$A482,tblData[Brand],$B482)+SUMIFS(tblData[Gross Sales],tblData[Scenario],"Forecast",tblData[Year],selFY,tblData[Month],"&gt;="&amp;MAX(mFrom,mSel+1),tblData[Month],"&lt;="&amp;mTo,tblData[Channel],$A482,tblData[Brand],$B482))/Unit</f>
        <v>2.7040000000000002</v>
      </c>
      <c r="E482" s="79">
        <f>(SUMIFS(tblData[Net Revenue],tblData[Scenario],"Actual",tblData[Year],selFY,tblData[Month],"&gt;="&amp;mFrom,tblData[Month],"&lt;="&amp;MIN(mTo,mSel),tblData[Channel],$A482,tblData[Brand],$B482)+SUMIFS(tblData[Net Revenue],tblData[Scenario],"Forecast",tblData[Year],selFY,tblData[Month],"&gt;="&amp;MAX(mFrom,mSel+1),tblData[Month],"&lt;="&amp;mTo,tblData[Channel],$A482,tblData[Brand],$B482))/Unit</f>
        <v>2.4319999999999999</v>
      </c>
      <c r="F482" s="79">
        <f>(SUMIFS(tblData[Contribution Margin],tblData[Scenario],"Actual",tblData[Year],selFY,tblData[Month],"&gt;="&amp;mFrom,tblData[Month],"&lt;="&amp;MIN(mTo,mSel),tblData[Channel],$A482,tblData[Brand],$B482)+SUMIFS(tblData[Contribution Margin],tblData[Scenario],"Forecast",tblData[Year],selFY,tblData[Month],"&gt;="&amp;MAX(mFrom,mSel+1),tblData[Month],"&lt;="&amp;mTo,tblData[Channel],$A482,tblData[Brand],$B482))/Unit</f>
        <v>0.85</v>
      </c>
      <c r="G482" s="79">
        <f>SUMIFS(tblData[Units],tblData[Scenario],"Budget",tblData[Year],selFY,tblData[Month],"&gt;="&amp;mFrom,tblData[Month],"&lt;="&amp;mTo,tblData[Channel],$A482,tblData[Brand],$B482)</f>
        <v>168.1</v>
      </c>
      <c r="H482" s="79">
        <f>SUMIFS(tblData[Gross Sales],tblData[Scenario],"Budget",tblData[Year],selFY,tblData[Month],"&gt;="&amp;mFrom,tblData[Month],"&lt;="&amp;mTo,tblData[Channel],$A482,tblData[Brand],$B482)/Unit</f>
        <v>3.0219999999999998</v>
      </c>
      <c r="I482" s="79">
        <f>SUMIFS(tblData[Net Revenue],tblData[Scenario],"Budget",tblData[Year],selFY,tblData[Month],"&gt;="&amp;mFrom,tblData[Month],"&lt;="&amp;mTo,tblData[Channel],$A482,tblData[Brand],$B482)/Unit</f>
        <v>2.72</v>
      </c>
      <c r="J482" s="79">
        <f>SUMIFS(tblData[Contribution Margin],tblData[Scenario],"Budget",tblData[Year],selFY,tblData[Month],"&gt;="&amp;mFrom,tblData[Month],"&lt;="&amp;mTo,tblData[Channel],$A482,tblData[Brand],$B482)/Unit</f>
        <v>1.01</v>
      </c>
      <c r="K482" s="79">
        <f t="shared" si="176"/>
        <v>-1.898248773461873E-2</v>
      </c>
      <c r="L482" s="79">
        <f t="shared" si="177"/>
        <v>-0.27065463302683263</v>
      </c>
      <c r="M482" s="79">
        <f t="shared" si="178"/>
        <v>3.7953599048190689E-3</v>
      </c>
      <c r="N482" s="79">
        <f t="shared" si="179"/>
        <v>-2.1582391433676703E-3</v>
      </c>
    </row>
    <row r="484" spans="1:16" x14ac:dyDescent="0.25">
      <c r="A484" s="76" t="s">
        <v>253</v>
      </c>
    </row>
    <row r="485" spans="1:16" x14ac:dyDescent="0.25">
      <c r="A485" s="78" t="s">
        <v>254</v>
      </c>
      <c r="B485" s="78" t="s">
        <v>255</v>
      </c>
      <c r="C485" s="78" t="s">
        <v>256</v>
      </c>
      <c r="D485" s="78" t="s">
        <v>257</v>
      </c>
      <c r="E485" s="78" t="s">
        <v>258</v>
      </c>
      <c r="F485" s="78" t="s">
        <v>259</v>
      </c>
      <c r="G485" s="78" t="s">
        <v>260</v>
      </c>
      <c r="H485" s="78" t="s">
        <v>261</v>
      </c>
      <c r="I485" s="78" t="s">
        <v>262</v>
      </c>
      <c r="J485" s="78" t="s">
        <v>263</v>
      </c>
      <c r="K485" s="78" t="s">
        <v>264</v>
      </c>
      <c r="L485" s="78" t="s">
        <v>265</v>
      </c>
      <c r="M485" s="78" t="s">
        <v>266</v>
      </c>
      <c r="N485" s="78" t="s">
        <v>267</v>
      </c>
      <c r="O485" s="78" t="s">
        <v>268</v>
      </c>
      <c r="P485" s="78" t="s">
        <v>269</v>
      </c>
    </row>
    <row r="486" spans="1:16" x14ac:dyDescent="0.25">
      <c r="A486" s="77" t="s">
        <v>50</v>
      </c>
      <c r="B486" s="79">
        <f>F300</f>
        <v>416.42200000000008</v>
      </c>
      <c r="C486" s="77" t="s">
        <v>270</v>
      </c>
      <c r="D486" s="79">
        <f>0</f>
        <v>0</v>
      </c>
      <c r="E486" s="79">
        <f>B486</f>
        <v>416.42200000000008</v>
      </c>
      <c r="F486" s="79">
        <f>MAX(0,MIN(0,(E486-$P$486)))</f>
        <v>0</v>
      </c>
      <c r="G486" s="79">
        <f>(MAX(0,MAX(0,(E486-$P$486)))-MAX(0,MIN(0,(E486-$P$486))))</f>
        <v>8.9120917176882699</v>
      </c>
      <c r="H486" s="79">
        <f>0</f>
        <v>0</v>
      </c>
      <c r="I486" s="79">
        <f>0</f>
        <v>0</v>
      </c>
      <c r="J486" s="79">
        <f>MIN(0,MAX(0,(E486-$P$486)))</f>
        <v>0</v>
      </c>
      <c r="K486" s="79">
        <f>(MIN(0,MIN(0,(E486-$P$486)))-MIN(0,MAX(0,(E486-$P$486))))</f>
        <v>0</v>
      </c>
      <c r="L486" s="79">
        <f>0</f>
        <v>0</v>
      </c>
      <c r="M486" s="79">
        <f>0</f>
        <v>0</v>
      </c>
      <c r="N486" s="79">
        <f>MAX(0,(E486-$P$486))</f>
        <v>8.9120917176882699</v>
      </c>
      <c r="O486" s="77" t="str">
        <f>FIXED(B486,1)</f>
        <v>416.4</v>
      </c>
      <c r="P486" s="79">
        <f>IF(MIN(E486:E491)&gt;0,MAX(0,MIN(E486:E491)-1.5*(MAX(E486:E491)-MIN(E486:E491))),0)</f>
        <v>407.50990828231181</v>
      </c>
    </row>
    <row r="487" spans="1:16" x14ac:dyDescent="0.25">
      <c r="A487" s="77" t="s">
        <v>249</v>
      </c>
      <c r="B487" s="79">
        <f>SUM(K447:K482)</f>
        <v>-2.9061490836122799</v>
      </c>
      <c r="C487" s="77" t="s">
        <v>271</v>
      </c>
      <c r="D487" s="79">
        <f>E486</f>
        <v>416.42200000000008</v>
      </c>
      <c r="E487" s="79">
        <f>D487+B487</f>
        <v>413.51585091638782</v>
      </c>
      <c r="F487" s="79">
        <f>MAX(0,MIN((D487-$P$486),(E487-$P$486)))</f>
        <v>6.0059426340760069</v>
      </c>
      <c r="G487" s="79">
        <f>0</f>
        <v>0</v>
      </c>
      <c r="H487" s="79">
        <f>IF(B487&gt;=0,(MAX(0,MAX((D487-$P$486),(E487-$P$486)))-MAX(0,MIN((D487-$P$486),(E487-$P$486)))),0)</f>
        <v>0</v>
      </c>
      <c r="I487" s="79">
        <f>IF(B487&lt;0,(MAX(0,MAX((D487-$P$486),(E487-$P$486)))-MAX(0,MIN((D487-$P$486),(E487-$P$486)))),0)</f>
        <v>2.906149083612263</v>
      </c>
      <c r="J487" s="79">
        <f>MIN(0,MAX((D487-$P$486),(E487-$P$486)))</f>
        <v>0</v>
      </c>
      <c r="K487" s="79">
        <f>0</f>
        <v>0</v>
      </c>
      <c r="L487" s="79">
        <f>IF(B487&gt;=0,(MIN(0,MIN((D487-$P$486),(E487-$P$486)))-MIN(0,MAX((D487-$P$486),(E487-$P$486)))),0)</f>
        <v>0</v>
      </c>
      <c r="M487" s="79">
        <f>IF(B487&lt;0,(MIN(0,MIN((D487-$P$486),(E487-$P$486)))-MIN(0,MAX((D487-$P$486),(E487-$P$486)))),0)</f>
        <v>0</v>
      </c>
      <c r="N487" s="79">
        <f>MAX((D487-$P$486),(E487-$P$486))</f>
        <v>8.9120917176882699</v>
      </c>
      <c r="O487" s="77" t="str">
        <f>IF(B487&gt;=0,"+","-")&amp;FIXED(ABS(B487),1)</f>
        <v>-2.9</v>
      </c>
    </row>
    <row r="488" spans="1:16" x14ac:dyDescent="0.25">
      <c r="A488" s="77" t="s">
        <v>250</v>
      </c>
      <c r="B488" s="79">
        <f>SUM(L447:L482)</f>
        <v>2.5632607103958165</v>
      </c>
      <c r="C488" s="77" t="s">
        <v>271</v>
      </c>
      <c r="D488" s="79">
        <f>E487</f>
        <v>413.51585091638782</v>
      </c>
      <c r="E488" s="79">
        <f>D488+B488</f>
        <v>416.07911162678363</v>
      </c>
      <c r="F488" s="79">
        <f>MAX(0,MIN((D488-$P$486),(E488-$P$486)))</f>
        <v>6.0059426340760069</v>
      </c>
      <c r="G488" s="79">
        <f>0</f>
        <v>0</v>
      </c>
      <c r="H488" s="79">
        <f>IF(B488&gt;=0,(MAX(0,MAX((D488-$P$486),(E488-$P$486)))-MAX(0,MIN((D488-$P$486),(E488-$P$486)))),0)</f>
        <v>2.5632607103958094</v>
      </c>
      <c r="I488" s="79">
        <f>IF(B488&lt;0,(MAX(0,MAX((D488-$P$486),(E488-$P$486)))-MAX(0,MIN((D488-$P$486),(E488-$P$486)))),0)</f>
        <v>0</v>
      </c>
      <c r="J488" s="79">
        <f>MIN(0,MAX((D488-$P$486),(E488-$P$486)))</f>
        <v>0</v>
      </c>
      <c r="K488" s="79">
        <f>0</f>
        <v>0</v>
      </c>
      <c r="L488" s="79">
        <f>IF(B488&gt;=0,(MIN(0,MIN((D488-$P$486),(E488-$P$486)))-MIN(0,MAX((D488-$P$486),(E488-$P$486)))),0)</f>
        <v>0</v>
      </c>
      <c r="M488" s="79">
        <f>IF(B488&lt;0,(MIN(0,MIN((D488-$P$486),(E488-$P$486)))-MIN(0,MAX((D488-$P$486),(E488-$P$486)))),0)</f>
        <v>0</v>
      </c>
      <c r="N488" s="79">
        <f>MAX((D488-$P$486),(E488-$P$486))</f>
        <v>8.5692033444718163</v>
      </c>
      <c r="O488" s="77" t="str">
        <f>IF(B488&gt;=0,"+","-")&amp;FIXED(ABS(B488),1)</f>
        <v>+2.6</v>
      </c>
    </row>
    <row r="489" spans="1:16" x14ac:dyDescent="0.25">
      <c r="A489" s="77" t="s">
        <v>272</v>
      </c>
      <c r="B489" s="79">
        <f>SUM(M447:M482)</f>
        <v>1.440701045654885</v>
      </c>
      <c r="C489" s="77" t="s">
        <v>271</v>
      </c>
      <c r="D489" s="79">
        <f>E488</f>
        <v>416.07911162678363</v>
      </c>
      <c r="E489" s="79">
        <f>D489+B489</f>
        <v>417.51981267243849</v>
      </c>
      <c r="F489" s="79">
        <f>MAX(0,MIN((D489-$P$486),(E489-$P$486)))</f>
        <v>8.5692033444718163</v>
      </c>
      <c r="G489" s="79">
        <f>0</f>
        <v>0</v>
      </c>
      <c r="H489" s="79">
        <f>IF(B489&gt;=0,(MAX(0,MAX((D489-$P$486),(E489-$P$486)))-MAX(0,MIN((D489-$P$486),(E489-$P$486)))),0)</f>
        <v>1.4407010456548619</v>
      </c>
      <c r="I489" s="79">
        <f>IF(B489&lt;0,(MAX(0,MAX((D489-$P$486),(E489-$P$486)))-MAX(0,MIN((D489-$P$486),(E489-$P$486)))),0)</f>
        <v>0</v>
      </c>
      <c r="J489" s="79">
        <f>MIN(0,MAX((D489-$P$486),(E489-$P$486)))</f>
        <v>0</v>
      </c>
      <c r="K489" s="79">
        <f>0</f>
        <v>0</v>
      </c>
      <c r="L489" s="79">
        <f>IF(B489&gt;=0,(MIN(0,MIN((D489-$P$486),(E489-$P$486)))-MIN(0,MAX((D489-$P$486),(E489-$P$486)))),0)</f>
        <v>0</v>
      </c>
      <c r="M489" s="79">
        <f>IF(B489&lt;0,(MIN(0,MIN((D489-$P$486),(E489-$P$486)))-MIN(0,MAX((D489-$P$486),(E489-$P$486)))),0)</f>
        <v>0</v>
      </c>
      <c r="N489" s="79">
        <f>MAX((D489-$P$486),(E489-$P$486))</f>
        <v>10.009904390126678</v>
      </c>
      <c r="O489" s="77" t="str">
        <f>IF(B489&gt;=0,"+","-")&amp;FIXED(ABS(B489),1)</f>
        <v>+1.4</v>
      </c>
    </row>
    <row r="490" spans="1:16" x14ac:dyDescent="0.25">
      <c r="A490" s="77" t="s">
        <v>273</v>
      </c>
      <c r="B490" s="79">
        <f>SUM(N447:N482)</f>
        <v>-1.9498126724384244</v>
      </c>
      <c r="C490" s="77" t="s">
        <v>271</v>
      </c>
      <c r="D490" s="79">
        <f>E489</f>
        <v>417.51981267243849</v>
      </c>
      <c r="E490" s="79">
        <f>D490+B490</f>
        <v>415.57000000000005</v>
      </c>
      <c r="F490" s="79">
        <f>MAX(0,MIN((D490-$P$486),(E490-$P$486)))</f>
        <v>8.0600917176882376</v>
      </c>
      <c r="G490" s="79">
        <f>0</f>
        <v>0</v>
      </c>
      <c r="H490" s="79">
        <f>IF(B490&gt;=0,(MAX(0,MAX((D490-$P$486),(E490-$P$486)))-MAX(0,MIN((D490-$P$486),(E490-$P$486)))),0)</f>
        <v>0</v>
      </c>
      <c r="I490" s="79">
        <f>IF(B490&lt;0,(MAX(0,MAX((D490-$P$486),(E490-$P$486)))-MAX(0,MIN((D490-$P$486),(E490-$P$486)))),0)</f>
        <v>1.9498126724384406</v>
      </c>
      <c r="J490" s="79">
        <f>MIN(0,MAX((D490-$P$486),(E490-$P$486)))</f>
        <v>0</v>
      </c>
      <c r="K490" s="79">
        <f>0</f>
        <v>0</v>
      </c>
      <c r="L490" s="79">
        <f>IF(B490&gt;=0,(MIN(0,MIN((D490-$P$486),(E490-$P$486)))-MIN(0,MAX((D490-$P$486),(E490-$P$486)))),0)</f>
        <v>0</v>
      </c>
      <c r="M490" s="79">
        <f>IF(B490&lt;0,(MIN(0,MIN((D490-$P$486),(E490-$P$486)))-MIN(0,MAX((D490-$P$486),(E490-$P$486)))),0)</f>
        <v>0</v>
      </c>
      <c r="N490" s="79">
        <f>MAX((D490-$P$486),(E490-$P$486))</f>
        <v>10.009904390126678</v>
      </c>
      <c r="O490" s="77" t="str">
        <f>IF(B490&gt;=0,"+","-")&amp;FIXED(ABS(B490),1)</f>
        <v>-1.9</v>
      </c>
    </row>
    <row r="491" spans="1:16" x14ac:dyDescent="0.25">
      <c r="A491" s="77" t="str">
        <f>AcLbl</f>
        <v>Actual</v>
      </c>
      <c r="B491" s="79">
        <f>E300</f>
        <v>415.57</v>
      </c>
      <c r="C491" s="77" t="s">
        <v>270</v>
      </c>
      <c r="D491" s="79">
        <f>0</f>
        <v>0</v>
      </c>
      <c r="E491" s="79">
        <f>B491</f>
        <v>415.57</v>
      </c>
      <c r="F491" s="79">
        <f>MAX(0,MIN(0,(E491-$P$486)))</f>
        <v>0</v>
      </c>
      <c r="G491" s="79">
        <f>(MAX(0,MAX(0,(E491-$P$486)))-MAX(0,MIN(0,(E491-$P$486))))</f>
        <v>8.0600917176881808</v>
      </c>
      <c r="H491" s="79">
        <f>0</f>
        <v>0</v>
      </c>
      <c r="I491" s="79">
        <f>0</f>
        <v>0</v>
      </c>
      <c r="J491" s="79">
        <f>MIN(0,MAX(0,(E491-$P$486)))</f>
        <v>0</v>
      </c>
      <c r="K491" s="79">
        <f>(MIN(0,MIN(0,(E491-$P$486)))-MIN(0,MAX(0,(E491-$P$486))))</f>
        <v>0</v>
      </c>
      <c r="L491" s="79">
        <f>0</f>
        <v>0</v>
      </c>
      <c r="M491" s="79">
        <f>0</f>
        <v>0</v>
      </c>
      <c r="N491" s="79">
        <f>MAX(0,(E491-$P$486))</f>
        <v>8.0600917176881808</v>
      </c>
      <c r="O491" s="77" t="str">
        <f>FIXED(B491,1)</f>
        <v>415.6</v>
      </c>
    </row>
    <row r="493" spans="1:16" x14ac:dyDescent="0.25">
      <c r="A493" s="76" t="s">
        <v>274</v>
      </c>
    </row>
    <row r="494" spans="1:16" x14ac:dyDescent="0.25">
      <c r="A494" s="78" t="s">
        <v>254</v>
      </c>
      <c r="B494" s="78" t="s">
        <v>255</v>
      </c>
      <c r="C494" s="78" t="s">
        <v>256</v>
      </c>
      <c r="D494" s="78" t="s">
        <v>257</v>
      </c>
      <c r="E494" s="78" t="s">
        <v>258</v>
      </c>
      <c r="F494" s="78" t="s">
        <v>259</v>
      </c>
      <c r="G494" s="78" t="s">
        <v>260</v>
      </c>
      <c r="H494" s="78" t="s">
        <v>261</v>
      </c>
      <c r="I494" s="78" t="s">
        <v>262</v>
      </c>
      <c r="J494" s="78" t="s">
        <v>263</v>
      </c>
      <c r="K494" s="78" t="s">
        <v>264</v>
      </c>
      <c r="L494" s="78" t="s">
        <v>265</v>
      </c>
      <c r="M494" s="78" t="s">
        <v>266</v>
      </c>
      <c r="N494" s="78" t="s">
        <v>267</v>
      </c>
      <c r="O494" s="78" t="s">
        <v>268</v>
      </c>
      <c r="P494" s="78" t="s">
        <v>269</v>
      </c>
    </row>
    <row r="495" spans="1:16" x14ac:dyDescent="0.25">
      <c r="A495" s="77" t="s">
        <v>50</v>
      </c>
      <c r="B495" s="79">
        <f>F307</f>
        <v>85.564000000000007</v>
      </c>
      <c r="C495" s="77" t="s">
        <v>270</v>
      </c>
      <c r="D495" s="79">
        <f>0</f>
        <v>0</v>
      </c>
      <c r="E495" s="79">
        <f>B495</f>
        <v>85.564000000000007</v>
      </c>
      <c r="F495" s="79">
        <f>MAX(0,MIN(0,(E495-$P$495)))</f>
        <v>0</v>
      </c>
      <c r="G495" s="79">
        <f>(MAX(0,MAX(0,(E495-$P$495)))-MAX(0,MIN(0,(E495-$P$495))))</f>
        <v>11.13718365509304</v>
      </c>
      <c r="H495" s="79">
        <f>0</f>
        <v>0</v>
      </c>
      <c r="I495" s="79">
        <f>0</f>
        <v>0</v>
      </c>
      <c r="J495" s="79">
        <f>MIN(0,MAX(0,(E495-$P$495)))</f>
        <v>0</v>
      </c>
      <c r="K495" s="79">
        <f>(MIN(0,MIN(0,(E495-$P$495)))-MIN(0,MAX(0,(E495-$P$495))))</f>
        <v>0</v>
      </c>
      <c r="L495" s="79">
        <f>0</f>
        <v>0</v>
      </c>
      <c r="M495" s="79">
        <f>0</f>
        <v>0</v>
      </c>
      <c r="N495" s="79">
        <f>MAX(0,(E495-$P$495))</f>
        <v>11.13718365509304</v>
      </c>
      <c r="O495" s="77" t="str">
        <f>FIXED(B495,1)</f>
        <v>85.6</v>
      </c>
      <c r="P495" s="79">
        <f>IF(MIN(E495:E502)&gt;0,MAX(0,MIN(E495:E502)-1.5*(MAX(E495:E502)-MIN(E495:E502))),0)</f>
        <v>74.426816344906968</v>
      </c>
    </row>
    <row r="496" spans="1:16" x14ac:dyDescent="0.25">
      <c r="A496" s="77" t="s">
        <v>249</v>
      </c>
      <c r="B496" s="79">
        <f>IFERROR((E313-F313)/F313*F302,0)</f>
        <v>-1.6560266468835085</v>
      </c>
      <c r="C496" s="77" t="s">
        <v>271</v>
      </c>
      <c r="D496" s="79">
        <f t="shared" ref="D496:D501" si="185">E495</f>
        <v>85.564000000000007</v>
      </c>
      <c r="E496" s="79">
        <f t="shared" ref="E496:E501" si="186">D496+B496</f>
        <v>83.907973353116503</v>
      </c>
      <c r="F496" s="79">
        <f t="shared" ref="F496:F501" si="187">MAX(0,MIN((D496-$P$495),(E496-$P$495)))</f>
        <v>9.4811570082095358</v>
      </c>
      <c r="G496" s="79">
        <f>0</f>
        <v>0</v>
      </c>
      <c r="H496" s="79">
        <f t="shared" ref="H496:H501" si="188">IF(B496&gt;=0,(MAX(0,MAX((D496-$P$495),(E496-$P$495)))-MAX(0,MIN((D496-$P$495),(E496-$P$495)))),0)</f>
        <v>0</v>
      </c>
      <c r="I496" s="79">
        <f t="shared" ref="I496:I501" si="189">IF(B496&lt;0,(MAX(0,MAX((D496-$P$495),(E496-$P$495)))-MAX(0,MIN((D496-$P$495),(E496-$P$495)))),0)</f>
        <v>1.6560266468835039</v>
      </c>
      <c r="J496" s="79">
        <f t="shared" ref="J496:J501" si="190">MIN(0,MAX((D496-$P$495),(E496-$P$495)))</f>
        <v>0</v>
      </c>
      <c r="K496" s="79">
        <f>0</f>
        <v>0</v>
      </c>
      <c r="L496" s="79">
        <f t="shared" ref="L496:L501" si="191">IF(B496&gt;=0,(MIN(0,MIN((D496-$P$495),(E496-$P$495)))-MIN(0,MAX((D496-$P$495),(E496-$P$495)))),0)</f>
        <v>0</v>
      </c>
      <c r="M496" s="79">
        <f t="shared" ref="M496:M501" si="192">IF(B496&lt;0,(MIN(0,MIN((D496-$P$495),(E496-$P$495)))-MIN(0,MAX((D496-$P$495),(E496-$P$495)))),0)</f>
        <v>0</v>
      </c>
      <c r="N496" s="79">
        <f t="shared" ref="N496:N501" si="193">MAX((D496-$P$495),(E496-$P$495))</f>
        <v>11.13718365509304</v>
      </c>
      <c r="O496" s="77" t="str">
        <f t="shared" ref="O496:O501" si="194">IF(B496&gt;=0,"+","-")&amp;FIXED(ABS(B496),1)</f>
        <v>-1.7</v>
      </c>
    </row>
    <row r="497" spans="1:16" x14ac:dyDescent="0.25">
      <c r="A497" s="77" t="s">
        <v>275</v>
      </c>
      <c r="B497" s="79">
        <f>((E300-F300)-SUM(K447:K482))</f>
        <v>2.0541490836121907</v>
      </c>
      <c r="C497" s="77" t="s">
        <v>271</v>
      </c>
      <c r="D497" s="79">
        <f t="shared" si="185"/>
        <v>83.907973353116503</v>
      </c>
      <c r="E497" s="79">
        <f t="shared" si="186"/>
        <v>85.962122436728691</v>
      </c>
      <c r="F497" s="79">
        <f t="shared" si="187"/>
        <v>9.4811570082095358</v>
      </c>
      <c r="G497" s="79">
        <f>0</f>
        <v>0</v>
      </c>
      <c r="H497" s="79">
        <f t="shared" si="188"/>
        <v>2.0541490836121881</v>
      </c>
      <c r="I497" s="79">
        <f t="shared" si="189"/>
        <v>0</v>
      </c>
      <c r="J497" s="79">
        <f t="shared" si="190"/>
        <v>0</v>
      </c>
      <c r="K497" s="79">
        <f>0</f>
        <v>0</v>
      </c>
      <c r="L497" s="79">
        <f t="shared" si="191"/>
        <v>0</v>
      </c>
      <c r="M497" s="79">
        <f t="shared" si="192"/>
        <v>0</v>
      </c>
      <c r="N497" s="79">
        <f t="shared" si="193"/>
        <v>11.535306091821724</v>
      </c>
      <c r="O497" s="77" t="str">
        <f t="shared" si="194"/>
        <v>+2.1</v>
      </c>
    </row>
    <row r="498" spans="1:16" x14ac:dyDescent="0.25">
      <c r="A498" s="77" t="s">
        <v>276</v>
      </c>
      <c r="B498" s="79">
        <f>(E302-F302)-IFERROR((E313-F313)/F313*F302,0)-((E300-F300)-SUM(K447:K482))</f>
        <v>-4.6141224367286906</v>
      </c>
      <c r="C498" s="77" t="s">
        <v>271</v>
      </c>
      <c r="D498" s="79">
        <f t="shared" si="185"/>
        <v>85.962122436728691</v>
      </c>
      <c r="E498" s="79">
        <f t="shared" si="186"/>
        <v>81.347999999999999</v>
      </c>
      <c r="F498" s="79">
        <f t="shared" si="187"/>
        <v>6.9211836550930315</v>
      </c>
      <c r="G498" s="79">
        <f>0</f>
        <v>0</v>
      </c>
      <c r="H498" s="79">
        <f t="shared" si="188"/>
        <v>0</v>
      </c>
      <c r="I498" s="79">
        <f t="shared" si="189"/>
        <v>4.6141224367286924</v>
      </c>
      <c r="J498" s="79">
        <f t="shared" si="190"/>
        <v>0</v>
      </c>
      <c r="K498" s="79">
        <f>0</f>
        <v>0</v>
      </c>
      <c r="L498" s="79">
        <f t="shared" si="191"/>
        <v>0</v>
      </c>
      <c r="M498" s="79">
        <f t="shared" si="192"/>
        <v>0</v>
      </c>
      <c r="N498" s="79">
        <f t="shared" si="193"/>
        <v>11.535306091821724</v>
      </c>
      <c r="O498" s="77" t="str">
        <f t="shared" si="194"/>
        <v>-4.6</v>
      </c>
    </row>
    <row r="499" spans="1:16" x14ac:dyDescent="0.25">
      <c r="A499" s="77" t="s">
        <v>277</v>
      </c>
      <c r="B499" s="79">
        <f>E303-F303</f>
        <v>1.4259999999999877</v>
      </c>
      <c r="C499" s="77" t="s">
        <v>271</v>
      </c>
      <c r="D499" s="79">
        <f t="shared" si="185"/>
        <v>81.347999999999999</v>
      </c>
      <c r="E499" s="79">
        <f t="shared" si="186"/>
        <v>82.773999999999987</v>
      </c>
      <c r="F499" s="79">
        <f t="shared" si="187"/>
        <v>6.9211836550930315</v>
      </c>
      <c r="G499" s="79">
        <f>0</f>
        <v>0</v>
      </c>
      <c r="H499" s="79">
        <f t="shared" si="188"/>
        <v>1.4259999999999877</v>
      </c>
      <c r="I499" s="79">
        <f t="shared" si="189"/>
        <v>0</v>
      </c>
      <c r="J499" s="79">
        <f t="shared" si="190"/>
        <v>0</v>
      </c>
      <c r="K499" s="79">
        <f>0</f>
        <v>0</v>
      </c>
      <c r="L499" s="79">
        <f t="shared" si="191"/>
        <v>0</v>
      </c>
      <c r="M499" s="79">
        <f t="shared" si="192"/>
        <v>0</v>
      </c>
      <c r="N499" s="79">
        <f t="shared" si="193"/>
        <v>8.3471836550930192</v>
      </c>
      <c r="O499" s="77" t="str">
        <f t="shared" si="194"/>
        <v>+1.4</v>
      </c>
    </row>
    <row r="500" spans="1:16" x14ac:dyDescent="0.25">
      <c r="A500" s="77" t="s">
        <v>155</v>
      </c>
      <c r="B500" s="79">
        <f>E304-F304</f>
        <v>-1.1259999999999977</v>
      </c>
      <c r="C500" s="77" t="s">
        <v>271</v>
      </c>
      <c r="D500" s="79">
        <f t="shared" si="185"/>
        <v>82.773999999999987</v>
      </c>
      <c r="E500" s="79">
        <f t="shared" si="186"/>
        <v>81.647999999999996</v>
      </c>
      <c r="F500" s="79">
        <f t="shared" si="187"/>
        <v>7.2211836550930286</v>
      </c>
      <c r="G500" s="79">
        <f>0</f>
        <v>0</v>
      </c>
      <c r="H500" s="79">
        <f t="shared" si="188"/>
        <v>0</v>
      </c>
      <c r="I500" s="79">
        <f t="shared" si="189"/>
        <v>1.1259999999999906</v>
      </c>
      <c r="J500" s="79">
        <f t="shared" si="190"/>
        <v>0</v>
      </c>
      <c r="K500" s="79">
        <f>0</f>
        <v>0</v>
      </c>
      <c r="L500" s="79">
        <f t="shared" si="191"/>
        <v>0</v>
      </c>
      <c r="M500" s="79">
        <f t="shared" si="192"/>
        <v>0</v>
      </c>
      <c r="N500" s="79">
        <f t="shared" si="193"/>
        <v>8.3471836550930192</v>
      </c>
      <c r="O500" s="77" t="str">
        <f t="shared" si="194"/>
        <v>-1.1</v>
      </c>
    </row>
    <row r="501" spans="1:16" x14ac:dyDescent="0.25">
      <c r="A501" s="77" t="s">
        <v>97</v>
      </c>
      <c r="B501" s="79">
        <f>E306-F306</f>
        <v>0.16200000000002035</v>
      </c>
      <c r="C501" s="77" t="s">
        <v>271</v>
      </c>
      <c r="D501" s="79">
        <f t="shared" si="185"/>
        <v>81.647999999999996</v>
      </c>
      <c r="E501" s="79">
        <f t="shared" si="186"/>
        <v>81.810000000000016</v>
      </c>
      <c r="F501" s="79">
        <f t="shared" si="187"/>
        <v>7.2211836550930286</v>
      </c>
      <c r="G501" s="79">
        <f>0</f>
        <v>0</v>
      </c>
      <c r="H501" s="79">
        <f t="shared" si="188"/>
        <v>0.16200000000002035</v>
      </c>
      <c r="I501" s="79">
        <f t="shared" si="189"/>
        <v>0</v>
      </c>
      <c r="J501" s="79">
        <f t="shared" si="190"/>
        <v>0</v>
      </c>
      <c r="K501" s="79">
        <f>0</f>
        <v>0</v>
      </c>
      <c r="L501" s="79">
        <f t="shared" si="191"/>
        <v>0</v>
      </c>
      <c r="M501" s="79">
        <f t="shared" si="192"/>
        <v>0</v>
      </c>
      <c r="N501" s="79">
        <f t="shared" si="193"/>
        <v>7.383183655093049</v>
      </c>
      <c r="O501" s="77" t="str">
        <f t="shared" si="194"/>
        <v>+0.2</v>
      </c>
    </row>
    <row r="502" spans="1:16" x14ac:dyDescent="0.25">
      <c r="A502" s="77" t="str">
        <f>AcLbl</f>
        <v>Actual</v>
      </c>
      <c r="B502" s="79">
        <f>E307</f>
        <v>81.81</v>
      </c>
      <c r="C502" s="77" t="s">
        <v>270</v>
      </c>
      <c r="D502" s="79">
        <f>0</f>
        <v>0</v>
      </c>
      <c r="E502" s="79">
        <f>B502</f>
        <v>81.81</v>
      </c>
      <c r="F502" s="79">
        <f>MAX(0,MIN(0,(E502-$P$495)))</f>
        <v>0</v>
      </c>
      <c r="G502" s="79">
        <f>(MAX(0,MAX(0,(E502-$P$495)))-MAX(0,MIN(0,(E502-$P$495))))</f>
        <v>7.3831836550930348</v>
      </c>
      <c r="H502" s="79">
        <f>0</f>
        <v>0</v>
      </c>
      <c r="I502" s="79">
        <f>0</f>
        <v>0</v>
      </c>
      <c r="J502" s="79">
        <f>MIN(0,MAX(0,(E502-$P$495)))</f>
        <v>0</v>
      </c>
      <c r="K502" s="79">
        <f>(MIN(0,MIN(0,(E502-$P$495)))-MIN(0,MAX(0,(E502-$P$495))))</f>
        <v>0</v>
      </c>
      <c r="L502" s="79">
        <f>0</f>
        <v>0</v>
      </c>
      <c r="M502" s="79">
        <f>0</f>
        <v>0</v>
      </c>
      <c r="N502" s="79">
        <f>MAX(0,(E502-$P$495))</f>
        <v>7.3831836550930348</v>
      </c>
      <c r="O502" s="77" t="str">
        <f>FIXED(B502,1)</f>
        <v>81.8</v>
      </c>
    </row>
    <row r="504" spans="1:16" x14ac:dyDescent="0.25">
      <c r="A504" s="76" t="s">
        <v>278</v>
      </c>
    </row>
    <row r="505" spans="1:16" x14ac:dyDescent="0.25">
      <c r="A505" s="78" t="s">
        <v>254</v>
      </c>
      <c r="B505" s="78" t="s">
        <v>255</v>
      </c>
      <c r="C505" s="78" t="s">
        <v>256</v>
      </c>
      <c r="D505" s="78" t="s">
        <v>257</v>
      </c>
      <c r="E505" s="78" t="s">
        <v>258</v>
      </c>
      <c r="F505" s="78" t="s">
        <v>259</v>
      </c>
      <c r="G505" s="78" t="s">
        <v>260</v>
      </c>
      <c r="H505" s="78" t="s">
        <v>261</v>
      </c>
      <c r="I505" s="78" t="s">
        <v>262</v>
      </c>
      <c r="J505" s="78" t="s">
        <v>263</v>
      </c>
      <c r="K505" s="78" t="s">
        <v>264</v>
      </c>
      <c r="L505" s="78" t="s">
        <v>265</v>
      </c>
      <c r="M505" s="78" t="s">
        <v>266</v>
      </c>
      <c r="N505" s="78" t="s">
        <v>267</v>
      </c>
      <c r="O505" s="78" t="s">
        <v>268</v>
      </c>
      <c r="P505" s="78" t="s">
        <v>269</v>
      </c>
    </row>
    <row r="506" spans="1:16" x14ac:dyDescent="0.25">
      <c r="A506" s="77" t="s">
        <v>149</v>
      </c>
      <c r="B506" s="79">
        <f>INDEX(Calc!$D$346:$D$351,MATCH(focusChannel,Calc!$B$346:$B$351,0))</f>
        <v>87.406999999999996</v>
      </c>
      <c r="C506" s="77" t="s">
        <v>270</v>
      </c>
      <c r="D506" s="79">
        <f>0</f>
        <v>0</v>
      </c>
      <c r="E506" s="79">
        <f>B506</f>
        <v>87.406999999999996</v>
      </c>
      <c r="F506" s="79">
        <f>MAX(0,MIN(0,(E506-$P$506)))</f>
        <v>0</v>
      </c>
      <c r="G506" s="79">
        <f>(MAX(0,MAX(0,(E506-$P$506)))-MAX(0,MIN(0,(E506-$P$506))))</f>
        <v>87.406999999999996</v>
      </c>
      <c r="H506" s="79">
        <f>0</f>
        <v>0</v>
      </c>
      <c r="I506" s="79">
        <f>0</f>
        <v>0</v>
      </c>
      <c r="J506" s="79">
        <f>MIN(0,MAX(0,(E506-$P$506)))</f>
        <v>0</v>
      </c>
      <c r="K506" s="79">
        <f>(MIN(0,MIN(0,(E506-$P$506)))-MIN(0,MAX(0,(E506-$P$506))))</f>
        <v>0</v>
      </c>
      <c r="L506" s="79">
        <f>0</f>
        <v>0</v>
      </c>
      <c r="M506" s="79">
        <f>0</f>
        <v>0</v>
      </c>
      <c r="N506" s="79">
        <f>MAX(0,(E506-$P$506))</f>
        <v>87.406999999999996</v>
      </c>
      <c r="O506" s="77" t="str">
        <f>FIXED(B506,1)</f>
        <v>87.4</v>
      </c>
      <c r="P506" s="79">
        <f>0</f>
        <v>0</v>
      </c>
    </row>
    <row r="507" spans="1:16" x14ac:dyDescent="0.25">
      <c r="A507" s="77" t="s">
        <v>252</v>
      </c>
      <c r="B507" s="79">
        <f>INDEX(Calc!$E$346:$E$351,MATCH(focusChannel,Calc!$B$346:$B$351,0))</f>
        <v>-9.4390000000000001</v>
      </c>
      <c r="C507" s="77" t="s">
        <v>271</v>
      </c>
      <c r="D507" s="79">
        <f>E506</f>
        <v>87.406999999999996</v>
      </c>
      <c r="E507" s="79">
        <f>D507+B507</f>
        <v>77.967999999999989</v>
      </c>
      <c r="F507" s="79">
        <f>MAX(0,MIN((D507-$P$506),(E507-$P$506)))</f>
        <v>77.967999999999989</v>
      </c>
      <c r="G507" s="79">
        <f>0</f>
        <v>0</v>
      </c>
      <c r="H507" s="79">
        <f>IF(B507&gt;=0,(MAX(0,MAX((D507-$P$506),(E507-$P$506)))-MAX(0,MIN((D507-$P$506),(E507-$P$506)))),0)</f>
        <v>0</v>
      </c>
      <c r="I507" s="79">
        <f>IF(B507&lt;0,(MAX(0,MAX((D507-$P$506),(E507-$P$506)))-MAX(0,MIN((D507-$P$506),(E507-$P$506)))),0)</f>
        <v>9.4390000000000072</v>
      </c>
      <c r="J507" s="79">
        <f>MIN(0,MAX((D507-$P$506),(E507-$P$506)))</f>
        <v>0</v>
      </c>
      <c r="K507" s="79">
        <f>0</f>
        <v>0</v>
      </c>
      <c r="L507" s="79">
        <f>IF(B507&gt;=0,(MIN(0,MIN((D507-$P$506),(E507-$P$506)))-MIN(0,MAX((D507-$P$506),(E507-$P$506)))),0)</f>
        <v>0</v>
      </c>
      <c r="M507" s="79">
        <f>IF(B507&lt;0,(MIN(0,MIN((D507-$P$506),(E507-$P$506)))-MIN(0,MAX((D507-$P$506),(E507-$P$506)))),0)</f>
        <v>0</v>
      </c>
      <c r="N507" s="79">
        <f>MAX((D507-$P$506),(E507-$P$506))</f>
        <v>87.406999999999996</v>
      </c>
      <c r="O507" s="77" t="str">
        <f>IF(B507&gt;=0,"+","-")&amp;FIXED(ABS(B507),1)</f>
        <v>-9.4</v>
      </c>
    </row>
    <row r="508" spans="1:16" x14ac:dyDescent="0.25">
      <c r="A508" s="77" t="s">
        <v>8</v>
      </c>
      <c r="B508" s="79">
        <f>INDEX(Calc!$F$346:$F$351,MATCH(focusChannel,Calc!$B$346:$B$351,0))</f>
        <v>-3.4969999999999999</v>
      </c>
      <c r="C508" s="77" t="s">
        <v>271</v>
      </c>
      <c r="D508" s="79">
        <f>E507</f>
        <v>77.967999999999989</v>
      </c>
      <c r="E508" s="79">
        <f>D508+B508</f>
        <v>74.470999999999989</v>
      </c>
      <c r="F508" s="79">
        <f>MAX(0,MIN((D508-$P$506),(E508-$P$506)))</f>
        <v>74.470999999999989</v>
      </c>
      <c r="G508" s="79">
        <f>0</f>
        <v>0</v>
      </c>
      <c r="H508" s="79">
        <f>IF(B508&gt;=0,(MAX(0,MAX((D508-$P$506),(E508-$P$506)))-MAX(0,MIN((D508-$P$506),(E508-$P$506)))),0)</f>
        <v>0</v>
      </c>
      <c r="I508" s="79">
        <f>IF(B508&lt;0,(MAX(0,MAX((D508-$P$506),(E508-$P$506)))-MAX(0,MIN((D508-$P$506),(E508-$P$506)))),0)</f>
        <v>3.4969999999999999</v>
      </c>
      <c r="J508" s="79">
        <f>MIN(0,MAX((D508-$P$506),(E508-$P$506)))</f>
        <v>0</v>
      </c>
      <c r="K508" s="79">
        <f>0</f>
        <v>0</v>
      </c>
      <c r="L508" s="79">
        <f>IF(B508&gt;=0,(MIN(0,MIN((D508-$P$506),(E508-$P$506)))-MIN(0,MAX((D508-$P$506),(E508-$P$506)))),0)</f>
        <v>0</v>
      </c>
      <c r="M508" s="79">
        <f>IF(B508&lt;0,(MIN(0,MIN((D508-$P$506),(E508-$P$506)))-MIN(0,MAX((D508-$P$506),(E508-$P$506)))),0)</f>
        <v>0</v>
      </c>
      <c r="N508" s="79">
        <f>MAX((D508-$P$506),(E508-$P$506))</f>
        <v>77.967999999999989</v>
      </c>
      <c r="O508" s="77" t="str">
        <f>IF(B508&gt;=0,"+","-")&amp;FIXED(ABS(B508),1)</f>
        <v>-3.5</v>
      </c>
    </row>
    <row r="509" spans="1:16" x14ac:dyDescent="0.25">
      <c r="A509" s="77" t="s">
        <v>31</v>
      </c>
      <c r="B509" s="79">
        <f>INDEX(Calc!$H$346:$H$351,MATCH(focusChannel,Calc!$B$346:$B$351,0))</f>
        <v>-31.640999999999998</v>
      </c>
      <c r="C509" s="77" t="s">
        <v>271</v>
      </c>
      <c r="D509" s="79">
        <f>E508</f>
        <v>74.470999999999989</v>
      </c>
      <c r="E509" s="79">
        <f>D509+B509</f>
        <v>42.829999999999991</v>
      </c>
      <c r="F509" s="79">
        <f>MAX(0,MIN((D509-$P$506),(E509-$P$506)))</f>
        <v>42.829999999999991</v>
      </c>
      <c r="G509" s="79">
        <f>0</f>
        <v>0</v>
      </c>
      <c r="H509" s="79">
        <f>IF(B509&gt;=0,(MAX(0,MAX((D509-$P$506),(E509-$P$506)))-MAX(0,MIN((D509-$P$506),(E509-$P$506)))),0)</f>
        <v>0</v>
      </c>
      <c r="I509" s="79">
        <f>IF(B509&lt;0,(MAX(0,MAX((D509-$P$506),(E509-$P$506)))-MAX(0,MIN((D509-$P$506),(E509-$P$506)))),0)</f>
        <v>31.640999999999998</v>
      </c>
      <c r="J509" s="79">
        <f>MIN(0,MAX((D509-$P$506),(E509-$P$506)))</f>
        <v>0</v>
      </c>
      <c r="K509" s="79">
        <f>0</f>
        <v>0</v>
      </c>
      <c r="L509" s="79">
        <f>IF(B509&gt;=0,(MIN(0,MIN((D509-$P$506),(E509-$P$506)))-MIN(0,MAX((D509-$P$506),(E509-$P$506)))),0)</f>
        <v>0</v>
      </c>
      <c r="M509" s="79">
        <f>IF(B509&lt;0,(MIN(0,MIN((D509-$P$506),(E509-$P$506)))-MIN(0,MAX((D509-$P$506),(E509-$P$506)))),0)</f>
        <v>0</v>
      </c>
      <c r="N509" s="79">
        <f>MAX((D509-$P$506),(E509-$P$506))</f>
        <v>74.470999999999989</v>
      </c>
      <c r="O509" s="77" t="str">
        <f>IF(B509&gt;=0,"+","-")&amp;FIXED(ABS(B509),1)</f>
        <v>-31.6</v>
      </c>
    </row>
    <row r="510" spans="1:16" x14ac:dyDescent="0.25">
      <c r="A510" s="77" t="s">
        <v>277</v>
      </c>
      <c r="B510" s="79">
        <f>INDEX(Calc!$J$346:$J$351,MATCH(focusChannel,Calc!$B$346:$B$351,0))</f>
        <v>-5.7039999999999997</v>
      </c>
      <c r="C510" s="77" t="s">
        <v>271</v>
      </c>
      <c r="D510" s="79">
        <f>E509</f>
        <v>42.829999999999991</v>
      </c>
      <c r="E510" s="79">
        <f>D510+B510</f>
        <v>37.125999999999991</v>
      </c>
      <c r="F510" s="79">
        <f>MAX(0,MIN((D510-$P$506),(E510-$P$506)))</f>
        <v>37.125999999999991</v>
      </c>
      <c r="G510" s="79">
        <f>0</f>
        <v>0</v>
      </c>
      <c r="H510" s="79">
        <f>IF(B510&gt;=0,(MAX(0,MAX((D510-$P$506),(E510-$P$506)))-MAX(0,MIN((D510-$P$506),(E510-$P$506)))),0)</f>
        <v>0</v>
      </c>
      <c r="I510" s="79">
        <f>IF(B510&lt;0,(MAX(0,MAX((D510-$P$506),(E510-$P$506)))-MAX(0,MIN((D510-$P$506),(E510-$P$506)))),0)</f>
        <v>5.7040000000000006</v>
      </c>
      <c r="J510" s="79">
        <f>MIN(0,MAX((D510-$P$506),(E510-$P$506)))</f>
        <v>0</v>
      </c>
      <c r="K510" s="79">
        <f>0</f>
        <v>0</v>
      </c>
      <c r="L510" s="79">
        <f>IF(B510&gt;=0,(MIN(0,MIN((D510-$P$506),(E510-$P$506)))-MIN(0,MAX((D510-$P$506),(E510-$P$506)))),0)</f>
        <v>0</v>
      </c>
      <c r="M510" s="79">
        <f>IF(B510&lt;0,(MIN(0,MIN((D510-$P$506),(E510-$P$506)))-MIN(0,MAX((D510-$P$506),(E510-$P$506)))),0)</f>
        <v>0</v>
      </c>
      <c r="N510" s="79">
        <f>MAX((D510-$P$506),(E510-$P$506))</f>
        <v>42.829999999999991</v>
      </c>
      <c r="O510" s="77" t="str">
        <f>IF(B510&gt;=0,"+","-")&amp;FIXED(ABS(B510),1)</f>
        <v>-5.7</v>
      </c>
    </row>
    <row r="511" spans="1:16" x14ac:dyDescent="0.25">
      <c r="A511" s="77" t="s">
        <v>155</v>
      </c>
      <c r="B511" s="79">
        <f>INDEX(Calc!$K$346:$K$351,MATCH(focusChannel,Calc!$B$346:$B$351,0))</f>
        <v>-8.5030000000000001</v>
      </c>
      <c r="C511" s="77" t="s">
        <v>271</v>
      </c>
      <c r="D511" s="79">
        <f>E510</f>
        <v>37.125999999999991</v>
      </c>
      <c r="E511" s="79">
        <f>D511+B511</f>
        <v>28.62299999999999</v>
      </c>
      <c r="F511" s="79">
        <f>MAX(0,MIN((D511-$P$506),(E511-$P$506)))</f>
        <v>28.62299999999999</v>
      </c>
      <c r="G511" s="79">
        <f>0</f>
        <v>0</v>
      </c>
      <c r="H511" s="79">
        <f>IF(B511&gt;=0,(MAX(0,MAX((D511-$P$506),(E511-$P$506)))-MAX(0,MIN((D511-$P$506),(E511-$P$506)))),0)</f>
        <v>0</v>
      </c>
      <c r="I511" s="79">
        <f>IF(B511&lt;0,(MAX(0,MAX((D511-$P$506),(E511-$P$506)))-MAX(0,MIN((D511-$P$506),(E511-$P$506)))),0)</f>
        <v>8.5030000000000001</v>
      </c>
      <c r="J511" s="79">
        <f>MIN(0,MAX((D511-$P$506),(E511-$P$506)))</f>
        <v>0</v>
      </c>
      <c r="K511" s="79">
        <f>0</f>
        <v>0</v>
      </c>
      <c r="L511" s="79">
        <f>IF(B511&gt;=0,(MIN(0,MIN((D511-$P$506),(E511-$P$506)))-MIN(0,MAX((D511-$P$506),(E511-$P$506)))),0)</f>
        <v>0</v>
      </c>
      <c r="M511" s="79">
        <f>IF(B511&lt;0,(MIN(0,MIN((D511-$P$506),(E511-$P$506)))-MIN(0,MAX((D511-$P$506),(E511-$P$506)))),0)</f>
        <v>0</v>
      </c>
      <c r="N511" s="79">
        <f>MAX((D511-$P$506),(E511-$P$506))</f>
        <v>37.125999999999991</v>
      </c>
      <c r="O511" s="77" t="str">
        <f>IF(B511&gt;=0,"+","-")&amp;FIXED(ABS(B511),1)</f>
        <v>-8.5</v>
      </c>
    </row>
    <row r="512" spans="1:16" x14ac:dyDescent="0.25">
      <c r="A512" s="77" t="s">
        <v>96</v>
      </c>
      <c r="B512" s="79">
        <f>INDEX(Calc!$L$346:$L$351,MATCH(focusChannel,Calc!$B$346:$B$351,0))</f>
        <v>28.623000000000001</v>
      </c>
      <c r="C512" s="77" t="s">
        <v>270</v>
      </c>
      <c r="D512" s="79">
        <f>0</f>
        <v>0</v>
      </c>
      <c r="E512" s="79">
        <f>B512</f>
        <v>28.623000000000001</v>
      </c>
      <c r="F512" s="79">
        <f>MAX(0,MIN(0,(E512-$P$506)))</f>
        <v>0</v>
      </c>
      <c r="G512" s="79">
        <f>(MAX(0,MAX(0,(E512-$P$506)))-MAX(0,MIN(0,(E512-$P$506))))</f>
        <v>28.623000000000001</v>
      </c>
      <c r="H512" s="79">
        <f>0</f>
        <v>0</v>
      </c>
      <c r="I512" s="79">
        <f>0</f>
        <v>0</v>
      </c>
      <c r="J512" s="79">
        <f>MIN(0,MAX(0,(E512-$P$506)))</f>
        <v>0</v>
      </c>
      <c r="K512" s="79">
        <f>(MIN(0,MIN(0,(E512-$P$506)))-MIN(0,MAX(0,(E512-$P$506))))</f>
        <v>0</v>
      </c>
      <c r="L512" s="79">
        <f>0</f>
        <v>0</v>
      </c>
      <c r="M512" s="79">
        <f>0</f>
        <v>0</v>
      </c>
      <c r="N512" s="79">
        <f>MAX(0,(E512-$P$506))</f>
        <v>28.623000000000001</v>
      </c>
      <c r="O512" s="77" t="str">
        <f>FIXED(B512,1)</f>
        <v>28.6</v>
      </c>
    </row>
    <row r="514" spans="1:16" x14ac:dyDescent="0.25">
      <c r="A514" s="76" t="s">
        <v>279</v>
      </c>
    </row>
    <row r="515" spans="1:16" x14ac:dyDescent="0.25">
      <c r="A515" s="78" t="s">
        <v>254</v>
      </c>
      <c r="B515" s="78" t="s">
        <v>255</v>
      </c>
      <c r="C515" s="78" t="s">
        <v>256</v>
      </c>
      <c r="D515" s="78" t="s">
        <v>257</v>
      </c>
      <c r="E515" s="78" t="s">
        <v>258</v>
      </c>
      <c r="F515" s="78" t="s">
        <v>259</v>
      </c>
      <c r="G515" s="78" t="s">
        <v>260</v>
      </c>
      <c r="H515" s="78" t="s">
        <v>261</v>
      </c>
      <c r="I515" s="78" t="s">
        <v>262</v>
      </c>
      <c r="J515" s="78" t="s">
        <v>263</v>
      </c>
      <c r="K515" s="78" t="s">
        <v>264</v>
      </c>
      <c r="L515" s="78" t="s">
        <v>265</v>
      </c>
      <c r="M515" s="78" t="s">
        <v>266</v>
      </c>
      <c r="N515" s="78" t="s">
        <v>267</v>
      </c>
      <c r="O515" s="78" t="s">
        <v>268</v>
      </c>
      <c r="P515" s="78" t="s">
        <v>269</v>
      </c>
    </row>
    <row r="516" spans="1:16" x14ac:dyDescent="0.25">
      <c r="A516" s="77" t="s">
        <v>149</v>
      </c>
      <c r="B516" s="79">
        <f>INDEX(Calc!$D$382:$D$387,MATCH(focusBrand,Calc!$B$382:$B$387,0))</f>
        <v>146.96700000000001</v>
      </c>
      <c r="C516" s="77" t="s">
        <v>270</v>
      </c>
      <c r="D516" s="79">
        <f>0</f>
        <v>0</v>
      </c>
      <c r="E516" s="79">
        <f>B516</f>
        <v>146.96700000000001</v>
      </c>
      <c r="F516" s="79">
        <f>MAX(0,MIN(0,(E516-$P$516)))</f>
        <v>0</v>
      </c>
      <c r="G516" s="79">
        <f>(MAX(0,MAX(0,(E516-$P$516)))-MAX(0,MIN(0,(E516-$P$516))))</f>
        <v>146.96700000000001</v>
      </c>
      <c r="H516" s="79">
        <f>0</f>
        <v>0</v>
      </c>
      <c r="I516" s="79">
        <f>0</f>
        <v>0</v>
      </c>
      <c r="J516" s="79">
        <f>MIN(0,MAX(0,(E516-$P$516)))</f>
        <v>0</v>
      </c>
      <c r="K516" s="79">
        <f>(MIN(0,MIN(0,(E516-$P$516)))-MIN(0,MAX(0,(E516-$P$516))))</f>
        <v>0</v>
      </c>
      <c r="L516" s="79">
        <f>0</f>
        <v>0</v>
      </c>
      <c r="M516" s="79">
        <f>0</f>
        <v>0</v>
      </c>
      <c r="N516" s="79">
        <f>MAX(0,(E516-$P$516))</f>
        <v>146.96700000000001</v>
      </c>
      <c r="O516" s="77" t="str">
        <f>FIXED(B516,1)</f>
        <v>147.0</v>
      </c>
      <c r="P516" s="79">
        <f>0</f>
        <v>0</v>
      </c>
    </row>
    <row r="517" spans="1:16" x14ac:dyDescent="0.25">
      <c r="A517" s="77" t="s">
        <v>252</v>
      </c>
      <c r="B517" s="79">
        <f>INDEX(Calc!$E$382:$E$387,MATCH(focusBrand,Calc!$B$382:$B$387,0))</f>
        <v>-22.975000000000001</v>
      </c>
      <c r="C517" s="77" t="s">
        <v>271</v>
      </c>
      <c r="D517" s="79">
        <f>E516</f>
        <v>146.96700000000001</v>
      </c>
      <c r="E517" s="79">
        <f>D517+B517</f>
        <v>123.99200000000002</v>
      </c>
      <c r="F517" s="79">
        <f>MAX(0,MIN((D517-$P$516),(E517-$P$516)))</f>
        <v>123.99200000000002</v>
      </c>
      <c r="G517" s="79">
        <f>0</f>
        <v>0</v>
      </c>
      <c r="H517" s="79">
        <f>IF(B517&gt;=0,(MAX(0,MAX((D517-$P$516),(E517-$P$516)))-MAX(0,MIN((D517-$P$516),(E517-$P$516)))),0)</f>
        <v>0</v>
      </c>
      <c r="I517" s="79">
        <f>IF(B517&lt;0,(MAX(0,MAX((D517-$P$516),(E517-$P$516)))-MAX(0,MIN((D517-$P$516),(E517-$P$516)))),0)</f>
        <v>22.974999999999994</v>
      </c>
      <c r="J517" s="79">
        <f>MIN(0,MAX((D517-$P$516),(E517-$P$516)))</f>
        <v>0</v>
      </c>
      <c r="K517" s="79">
        <f>0</f>
        <v>0</v>
      </c>
      <c r="L517" s="79">
        <f>IF(B517&gt;=0,(MIN(0,MIN((D517-$P$516),(E517-$P$516)))-MIN(0,MAX((D517-$P$516),(E517-$P$516)))),0)</f>
        <v>0</v>
      </c>
      <c r="M517" s="79">
        <f>IF(B517&lt;0,(MIN(0,MIN((D517-$P$516),(E517-$P$516)))-MIN(0,MAX((D517-$P$516),(E517-$P$516)))),0)</f>
        <v>0</v>
      </c>
      <c r="N517" s="79">
        <f>MAX((D517-$P$516),(E517-$P$516))</f>
        <v>146.96700000000001</v>
      </c>
      <c r="O517" s="77" t="str">
        <f>IF(B517&gt;=0,"+","-")&amp;FIXED(ABS(B517),1)</f>
        <v>-23.0</v>
      </c>
    </row>
    <row r="518" spans="1:16" x14ac:dyDescent="0.25">
      <c r="A518" s="77" t="s">
        <v>8</v>
      </c>
      <c r="B518" s="79">
        <f>INDEX(Calc!$F$382:$F$387,MATCH(focusBrand,Calc!$B$382:$B$387,0))</f>
        <v>-2.8860000000000001</v>
      </c>
      <c r="C518" s="77" t="s">
        <v>271</v>
      </c>
      <c r="D518" s="79">
        <f>E517</f>
        <v>123.99200000000002</v>
      </c>
      <c r="E518" s="79">
        <f>D518+B518</f>
        <v>121.10600000000002</v>
      </c>
      <c r="F518" s="79">
        <f>MAX(0,MIN((D518-$P$516),(E518-$P$516)))</f>
        <v>121.10600000000002</v>
      </c>
      <c r="G518" s="79">
        <f>0</f>
        <v>0</v>
      </c>
      <c r="H518" s="79">
        <f>IF(B518&gt;=0,(MAX(0,MAX((D518-$P$516),(E518-$P$516)))-MAX(0,MIN((D518-$P$516),(E518-$P$516)))),0)</f>
        <v>0</v>
      </c>
      <c r="I518" s="79">
        <f>IF(B518&lt;0,(MAX(0,MAX((D518-$P$516),(E518-$P$516)))-MAX(0,MIN((D518-$P$516),(E518-$P$516)))),0)</f>
        <v>2.8859999999999957</v>
      </c>
      <c r="J518" s="79">
        <f>MIN(0,MAX((D518-$P$516),(E518-$P$516)))</f>
        <v>0</v>
      </c>
      <c r="K518" s="79">
        <f>0</f>
        <v>0</v>
      </c>
      <c r="L518" s="79">
        <f>IF(B518&gt;=0,(MIN(0,MIN((D518-$P$516),(E518-$P$516)))-MIN(0,MAX((D518-$P$516),(E518-$P$516)))),0)</f>
        <v>0</v>
      </c>
      <c r="M518" s="79">
        <f>IF(B518&lt;0,(MIN(0,MIN((D518-$P$516),(E518-$P$516)))-MIN(0,MAX((D518-$P$516),(E518-$P$516)))),0)</f>
        <v>0</v>
      </c>
      <c r="N518" s="79">
        <f>MAX((D518-$P$516),(E518-$P$516))</f>
        <v>123.99200000000002</v>
      </c>
      <c r="O518" s="77" t="str">
        <f>IF(B518&gt;=0,"+","-")&amp;FIXED(ABS(B518),1)</f>
        <v>-2.9</v>
      </c>
    </row>
    <row r="519" spans="1:16" x14ac:dyDescent="0.25">
      <c r="A519" s="77" t="s">
        <v>31</v>
      </c>
      <c r="B519" s="79">
        <f>INDEX(Calc!$H$382:$H$387,MATCH(focusBrand,Calc!$B$382:$B$387,0))</f>
        <v>-45.094999999999999</v>
      </c>
      <c r="C519" s="77" t="s">
        <v>271</v>
      </c>
      <c r="D519" s="79">
        <f>E518</f>
        <v>121.10600000000002</v>
      </c>
      <c r="E519" s="79">
        <f>D519+B519</f>
        <v>76.011000000000024</v>
      </c>
      <c r="F519" s="79">
        <f>MAX(0,MIN((D519-$P$516),(E519-$P$516)))</f>
        <v>76.011000000000024</v>
      </c>
      <c r="G519" s="79">
        <f>0</f>
        <v>0</v>
      </c>
      <c r="H519" s="79">
        <f>IF(B519&gt;=0,(MAX(0,MAX((D519-$P$516),(E519-$P$516)))-MAX(0,MIN((D519-$P$516),(E519-$P$516)))),0)</f>
        <v>0</v>
      </c>
      <c r="I519" s="79">
        <f>IF(B519&lt;0,(MAX(0,MAX((D519-$P$516),(E519-$P$516)))-MAX(0,MIN((D519-$P$516),(E519-$P$516)))),0)</f>
        <v>45.094999999999999</v>
      </c>
      <c r="J519" s="79">
        <f>MIN(0,MAX((D519-$P$516),(E519-$P$516)))</f>
        <v>0</v>
      </c>
      <c r="K519" s="79">
        <f>0</f>
        <v>0</v>
      </c>
      <c r="L519" s="79">
        <f>IF(B519&gt;=0,(MIN(0,MIN((D519-$P$516),(E519-$P$516)))-MIN(0,MAX((D519-$P$516),(E519-$P$516)))),0)</f>
        <v>0</v>
      </c>
      <c r="M519" s="79">
        <f>IF(B519&lt;0,(MIN(0,MIN((D519-$P$516),(E519-$P$516)))-MIN(0,MAX((D519-$P$516),(E519-$P$516)))),0)</f>
        <v>0</v>
      </c>
      <c r="N519" s="79">
        <f>MAX((D519-$P$516),(E519-$P$516))</f>
        <v>121.10600000000002</v>
      </c>
      <c r="O519" s="77" t="str">
        <f>IF(B519&gt;=0,"+","-")&amp;FIXED(ABS(B519),1)</f>
        <v>-45.1</v>
      </c>
    </row>
    <row r="520" spans="1:16" x14ac:dyDescent="0.25">
      <c r="A520" s="77" t="s">
        <v>277</v>
      </c>
      <c r="B520" s="79">
        <f>INDEX(Calc!$J$382:$J$387,MATCH(focusBrand,Calc!$B$382:$B$387,0))</f>
        <v>-12.208</v>
      </c>
      <c r="C520" s="77" t="s">
        <v>271</v>
      </c>
      <c r="D520" s="79">
        <f>E519</f>
        <v>76.011000000000024</v>
      </c>
      <c r="E520" s="79">
        <f>D520+B520</f>
        <v>63.803000000000026</v>
      </c>
      <c r="F520" s="79">
        <f>MAX(0,MIN((D520-$P$516),(E520-$P$516)))</f>
        <v>63.803000000000026</v>
      </c>
      <c r="G520" s="79">
        <f>0</f>
        <v>0</v>
      </c>
      <c r="H520" s="79">
        <f>IF(B520&gt;=0,(MAX(0,MAX((D520-$P$516),(E520-$P$516)))-MAX(0,MIN((D520-$P$516),(E520-$P$516)))),0)</f>
        <v>0</v>
      </c>
      <c r="I520" s="79">
        <f>IF(B520&lt;0,(MAX(0,MAX((D520-$P$516),(E520-$P$516)))-MAX(0,MIN((D520-$P$516),(E520-$P$516)))),0)</f>
        <v>12.207999999999998</v>
      </c>
      <c r="J520" s="79">
        <f>MIN(0,MAX((D520-$P$516),(E520-$P$516)))</f>
        <v>0</v>
      </c>
      <c r="K520" s="79">
        <f>0</f>
        <v>0</v>
      </c>
      <c r="L520" s="79">
        <f>IF(B520&gt;=0,(MIN(0,MIN((D520-$P$516),(E520-$P$516)))-MIN(0,MAX((D520-$P$516),(E520-$P$516)))),0)</f>
        <v>0</v>
      </c>
      <c r="M520" s="79">
        <f>IF(B520&lt;0,(MIN(0,MIN((D520-$P$516),(E520-$P$516)))-MIN(0,MAX((D520-$P$516),(E520-$P$516)))),0)</f>
        <v>0</v>
      </c>
      <c r="N520" s="79">
        <f>MAX((D520-$P$516),(E520-$P$516))</f>
        <v>76.011000000000024</v>
      </c>
      <c r="O520" s="77" t="str">
        <f>IF(B520&gt;=0,"+","-")&amp;FIXED(ABS(B520),1)</f>
        <v>-12.2</v>
      </c>
    </row>
    <row r="521" spans="1:16" x14ac:dyDescent="0.25">
      <c r="A521" s="77" t="s">
        <v>155</v>
      </c>
      <c r="B521" s="79">
        <f>INDEX(Calc!$K$382:$K$387,MATCH(focusBrand,Calc!$B$382:$B$387,0))</f>
        <v>-11.316000000000001</v>
      </c>
      <c r="C521" s="77" t="s">
        <v>271</v>
      </c>
      <c r="D521" s="79">
        <f>E520</f>
        <v>63.803000000000026</v>
      </c>
      <c r="E521" s="79">
        <f>D521+B521</f>
        <v>52.487000000000023</v>
      </c>
      <c r="F521" s="79">
        <f>MAX(0,MIN((D521-$P$516),(E521-$P$516)))</f>
        <v>52.487000000000023</v>
      </c>
      <c r="G521" s="79">
        <f>0</f>
        <v>0</v>
      </c>
      <c r="H521" s="79">
        <f>IF(B521&gt;=0,(MAX(0,MAX((D521-$P$516),(E521-$P$516)))-MAX(0,MIN((D521-$P$516),(E521-$P$516)))),0)</f>
        <v>0</v>
      </c>
      <c r="I521" s="79">
        <f>IF(B521&lt;0,(MAX(0,MAX((D521-$P$516),(E521-$P$516)))-MAX(0,MIN((D521-$P$516),(E521-$P$516)))),0)</f>
        <v>11.316000000000003</v>
      </c>
      <c r="J521" s="79">
        <f>MIN(0,MAX((D521-$P$516),(E521-$P$516)))</f>
        <v>0</v>
      </c>
      <c r="K521" s="79">
        <f>0</f>
        <v>0</v>
      </c>
      <c r="L521" s="79">
        <f>IF(B521&gt;=0,(MIN(0,MIN((D521-$P$516),(E521-$P$516)))-MIN(0,MAX((D521-$P$516),(E521-$P$516)))),0)</f>
        <v>0</v>
      </c>
      <c r="M521" s="79">
        <f>IF(B521&lt;0,(MIN(0,MIN((D521-$P$516),(E521-$P$516)))-MIN(0,MAX((D521-$P$516),(E521-$P$516)))),0)</f>
        <v>0</v>
      </c>
      <c r="N521" s="79">
        <f>MAX((D521-$P$516),(E521-$P$516))</f>
        <v>63.803000000000026</v>
      </c>
      <c r="O521" s="77" t="str">
        <f>IF(B521&gt;=0,"+","-")&amp;FIXED(ABS(B521),1)</f>
        <v>-11.3</v>
      </c>
    </row>
    <row r="522" spans="1:16" x14ac:dyDescent="0.25">
      <c r="A522" s="77" t="s">
        <v>96</v>
      </c>
      <c r="B522" s="79">
        <f>INDEX(Calc!$L$382:$L$387,MATCH(focusBrand,Calc!$B$382:$B$387,0))</f>
        <v>52.487000000000002</v>
      </c>
      <c r="C522" s="77" t="s">
        <v>270</v>
      </c>
      <c r="D522" s="79">
        <f>0</f>
        <v>0</v>
      </c>
      <c r="E522" s="79">
        <f>B522</f>
        <v>52.487000000000002</v>
      </c>
      <c r="F522" s="79">
        <f>MAX(0,MIN(0,(E522-$P$516)))</f>
        <v>0</v>
      </c>
      <c r="G522" s="79">
        <f>(MAX(0,MAX(0,(E522-$P$516)))-MAX(0,MIN(0,(E522-$P$516))))</f>
        <v>52.487000000000002</v>
      </c>
      <c r="H522" s="79">
        <f>0</f>
        <v>0</v>
      </c>
      <c r="I522" s="79">
        <f>0</f>
        <v>0</v>
      </c>
      <c r="J522" s="79">
        <f>MIN(0,MAX(0,(E522-$P$516)))</f>
        <v>0</v>
      </c>
      <c r="K522" s="79">
        <f>(MIN(0,MIN(0,(E522-$P$516)))-MIN(0,MAX(0,(E522-$P$516))))</f>
        <v>0</v>
      </c>
      <c r="L522" s="79">
        <f>0</f>
        <v>0</v>
      </c>
      <c r="M522" s="79">
        <f>0</f>
        <v>0</v>
      </c>
      <c r="N522" s="79">
        <f>MAX(0,(E522-$P$516))</f>
        <v>52.487000000000002</v>
      </c>
      <c r="O522" s="77" t="str">
        <f>FIXED(B522,1)</f>
        <v>52.5</v>
      </c>
    </row>
    <row r="524" spans="1:16" x14ac:dyDescent="0.25">
      <c r="A524" s="76" t="s">
        <v>280</v>
      </c>
    </row>
    <row r="525" spans="1:16" x14ac:dyDescent="0.25">
      <c r="A525" s="78" t="s">
        <v>0</v>
      </c>
      <c r="B525" s="78" t="s">
        <v>281</v>
      </c>
      <c r="C525" s="78" t="s">
        <v>282</v>
      </c>
      <c r="D525" s="78" t="s">
        <v>283</v>
      </c>
    </row>
    <row r="526" spans="1:16" x14ac:dyDescent="0.25">
      <c r="A526" s="77" t="str">
        <f>"PY "&amp;(selFY-1)</f>
        <v>PY 2025</v>
      </c>
      <c r="B526" s="79">
        <f>SUM(Calc!$D$187:$O$187)</f>
        <v>99.976999999999961</v>
      </c>
      <c r="C526" s="79">
        <f>0</f>
        <v>0</v>
      </c>
      <c r="D526" s="79">
        <f>B526+C526</f>
        <v>99.976999999999961</v>
      </c>
    </row>
    <row r="527" spans="1:16" x14ac:dyDescent="0.25">
      <c r="A527" s="77" t="s">
        <v>50</v>
      </c>
      <c r="B527" s="79">
        <f>SUM(Calc!$D$163:$O$163)</f>
        <v>110.584</v>
      </c>
      <c r="C527" s="79">
        <f>0</f>
        <v>0</v>
      </c>
      <c r="D527" s="79">
        <f>B527+C527</f>
        <v>110.584</v>
      </c>
    </row>
    <row r="528" spans="1:16" x14ac:dyDescent="0.25">
      <c r="A528" s="77" t="s">
        <v>51</v>
      </c>
      <c r="B528" s="79">
        <f>SUM(Calc!$D$175:$O$175)</f>
        <v>107.083</v>
      </c>
      <c r="C528" s="79">
        <f>0</f>
        <v>0</v>
      </c>
      <c r="D528" s="79">
        <f>B528+C528</f>
        <v>107.083</v>
      </c>
    </row>
    <row r="529" spans="1:4" x14ac:dyDescent="0.25">
      <c r="A529" s="77" t="s">
        <v>284</v>
      </c>
      <c r="B529" s="79">
        <f>SUM(INDEX(Calc!$D$151:$O$151,1):INDEX(Calc!$D$151:$O$151,mSel))</f>
        <v>81.81</v>
      </c>
      <c r="C529" s="79">
        <f>SUM(Calc!$D$151:$O$151)-B529</f>
        <v>24.144000000000005</v>
      </c>
      <c r="D529" s="79">
        <f>B529+C529</f>
        <v>105.95400000000001</v>
      </c>
    </row>
    <row r="531" spans="1:4" x14ac:dyDescent="0.25">
      <c r="A531" s="76" t="s">
        <v>285</v>
      </c>
    </row>
    <row r="532" spans="1:4" x14ac:dyDescent="0.25">
      <c r="A532" s="77" t="s">
        <v>286</v>
      </c>
      <c r="B532" s="77" t="str">
        <f>"Net revenue by month, "&amp;UnitLbl&amp;": actual, forecast, budget, prior year"</f>
        <v>Net revenue by month, $m: actual, forecast, budget, prior year</v>
      </c>
    </row>
    <row r="533" spans="1:4" x14ac:dyDescent="0.25">
      <c r="A533" s="77" t="s">
        <v>287</v>
      </c>
      <c r="B533" s="77" t="str">
        <f>"Net revenue bridge vs budget, "&amp;UnitLbl&amp;" (axis truncated)"</f>
        <v>Net revenue bridge vs budget, $m (axis truncated)</v>
      </c>
    </row>
    <row r="534" spans="1:4" x14ac:dyDescent="0.25">
      <c r="A534" s="77" t="s">
        <v>288</v>
      </c>
      <c r="B534" s="77" t="str">
        <f>"EBITDA bridge vs budget, "&amp;UnitLbl&amp;" (axis truncated)"</f>
        <v>EBITDA bridge vs budget, $m (axis truncated)</v>
      </c>
    </row>
    <row r="535" spans="1:4" x14ac:dyDescent="0.25">
      <c r="A535" s="77" t="s">
        <v>289</v>
      </c>
      <c r="B535" s="77" t="str">
        <f>"EBITDA by month, "&amp;UnitLbl</f>
        <v>EBITDA by month, $m</v>
      </c>
    </row>
    <row r="536" spans="1:4" x14ac:dyDescent="0.25">
      <c r="A536" s="77" t="s">
        <v>290</v>
      </c>
      <c r="B536" s="77" t="str">
        <f>"Margin trend: gross margin (left), EBITDA margin (right)"</f>
        <v>Margin trend: gross margin (left), EBITDA margin (right)</v>
      </c>
    </row>
    <row r="537" spans="1:4" x14ac:dyDescent="0.25">
      <c r="A537" s="77" t="s">
        <v>291</v>
      </c>
      <c r="B537" s="77" t="str">
        <f>"Full-year EBITDA landing, "&amp;UnitLbl</f>
        <v>Full-year EBITDA landing, $m</v>
      </c>
    </row>
    <row r="538" spans="1:4" x14ac:dyDescent="0.25">
      <c r="A538" s="77" t="s">
        <v>292</v>
      </c>
      <c r="B538" s="77" t="str">
        <f>"Net revenue by channel, "&amp;UnitLbl&amp;" ("&amp;PerLbl&amp;")"</f>
        <v>Net revenue by channel, $m (YTD Oct 2026)</v>
      </c>
    </row>
    <row r="539" spans="1:4" x14ac:dyDescent="0.25">
      <c r="A539" s="77" t="s">
        <v>293</v>
      </c>
      <c r="B539" s="77" t="str">
        <f>"Contribution margin by brand, "&amp;UnitLbl&amp;" ("&amp;PerLbl&amp;")"</f>
        <v>Contribution margin by brand, $m (YTD Oct 2026)</v>
      </c>
    </row>
    <row r="540" spans="1:4" x14ac:dyDescent="0.25">
      <c r="A540" s="77" t="s">
        <v>294</v>
      </c>
      <c r="B540" s="77" t="str">
        <f>"Channel mix, share of net revenue ("&amp;PerLbl&amp;")"</f>
        <v>Channel mix, share of net revenue (YTD Oct 2026)</v>
      </c>
    </row>
    <row r="541" spans="1:4" x14ac:dyDescent="0.25">
      <c r="A541" s="77" t="s">
        <v>295</v>
      </c>
      <c r="B541" s="77" t="str">
        <f>"Cumulative free cash flow, "&amp;UnitLbl</f>
        <v>Cumulative free cash flow, $m</v>
      </c>
    </row>
    <row r="542" spans="1:4" x14ac:dyDescent="0.25">
      <c r="A542" s="77" t="s">
        <v>296</v>
      </c>
      <c r="B542" s="77" t="str">
        <f>"Net debt, "&amp;UnitLbl&amp;", and leverage (x LTM EBITDA)"</f>
        <v>Net debt, $m, and leverage (x LTM EBITDA)</v>
      </c>
    </row>
    <row r="543" spans="1:4" x14ac:dyDescent="0.25">
      <c r="A543" s="77" t="s">
        <v>297</v>
      </c>
      <c r="B543" s="77" t="str">
        <f>"Working capital days: DSO, DIO, DPO, CCC"</f>
        <v>Working capital days: DSO, DIO, DPO, CCC</v>
      </c>
    </row>
    <row r="544" spans="1:4" x14ac:dyDescent="0.25">
      <c r="A544" s="77" t="s">
        <v>298</v>
      </c>
      <c r="B544" s="77" t="str">
        <f>"Cost ratios, % of net revenue"</f>
        <v>Cost ratios, % of net revenue</v>
      </c>
    </row>
    <row r="545" spans="1:2" x14ac:dyDescent="0.25">
      <c r="A545" s="77" t="s">
        <v>299</v>
      </c>
      <c r="B545" s="77" t="str">
        <f>"Trade and returns rate, % of gross sales"</f>
        <v>Trade and returns rate, % of gross sales</v>
      </c>
    </row>
    <row r="546" spans="1:2" x14ac:dyDescent="0.25">
      <c r="A546" s="77" t="s">
        <v>300</v>
      </c>
      <c r="B546" s="77" t="str">
        <f>"Headcount (FTE) and LTM net revenue per FTE (k)"</f>
        <v>Headcount (FTE) and LTM net revenue per FTE (k)</v>
      </c>
    </row>
    <row r="547" spans="1:2" x14ac:dyDescent="0.25">
      <c r="A547" s="77" t="s">
        <v>301</v>
      </c>
      <c r="B547" s="77" t="str">
        <f>"YTD variance to budget by P&amp;L line, "&amp;UnitLbl&amp;" (positive = favourable)"</f>
        <v>YTD variance to budget by P&amp;L line, $m (positive = favourable)</v>
      </c>
    </row>
    <row r="548" spans="1:2" x14ac:dyDescent="0.25">
      <c r="A548" s="77" t="s">
        <v>302</v>
      </c>
      <c r="B548" s="77" t="str">
        <f>"EBITDA bridge vs budget, "&amp;UnitLbl&amp;" (axis truncated)"</f>
        <v>EBITDA bridge vs budget, $m (axis truncated)</v>
      </c>
    </row>
    <row r="549" spans="1:2" x14ac:dyDescent="0.25">
      <c r="A549" s="77" t="s">
        <v>303</v>
      </c>
      <c r="B549" s="77" t="str">
        <f>"EBITDA variance to budget by month, "&amp;UnitLbl&amp;" (open months use forecast)"</f>
        <v>EBITDA variance to budget by month, $m (open months use forecast)</v>
      </c>
    </row>
    <row r="550" spans="1:2" x14ac:dyDescent="0.25">
      <c r="A550" s="77" t="s">
        <v>304</v>
      </c>
      <c r="B550" s="77" t="str">
        <f>"Net revenue by channel, "&amp;UnitLbl&amp;" ("&amp;PerLbl&amp;")"</f>
        <v>Net revenue by channel, $m (YTD Oct 2026)</v>
      </c>
    </row>
    <row r="551" spans="1:2" x14ac:dyDescent="0.25">
      <c r="A551" s="77" t="s">
        <v>305</v>
      </c>
      <c r="B551" s="77" t="str">
        <f>"Net revenue variance to budget by channel, "&amp;UnitLbl</f>
        <v>Net revenue variance to budget by channel, $m</v>
      </c>
    </row>
    <row r="552" spans="1:2" x14ac:dyDescent="0.25">
      <c r="A552" s="77" t="s">
        <v>306</v>
      </c>
      <c r="B552" s="77" t="str">
        <f>"Contribution margin % by channel: "&amp;LOWER(AcLbl)&amp;" vs budget"</f>
        <v>Contribution margin % by channel: actual vs budget</v>
      </c>
    </row>
    <row r="553" spans="1:2" x14ac:dyDescent="0.25">
      <c r="A553" s="77" t="s">
        <v>307</v>
      </c>
      <c r="B553" s="77" t="str">
        <f>"Where gross sales go, by channel (% of gross sales)"</f>
        <v>Where gross sales go, by channel (% of gross sales)</v>
      </c>
    </row>
    <row r="554" spans="1:2" x14ac:dyDescent="0.25">
      <c r="A554" s="77" t="s">
        <v>308</v>
      </c>
      <c r="B554" s="77" t="str">
        <f>"Growth on PY (x) vs contribution margin % (y)"</f>
        <v>Growth on PY (x) vs contribution margin % (y)</v>
      </c>
    </row>
    <row r="555" spans="1:2" x14ac:dyDescent="0.25">
      <c r="A555" s="77" t="s">
        <v>309</v>
      </c>
      <c r="B555" s="77" t="str">
        <f>"Pareto: net revenue and cumulative share by channel"</f>
        <v>Pareto: net revenue and cumulative share by channel</v>
      </c>
    </row>
    <row r="556" spans="1:2" x14ac:dyDescent="0.25">
      <c r="A556" s="77" t="s">
        <v>310</v>
      </c>
      <c r="B556" s="77" t="str">
        <f>"Net revenue variance drivers by channel, "&amp;UnitLbl</f>
        <v>Net revenue variance drivers by channel, $m</v>
      </c>
    </row>
    <row r="557" spans="1:2" x14ac:dyDescent="0.25">
      <c r="A557" s="77" t="s">
        <v>311</v>
      </c>
      <c r="B557" s="77" t="str">
        <f>"Days sales outstanding by channel: "&amp;LOWER(AcLbl)&amp;" vs budget"</f>
        <v>Days sales outstanding by channel: actual vs budget</v>
      </c>
    </row>
    <row r="558" spans="1:2" x14ac:dyDescent="0.25">
      <c r="A558" s="77" t="s">
        <v>312</v>
      </c>
      <c r="B558" s="77" t="str">
        <f>focusChannel&amp;": gross sales to contribution, "&amp;UnitLbl&amp;" ("&amp;PerLbl&amp;")"</f>
        <v>Marketplaces: gross sales to contribution, $m (YTD Oct 2026)</v>
      </c>
    </row>
    <row r="559" spans="1:2" x14ac:dyDescent="0.25">
      <c r="A559" s="77" t="s">
        <v>313</v>
      </c>
      <c r="B559" s="77" t="str">
        <f>focusChannel&amp;": net revenue vs budget, "&amp;UnitLbl&amp;", and CM %"</f>
        <v>Marketplaces: net revenue vs budget, $m, and CM %</v>
      </c>
    </row>
    <row r="560" spans="1:2" x14ac:dyDescent="0.25">
      <c r="A560" s="77" t="s">
        <v>314</v>
      </c>
      <c r="B560" s="77" t="str">
        <f>focusChannel&amp;": net revenue by brand, "&amp;UnitLbl</f>
        <v>Marketplaces: net revenue by brand, $m</v>
      </c>
    </row>
    <row r="561" spans="1:11" x14ac:dyDescent="0.25">
      <c r="A561" s="77" t="s">
        <v>315</v>
      </c>
      <c r="B561" s="77" t="str">
        <f>"Net revenue by brand, "&amp;UnitLbl&amp;" ("&amp;PerLbl&amp;")"</f>
        <v>Net revenue by brand, $m (YTD Oct 2026)</v>
      </c>
    </row>
    <row r="562" spans="1:11" x14ac:dyDescent="0.25">
      <c r="A562" s="77" t="s">
        <v>316</v>
      </c>
      <c r="B562" s="77" t="str">
        <f>"Net revenue variance to budget by brand, "&amp;UnitLbl</f>
        <v>Net revenue variance to budget by brand, $m</v>
      </c>
    </row>
    <row r="563" spans="1:11" x14ac:dyDescent="0.25">
      <c r="A563" s="77" t="s">
        <v>317</v>
      </c>
      <c r="B563" s="77" t="str">
        <f>"Contribution margin % by brand: "&amp;LOWER(AcLbl)&amp;" vs budget"</f>
        <v>Contribution margin % by brand: actual vs budget</v>
      </c>
    </row>
    <row r="564" spans="1:11" x14ac:dyDescent="0.25">
      <c r="A564" s="77" t="s">
        <v>318</v>
      </c>
      <c r="B564" s="77" t="str">
        <f>"Where gross sales go, by brand (% of gross sales)"</f>
        <v>Where gross sales go, by brand (% of gross sales)</v>
      </c>
    </row>
    <row r="565" spans="1:11" x14ac:dyDescent="0.25">
      <c r="A565" s="77" t="s">
        <v>319</v>
      </c>
      <c r="B565" s="77" t="str">
        <f>"Growth on PY (x) vs contribution margin % (y)"</f>
        <v>Growth on PY (x) vs contribution margin % (y)</v>
      </c>
    </row>
    <row r="566" spans="1:11" x14ac:dyDescent="0.25">
      <c r="A566" s="77" t="s">
        <v>320</v>
      </c>
      <c r="B566" s="77" t="str">
        <f>"Pareto: net revenue and cumulative share by brand"</f>
        <v>Pareto: net revenue and cumulative share by brand</v>
      </c>
    </row>
    <row r="567" spans="1:11" x14ac:dyDescent="0.25">
      <c r="A567" s="77" t="s">
        <v>321</v>
      </c>
      <c r="B567" s="77" t="str">
        <f>"Net revenue variance drivers by brand, "&amp;UnitLbl</f>
        <v>Net revenue variance drivers by brand, $m</v>
      </c>
    </row>
    <row r="568" spans="1:11" x14ac:dyDescent="0.25">
      <c r="A568" s="77" t="s">
        <v>322</v>
      </c>
      <c r="B568" s="77" t="str">
        <f>"Days inventory outstanding by brand: "&amp;LOWER(AcLbl)&amp;" vs budget"</f>
        <v>Days inventory outstanding by brand: actual vs budget</v>
      </c>
    </row>
    <row r="569" spans="1:11" x14ac:dyDescent="0.25">
      <c r="A569" s="77" t="s">
        <v>323</v>
      </c>
      <c r="B569" s="77" t="str">
        <f>focusBrand&amp;": gross sales to contribution, "&amp;UnitLbl&amp;" ("&amp;PerLbl&amp;")"</f>
        <v>Aurelia: gross sales to contribution, $m (YTD Oct 2026)</v>
      </c>
    </row>
    <row r="570" spans="1:11" x14ac:dyDescent="0.25">
      <c r="A570" s="77" t="s">
        <v>324</v>
      </c>
      <c r="B570" s="77" t="str">
        <f>focusBrand&amp;": net revenue vs budget, "&amp;UnitLbl&amp;", and CM %"</f>
        <v>Aurelia: net revenue vs budget, $m, and CM %</v>
      </c>
    </row>
    <row r="571" spans="1:11" x14ac:dyDescent="0.25">
      <c r="A571" s="77" t="s">
        <v>325</v>
      </c>
      <c r="B571" s="77" t="str">
        <f>focusBrand&amp;": net revenue by channel, "&amp;UnitLbl</f>
        <v>Aurelia: net revenue by channel, $m</v>
      </c>
    </row>
    <row r="573" spans="1:11" x14ac:dyDescent="0.25">
      <c r="A573" s="76" t="s">
        <v>355</v>
      </c>
    </row>
    <row r="574" spans="1:11" x14ac:dyDescent="0.25">
      <c r="A574" s="78" t="s">
        <v>222</v>
      </c>
      <c r="B574" s="78" t="s">
        <v>356</v>
      </c>
      <c r="C574" s="78" t="s">
        <v>357</v>
      </c>
      <c r="D574" s="78" t="s">
        <v>31</v>
      </c>
      <c r="E574" s="78" t="s">
        <v>358</v>
      </c>
      <c r="F574" s="78" t="s">
        <v>277</v>
      </c>
      <c r="G574" s="78" t="s">
        <v>155</v>
      </c>
      <c r="H574" s="78" t="s">
        <v>156</v>
      </c>
      <c r="I574" s="78" t="s">
        <v>359</v>
      </c>
      <c r="J574" s="78" t="s">
        <v>360</v>
      </c>
      <c r="K574" s="78" t="s">
        <v>361</v>
      </c>
    </row>
    <row r="575" spans="1:11" x14ac:dyDescent="0.25">
      <c r="A575" s="77" t="str">
        <f>Channel!$B$14</f>
        <v>Hypermarkets</v>
      </c>
      <c r="B575" s="79">
        <f>INDEX(Calc!$G$360:$G$365,Calc!$C$374)</f>
        <v>115.649</v>
      </c>
      <c r="C575" s="79">
        <f>INDEX(Calc!$G$367:$G$372,Calc!$C$374)</f>
        <v>112.702</v>
      </c>
      <c r="D575" s="79">
        <f>-INDEX(Calc!$H$346:$H$351,Calc!$C$374)</f>
        <v>52.405000000000001</v>
      </c>
      <c r="E575" s="79">
        <f>-(INDEX(Calc!$E$346:$E$351,Calc!$C$374)+INDEX(Calc!$F$346:$F$351,Calc!$C$374))</f>
        <v>30.560000000000002</v>
      </c>
      <c r="F575" s="79">
        <f>-INDEX(Calc!$J$346:$J$351,Calc!$C$374)</f>
        <v>10.701000000000001</v>
      </c>
      <c r="G575" s="79">
        <f>-INDEX(Calc!$K$346:$K$351,Calc!$C$374)</f>
        <v>10.313000000000001</v>
      </c>
      <c r="H575" s="79">
        <f>MAX(0,INDEX(Calc!$L$346:$L$351,Calc!$C$374))</f>
        <v>40.838000000000001</v>
      </c>
      <c r="I575" s="80">
        <f>IFERROR(SUM(Channel!$E$14:$E$14)/Channel!$E$20,0)</f>
        <v>0.27494044324662509</v>
      </c>
      <c r="J575" s="79">
        <f>IFERROR(INDEX(Calc!$M$353:$M$358,Calc!$C$374)/INDEX(Calc!$N$353:$N$358,Calc!$C$374)*30.4*WinM,0)</f>
        <v>55.001459278248859</v>
      </c>
    </row>
    <row r="576" spans="1:11" x14ac:dyDescent="0.25">
      <c r="A576" s="77" t="str">
        <f>Channel!$B$15</f>
        <v>Supermarkets</v>
      </c>
      <c r="B576" s="79">
        <f>INDEX(Calc!$G$360:$G$365,Calc!$C$375)</f>
        <v>100.496</v>
      </c>
      <c r="C576" s="79">
        <f>INDEX(Calc!$G$367:$G$372,Calc!$C$375)</f>
        <v>94.081999999999994</v>
      </c>
      <c r="D576" s="79">
        <f>-INDEX(Calc!$H$346:$H$351,Calc!$C$375)</f>
        <v>43.875999999999998</v>
      </c>
      <c r="E576" s="79">
        <f>-(INDEX(Calc!$E$346:$E$351,Calc!$C$375)+INDEX(Calc!$F$346:$F$351,Calc!$C$375))</f>
        <v>21.088000000000001</v>
      </c>
      <c r="F576" s="79">
        <f>-INDEX(Calc!$J$346:$J$351,Calc!$C$375)</f>
        <v>8.5579999999999998</v>
      </c>
      <c r="G576" s="79">
        <f>-INDEX(Calc!$K$346:$K$351,Calc!$C$375)</f>
        <v>8.6270000000000007</v>
      </c>
      <c r="H576" s="79">
        <f>MAX(0,INDEX(Calc!$L$346:$L$351,Calc!$C$375))</f>
        <v>39.052999999999997</v>
      </c>
      <c r="I576" s="80">
        <f>IFERROR(SUM(Channel!$E$14:$E$15)/Channel!$E$20,0)</f>
        <v>0.51584811223139304</v>
      </c>
      <c r="J576" s="79">
        <f>IFERROR(INDEX(Calc!$M$353:$M$358,Calc!$C$375)/INDEX(Calc!$N$353:$N$358,Calc!$C$375)*30.4*WinM,0)</f>
        <v>50.004982395928877</v>
      </c>
    </row>
    <row r="577" spans="1:11" x14ac:dyDescent="0.25">
      <c r="A577" s="77" t="str">
        <f>Channel!$B$16</f>
        <v>Marketplaces</v>
      </c>
      <c r="B577" s="79">
        <f>INDEX(Calc!$G$360:$G$365,Calc!$C$376)</f>
        <v>72.897000000000006</v>
      </c>
      <c r="C577" s="79">
        <f>INDEX(Calc!$G$367:$G$372,Calc!$C$376)</f>
        <v>58.344000000000001</v>
      </c>
      <c r="D577" s="79">
        <f>-INDEX(Calc!$H$346:$H$351,Calc!$C$376)</f>
        <v>31.640999999999998</v>
      </c>
      <c r="E577" s="79">
        <f>-(INDEX(Calc!$E$346:$E$351,Calc!$C$376)+INDEX(Calc!$F$346:$F$351,Calc!$C$376))</f>
        <v>12.936</v>
      </c>
      <c r="F577" s="79">
        <f>-INDEX(Calc!$J$346:$J$351,Calc!$C$376)</f>
        <v>5.7039999999999997</v>
      </c>
      <c r="G577" s="79">
        <f>-INDEX(Calc!$K$346:$K$351,Calc!$C$376)</f>
        <v>8.5030000000000001</v>
      </c>
      <c r="H577" s="79">
        <f>MAX(0,INDEX(Calc!$L$346:$L$351,Calc!$C$376))</f>
        <v>28.623000000000001</v>
      </c>
      <c r="I577" s="80">
        <f>IFERROR(SUM(Channel!$E$14:$E$16)/Channel!$E$20,0)</f>
        <v>0.69505017205284292</v>
      </c>
      <c r="J577" s="79">
        <f>IFERROR(INDEX(Calc!$M$353:$M$358,Calc!$C$376)/INDEX(Calc!$N$353:$N$358,Calc!$C$376)*30.4*WinM,0)</f>
        <v>25.002127107652402</v>
      </c>
    </row>
    <row r="578" spans="1:11" x14ac:dyDescent="0.25">
      <c r="A578" s="77" t="str">
        <f>Channel!$B$17</f>
        <v>Discounters</v>
      </c>
      <c r="B578" s="79">
        <f>INDEX(Calc!$G$360:$G$365,Calc!$C$377)</f>
        <v>52.261000000000003</v>
      </c>
      <c r="C578" s="79">
        <f>INDEX(Calc!$G$367:$G$372,Calc!$C$377)</f>
        <v>51.155999999999999</v>
      </c>
      <c r="D578" s="79">
        <f>-INDEX(Calc!$H$346:$H$351,Calc!$C$377)</f>
        <v>24.521000000000001</v>
      </c>
      <c r="E578" s="79">
        <f>-(INDEX(Calc!$E$346:$E$351,Calc!$C$377)+INDEX(Calc!$F$346:$F$351,Calc!$C$377))</f>
        <v>16.396000000000001</v>
      </c>
      <c r="F578" s="79">
        <f>-INDEX(Calc!$J$346:$J$351,Calc!$C$377)</f>
        <v>4.99</v>
      </c>
      <c r="G578" s="79">
        <f>-INDEX(Calc!$K$346:$K$351,Calc!$C$377)</f>
        <v>3.7959999999999998</v>
      </c>
      <c r="H578" s="79">
        <f>MAX(0,INDEX(Calc!$L$346:$L$351,Calc!$C$377))</f>
        <v>18.056000000000001</v>
      </c>
      <c r="I578" s="80">
        <f>IFERROR(SUM(Channel!$E$14:$E$17)/Channel!$E$20,0)</f>
        <v>0.81864667805664493</v>
      </c>
      <c r="J578" s="79">
        <f>IFERROR(INDEX(Calc!$M$353:$M$358,Calc!$C$377)/INDEX(Calc!$N$353:$N$358,Calc!$C$377)*30.4*WinM,0)</f>
        <v>44.993326063249725</v>
      </c>
    </row>
    <row r="579" spans="1:11" x14ac:dyDescent="0.25">
      <c r="A579" s="77" t="str">
        <f>Channel!$B$18</f>
        <v>Distributors</v>
      </c>
      <c r="B579" s="79">
        <f>INDEX(Calc!$G$360:$G$365,Calc!$C$378)</f>
        <v>45.652000000000001</v>
      </c>
      <c r="C579" s="79">
        <f>INDEX(Calc!$G$367:$G$372,Calc!$C$378)</f>
        <v>42.167999999999999</v>
      </c>
      <c r="D579" s="79">
        <f>-INDEX(Calc!$H$346:$H$351,Calc!$C$378)</f>
        <v>18.466000000000001</v>
      </c>
      <c r="E579" s="79">
        <f>-(INDEX(Calc!$E$346:$E$351,Calc!$C$378)+INDEX(Calc!$F$346:$F$351,Calc!$C$378))</f>
        <v>5.0979999999999999</v>
      </c>
      <c r="F579" s="79">
        <f>-INDEX(Calc!$J$346:$J$351,Calc!$C$378)</f>
        <v>3.5659999999999998</v>
      </c>
      <c r="G579" s="79">
        <f>-INDEX(Calc!$K$346:$K$351,Calc!$C$378)</f>
        <v>2.3420000000000001</v>
      </c>
      <c r="H579" s="79">
        <f>MAX(0,INDEX(Calc!$L$346:$L$351,Calc!$C$378))</f>
        <v>21.535</v>
      </c>
      <c r="I579" s="80">
        <f>IFERROR(SUM(Channel!$E$14:$E$18)/Channel!$E$20,0)</f>
        <v>0.9291190413167455</v>
      </c>
      <c r="J579" s="79">
        <f>IFERROR(INDEX(Calc!$M$353:$M$358,Calc!$C$378)/INDEX(Calc!$N$353:$N$358,Calc!$C$378)*30.4*WinM,0)</f>
        <v>69.993468321358591</v>
      </c>
    </row>
    <row r="580" spans="1:11" x14ac:dyDescent="0.25">
      <c r="A580" s="77" t="str">
        <f>Channel!$B$19</f>
        <v>Direct to Consumer</v>
      </c>
      <c r="B580" s="79">
        <f>INDEX(Calc!$G$360:$G$365,Calc!$C$379)</f>
        <v>29.052</v>
      </c>
      <c r="C580" s="79">
        <f>INDEX(Calc!$G$367:$G$372,Calc!$C$379)</f>
        <v>26.065999999999999</v>
      </c>
      <c r="D580" s="79">
        <f>-INDEX(Calc!$H$346:$H$351,Calc!$C$379)</f>
        <v>11.585000000000001</v>
      </c>
      <c r="E580" s="79">
        <f>-(INDEX(Calc!$E$346:$E$351,Calc!$C$379)+INDEX(Calc!$F$346:$F$351,Calc!$C$379))</f>
        <v>2.5630000000000002</v>
      </c>
      <c r="F580" s="79">
        <f>-INDEX(Calc!$J$346:$J$351,Calc!$C$379)</f>
        <v>2.14</v>
      </c>
      <c r="G580" s="79">
        <f>-INDEX(Calc!$K$346:$K$351,Calc!$C$379)</f>
        <v>5.2409999999999997</v>
      </c>
      <c r="H580" s="79">
        <f>MAX(0,INDEX(Calc!$L$346:$L$351,Calc!$C$379))</f>
        <v>10.49</v>
      </c>
      <c r="I580" s="80">
        <f>IFERROR(SUM(Channel!$E$14:$E$19)/Channel!$E$20,0)</f>
        <v>0.99999999999999989</v>
      </c>
      <c r="J580" s="79">
        <f>IFERROR(INDEX(Calc!$M$353:$M$358,Calc!$C$379)/INDEX(Calc!$N$353:$N$358,Calc!$C$379)*30.4*WinM,0)</f>
        <v>3.0014698050910646</v>
      </c>
    </row>
    <row r="582" spans="1:11" x14ac:dyDescent="0.25">
      <c r="A582" s="76" t="s">
        <v>373</v>
      </c>
    </row>
    <row r="583" spans="1:11" x14ac:dyDescent="0.25">
      <c r="A583" s="78" t="s">
        <v>4</v>
      </c>
      <c r="B583" s="78" t="s">
        <v>374</v>
      </c>
      <c r="C583" s="78" t="s">
        <v>375</v>
      </c>
    </row>
    <row r="584" spans="1:11" x14ac:dyDescent="0.25">
      <c r="A584" s="77" t="str">
        <f>INDEX(lstBrand,1)</f>
        <v>Aurelia</v>
      </c>
      <c r="B584" s="79">
        <f>SUMIFS(Calc!$E$447:$E$482,Calc!$A$447:$A$482,focusChannel,Calc!$B$447:$B$482,$A584)</f>
        <v>21.678000000000001</v>
      </c>
      <c r="C584" s="79">
        <f>SUMIFS(Calc!$I$447:$I$482,Calc!$A$447:$A$482,focusChannel,Calc!$B$447:$B$482,$A584)</f>
        <v>19.190000000000001</v>
      </c>
    </row>
    <row r="585" spans="1:11" x14ac:dyDescent="0.25">
      <c r="A585" s="77" t="str">
        <f>INDEX(lstBrand,2)</f>
        <v>Novara</v>
      </c>
      <c r="B585" s="79">
        <f>SUMIFS(Calc!$E$447:$E$482,Calc!$A$447:$A$482,focusChannel,Calc!$B$447:$B$482,$A585)</f>
        <v>18.117999999999999</v>
      </c>
      <c r="C585" s="79">
        <f>SUMIFS(Calc!$I$447:$I$482,Calc!$A$447:$A$482,focusChannel,Calc!$B$447:$B$482,$A585)</f>
        <v>16.451000000000001</v>
      </c>
    </row>
    <row r="586" spans="1:11" x14ac:dyDescent="0.25">
      <c r="A586" s="77" t="str">
        <f>INDEX(lstBrand,3)</f>
        <v>Kestrel</v>
      </c>
      <c r="B586" s="79">
        <f>SUMIFS(Calc!$E$447:$E$482,Calc!$A$447:$A$482,focusChannel,Calc!$B$447:$B$482,$A586)</f>
        <v>13.236000000000001</v>
      </c>
      <c r="C586" s="79">
        <f>SUMIFS(Calc!$I$447:$I$482,Calc!$A$447:$A$482,focusChannel,Calc!$B$447:$B$482,$A586)</f>
        <v>12.336</v>
      </c>
    </row>
    <row r="587" spans="1:11" x14ac:dyDescent="0.25">
      <c r="A587" s="77" t="str">
        <f>INDEX(lstBrand,4)</f>
        <v>Lumio</v>
      </c>
      <c r="B587" s="79">
        <f>SUMIFS(Calc!$E$447:$E$482,Calc!$A$447:$A$482,focusChannel,Calc!$B$447:$B$482,$A587)</f>
        <v>10.595000000000001</v>
      </c>
      <c r="C587" s="79">
        <f>SUMIFS(Calc!$I$447:$I$482,Calc!$A$447:$A$482,focusChannel,Calc!$B$447:$B$482,$A587)</f>
        <v>9.5990000000000002</v>
      </c>
    </row>
    <row r="588" spans="1:11" x14ac:dyDescent="0.25">
      <c r="A588" s="77" t="str">
        <f>INDEX(lstBrand,5)</f>
        <v>Everwood</v>
      </c>
      <c r="B588" s="79">
        <f>SUMIFS(Calc!$E$447:$E$482,Calc!$A$447:$A$482,focusChannel,Calc!$B$447:$B$482,$A588)</f>
        <v>6.87</v>
      </c>
      <c r="C588" s="79">
        <f>SUMIFS(Calc!$I$447:$I$482,Calc!$A$447:$A$482,focusChannel,Calc!$B$447:$B$482,$A588)</f>
        <v>6.8540000000000001</v>
      </c>
    </row>
    <row r="589" spans="1:11" x14ac:dyDescent="0.25">
      <c r="A589" s="77" t="str">
        <f>INDEX(lstBrand,6)</f>
        <v>Tindra</v>
      </c>
      <c r="B589" s="79">
        <f>SUMIFS(Calc!$E$447:$E$482,Calc!$A$447:$A$482,focusChannel,Calc!$B$447:$B$482,$A589)</f>
        <v>3.9740000000000002</v>
      </c>
      <c r="C589" s="79">
        <f>SUMIFS(Calc!$I$447:$I$482,Calc!$A$447:$A$482,focusChannel,Calc!$B$447:$B$482,$A589)</f>
        <v>4.1130000000000004</v>
      </c>
    </row>
    <row r="591" spans="1:11" x14ac:dyDescent="0.25">
      <c r="A591" s="76" t="s">
        <v>382</v>
      </c>
    </row>
    <row r="592" spans="1:11" x14ac:dyDescent="0.25">
      <c r="A592" s="78" t="s">
        <v>222</v>
      </c>
      <c r="B592" s="78" t="s">
        <v>356</v>
      </c>
      <c r="C592" s="78" t="s">
        <v>357</v>
      </c>
      <c r="D592" s="78" t="s">
        <v>31</v>
      </c>
      <c r="E592" s="78" t="s">
        <v>358</v>
      </c>
      <c r="F592" s="78" t="s">
        <v>277</v>
      </c>
      <c r="G592" s="78" t="s">
        <v>155</v>
      </c>
      <c r="H592" s="78" t="s">
        <v>156</v>
      </c>
      <c r="I592" s="78" t="s">
        <v>359</v>
      </c>
      <c r="J592" s="78" t="s">
        <v>360</v>
      </c>
      <c r="K592" s="78" t="s">
        <v>361</v>
      </c>
    </row>
    <row r="593" spans="1:10" x14ac:dyDescent="0.25">
      <c r="A593" s="77" t="str">
        <f>Brand!$B$14</f>
        <v>Aurelia</v>
      </c>
      <c r="B593" s="79">
        <f>INDEX(Calc!$G$396:$G$401,Calc!$C$410)</f>
        <v>119.652</v>
      </c>
      <c r="C593" s="79">
        <f>INDEX(Calc!$G$403:$G$408,Calc!$C$410)</f>
        <v>107.605</v>
      </c>
      <c r="D593" s="79">
        <f>-INDEX(Calc!$H$382:$H$387,Calc!$C$410)</f>
        <v>45.094999999999999</v>
      </c>
      <c r="E593" s="79">
        <f>-(INDEX(Calc!$E$382:$E$387,Calc!$C$410)+INDEX(Calc!$F$382:$F$387,Calc!$C$410))</f>
        <v>25.861000000000001</v>
      </c>
      <c r="F593" s="79">
        <f>-INDEX(Calc!$J$382:$J$387,Calc!$C$410)</f>
        <v>12.208</v>
      </c>
      <c r="G593" s="79">
        <f>-INDEX(Calc!$K$382:$K$387,Calc!$C$410)</f>
        <v>11.316000000000001</v>
      </c>
      <c r="H593" s="79">
        <f>MAX(0,INDEX(Calc!$L$382:$L$387,Calc!$C$410))</f>
        <v>52.487000000000002</v>
      </c>
      <c r="I593" s="80">
        <f>IFERROR(SUM(Brand!$E$14:$E$14)/Brand!$E$20,0)</f>
        <v>0.2914214211805472</v>
      </c>
      <c r="J593" s="79">
        <f>IFERROR(INDEX(Calc!$M$389:$M$394,Calc!$C$410)/INDEX(Calc!$N$389:$N$394,Calc!$C$410)*30.4*WinM,0)</f>
        <v>95.017822891144547</v>
      </c>
    </row>
    <row r="594" spans="1:10" x14ac:dyDescent="0.25">
      <c r="A594" s="77" t="str">
        <f>Brand!$B$15</f>
        <v>Novara</v>
      </c>
      <c r="B594" s="79">
        <f>INDEX(Calc!$G$396:$G$401,Calc!$C$411)</f>
        <v>100.61</v>
      </c>
      <c r="C594" s="79">
        <f>INDEX(Calc!$G$403:$G$408,Calc!$C$411)</f>
        <v>92.292000000000002</v>
      </c>
      <c r="D594" s="79">
        <f>-INDEX(Calc!$H$382:$H$387,Calc!$C$411)</f>
        <v>44.908000000000001</v>
      </c>
      <c r="E594" s="79">
        <f>-(INDEX(Calc!$E$382:$E$387,Calc!$C$411)+INDEX(Calc!$F$382:$F$387,Calc!$C$411))</f>
        <v>21.420999999999999</v>
      </c>
      <c r="F594" s="79">
        <f>-INDEX(Calc!$J$382:$J$387,Calc!$C$411)</f>
        <v>6.9749999999999996</v>
      </c>
      <c r="G594" s="79">
        <f>-INDEX(Calc!$K$382:$K$387,Calc!$C$411)</f>
        <v>9.391</v>
      </c>
      <c r="H594" s="79">
        <f>MAX(0,INDEX(Calc!$L$382:$L$387,Calc!$C$411))</f>
        <v>39.265000000000001</v>
      </c>
      <c r="I594" s="80">
        <f>IFERROR(SUM(Brand!$E$14:$E$15)/Brand!$E$20,0)</f>
        <v>0.53335178188993426</v>
      </c>
      <c r="J594" s="79">
        <f>IFERROR(INDEX(Calc!$M$389:$M$394,Calc!$C$411)/INDEX(Calc!$N$389:$N$394,Calc!$C$411)*30.4*WinM,0)</f>
        <v>80.010996189439311</v>
      </c>
    </row>
    <row r="595" spans="1:10" x14ac:dyDescent="0.25">
      <c r="A595" s="77" t="str">
        <f>Brand!$B$16</f>
        <v>Kestrel</v>
      </c>
      <c r="B595" s="79">
        <f>INDEX(Calc!$G$396:$G$401,Calc!$C$412)</f>
        <v>74.366</v>
      </c>
      <c r="C595" s="79">
        <f>INDEX(Calc!$G$403:$G$408,Calc!$C$412)</f>
        <v>69.019000000000005</v>
      </c>
      <c r="D595" s="79">
        <f>-INDEX(Calc!$H$382:$H$387,Calc!$C$412)</f>
        <v>36.832000000000001</v>
      </c>
      <c r="E595" s="79">
        <f>-(INDEX(Calc!$E$382:$E$387,Calc!$C$412)+INDEX(Calc!$F$382:$F$387,Calc!$C$412))</f>
        <v>15.83</v>
      </c>
      <c r="F595" s="79">
        <f>-INDEX(Calc!$J$382:$J$387,Calc!$C$412)</f>
        <v>3.4889999999999999</v>
      </c>
      <c r="G595" s="79">
        <f>-INDEX(Calc!$K$382:$K$387,Calc!$C$412)</f>
        <v>6.9290000000000003</v>
      </c>
      <c r="H595" s="79">
        <f>MAX(0,INDEX(Calc!$L$382:$L$387,Calc!$C$412))</f>
        <v>26.920999999999999</v>
      </c>
      <c r="I595" s="80">
        <f>IFERROR(SUM(Brand!$E$14:$E$16)/Brand!$E$20,0)</f>
        <v>0.7118319416704767</v>
      </c>
      <c r="J595" s="79">
        <f>IFERROR(INDEX(Calc!$M$389:$M$394,Calc!$C$412)/INDEX(Calc!$N$389:$N$394,Calc!$C$412)*30.4*WinM,0)</f>
        <v>75.014309049330279</v>
      </c>
    </row>
    <row r="596" spans="1:10" x14ac:dyDescent="0.25">
      <c r="A596" s="77" t="str">
        <f>Brand!$B$17</f>
        <v>Lumio</v>
      </c>
      <c r="B596" s="79">
        <f>INDEX(Calc!$G$396:$G$401,Calc!$C$413)</f>
        <v>59.161000000000001</v>
      </c>
      <c r="C596" s="79">
        <f>INDEX(Calc!$G$403:$G$408,Calc!$C$413)</f>
        <v>54.06</v>
      </c>
      <c r="D596" s="79">
        <f>-INDEX(Calc!$H$382:$H$387,Calc!$C$413)</f>
        <v>24.283000000000001</v>
      </c>
      <c r="E596" s="79">
        <f>-(INDEX(Calc!$E$382:$E$387,Calc!$C$413)+INDEX(Calc!$F$382:$F$387,Calc!$C$413))</f>
        <v>12.637</v>
      </c>
      <c r="F596" s="79">
        <f>-INDEX(Calc!$J$382:$J$387,Calc!$C$413)</f>
        <v>7.4649999999999999</v>
      </c>
      <c r="G596" s="79">
        <f>-INDEX(Calc!$K$382:$K$387,Calc!$C$413)</f>
        <v>5.54</v>
      </c>
      <c r="H596" s="79">
        <f>MAX(0,INDEX(Calc!$L$382:$L$387,Calc!$C$413))</f>
        <v>22.03</v>
      </c>
      <c r="I596" s="80">
        <f>IFERROR(SUM(Brand!$E$14:$E$17)/Brand!$E$20,0)</f>
        <v>0.85457083042568027</v>
      </c>
      <c r="J596" s="79">
        <f>IFERROR(INDEX(Calc!$M$389:$M$394,Calc!$C$413)/INDEX(Calc!$N$389:$N$394,Calc!$C$413)*30.4*WinM,0)</f>
        <v>89.993282442748082</v>
      </c>
    </row>
    <row r="597" spans="1:10" x14ac:dyDescent="0.25">
      <c r="A597" s="77" t="str">
        <f>Brand!$B$18</f>
        <v>Everwood</v>
      </c>
      <c r="B597" s="79">
        <f>INDEX(Calc!$G$396:$G$401,Calc!$C$414)</f>
        <v>39.406999999999996</v>
      </c>
      <c r="C597" s="79">
        <f>INDEX(Calc!$G$403:$G$408,Calc!$C$414)</f>
        <v>38.529000000000003</v>
      </c>
      <c r="D597" s="79">
        <f>-INDEX(Calc!$H$382:$H$387,Calc!$C$414)</f>
        <v>21.03</v>
      </c>
      <c r="E597" s="79">
        <f>-(INDEX(Calc!$E$382:$E$387,Calc!$C$414)+INDEX(Calc!$F$382:$F$387,Calc!$C$414))</f>
        <v>8.2189999999999994</v>
      </c>
      <c r="F597" s="79">
        <f>-INDEX(Calc!$J$382:$J$387,Calc!$C$414)</f>
        <v>1.454</v>
      </c>
      <c r="G597" s="79">
        <f>-INDEX(Calc!$K$382:$K$387,Calc!$C$414)</f>
        <v>3.5939999999999999</v>
      </c>
      <c r="H597" s="79">
        <f>MAX(0,INDEX(Calc!$L$382:$L$387,Calc!$C$414))</f>
        <v>12.433</v>
      </c>
      <c r="I597" s="80">
        <f>IFERROR(SUM(Brand!$E$14:$E$18)/Brand!$E$20,0)</f>
        <v>0.94724113867699788</v>
      </c>
      <c r="J597" s="79">
        <f>IFERROR(INDEX(Calc!$M$389:$M$394,Calc!$C$414)/INDEX(Calc!$N$389:$N$394,Calc!$C$414)*30.4*WinM,0)</f>
        <v>110.01517904863709</v>
      </c>
    </row>
    <row r="598" spans="1:10" x14ac:dyDescent="0.25">
      <c r="A598" s="77" t="str">
        <f>Brand!$B$19</f>
        <v>Tindra</v>
      </c>
      <c r="B598" s="79">
        <f>INDEX(Calc!$G$396:$G$401,Calc!$C$415)</f>
        <v>22.811</v>
      </c>
      <c r="C598" s="79">
        <f>INDEX(Calc!$G$403:$G$408,Calc!$C$415)</f>
        <v>23.013000000000002</v>
      </c>
      <c r="D598" s="79">
        <f>-INDEX(Calc!$H$382:$H$387,Calc!$C$415)</f>
        <v>10.346</v>
      </c>
      <c r="E598" s="79">
        <f>-(INDEX(Calc!$E$382:$E$387,Calc!$C$415)+INDEX(Calc!$F$382:$F$387,Calc!$C$415))</f>
        <v>4.673</v>
      </c>
      <c r="F598" s="79">
        <f>-INDEX(Calc!$J$382:$J$387,Calc!$C$415)</f>
        <v>4.0679999999999996</v>
      </c>
      <c r="G598" s="79">
        <f>-INDEX(Calc!$K$382:$K$387,Calc!$C$415)</f>
        <v>2.052</v>
      </c>
      <c r="H598" s="79">
        <f>MAX(0,INDEX(Calc!$L$382:$L$387,Calc!$C$415))</f>
        <v>5.4589999999999996</v>
      </c>
      <c r="I598" s="80">
        <f>IFERROR(SUM(Brand!$E$14:$E$19)/Brand!$E$20,0)</f>
        <v>1</v>
      </c>
      <c r="J598" s="79">
        <f>IFERROR(INDEX(Calc!$M$389:$M$394,Calc!$C$415)/INDEX(Calc!$N$389:$N$394,Calc!$C$415)*30.4*WinM,0)</f>
        <v>119.95421500386698</v>
      </c>
    </row>
    <row r="600" spans="1:10" x14ac:dyDescent="0.25">
      <c r="A600" s="76" t="s">
        <v>384</v>
      </c>
    </row>
    <row r="601" spans="1:10" x14ac:dyDescent="0.25">
      <c r="A601" s="78" t="s">
        <v>3</v>
      </c>
      <c r="B601" s="78" t="s">
        <v>374</v>
      </c>
      <c r="C601" s="78" t="s">
        <v>375</v>
      </c>
    </row>
    <row r="602" spans="1:10" x14ac:dyDescent="0.25">
      <c r="A602" s="77" t="str">
        <f>INDEX(lstChannel,1)</f>
        <v>Hypermarkets</v>
      </c>
      <c r="B602" s="79">
        <f>SUMIFS(Calc!$E$447:$E$482,Calc!$B$447:$B$482,focusBrand,Calc!$A$447:$A$482,$A602)</f>
        <v>33.527999999999999</v>
      </c>
      <c r="C602" s="79">
        <f>SUMIFS(Calc!$I$447:$I$482,Calc!$B$447:$B$482,focusBrand,Calc!$A$447:$A$482,$A602)</f>
        <v>33.659999999999997</v>
      </c>
    </row>
    <row r="603" spans="1:10" x14ac:dyDescent="0.25">
      <c r="A603" s="77" t="str">
        <f>INDEX(lstChannel,2)</f>
        <v>Supermarkets</v>
      </c>
      <c r="B603" s="79">
        <f>SUMIFS(Calc!$E$447:$E$482,Calc!$B$447:$B$482,focusBrand,Calc!$A$447:$A$482,$A603)</f>
        <v>29.102</v>
      </c>
      <c r="C603" s="79">
        <f>SUMIFS(Calc!$I$447:$I$482,Calc!$B$447:$B$482,focusBrand,Calc!$A$447:$A$482,$A603)</f>
        <v>28.041</v>
      </c>
    </row>
    <row r="604" spans="1:10" x14ac:dyDescent="0.25">
      <c r="A604" s="77" t="str">
        <f>INDEX(lstChannel,3)</f>
        <v>Discounters</v>
      </c>
      <c r="B604" s="79">
        <f>SUMIFS(Calc!$E$447:$E$482,Calc!$B$447:$B$482,focusBrand,Calc!$A$447:$A$482,$A604)</f>
        <v>14.986000000000001</v>
      </c>
      <c r="C604" s="79">
        <f>SUMIFS(Calc!$I$447:$I$482,Calc!$B$447:$B$482,focusBrand,Calc!$A$447:$A$482,$A604)</f>
        <v>15.212</v>
      </c>
    </row>
    <row r="605" spans="1:10" x14ac:dyDescent="0.25">
      <c r="A605" s="77" t="str">
        <f>INDEX(lstChannel,4)</f>
        <v>Marketplaces</v>
      </c>
      <c r="B605" s="79">
        <f>SUMIFS(Calc!$E$447:$E$482,Calc!$B$447:$B$482,focusBrand,Calc!$A$447:$A$482,$A605)</f>
        <v>21.678000000000001</v>
      </c>
      <c r="C605" s="79">
        <f>SUMIFS(Calc!$I$447:$I$482,Calc!$B$447:$B$482,focusBrand,Calc!$A$447:$A$482,$A605)</f>
        <v>19.190000000000001</v>
      </c>
    </row>
    <row r="606" spans="1:10" x14ac:dyDescent="0.25">
      <c r="A606" s="77" t="str">
        <f>INDEX(lstChannel,5)</f>
        <v>Direct to Consumer</v>
      </c>
      <c r="B606" s="79">
        <f>SUMIFS(Calc!$E$447:$E$482,Calc!$B$447:$B$482,focusBrand,Calc!$A$447:$A$482,$A606)</f>
        <v>8.5619999999999994</v>
      </c>
      <c r="C606" s="79">
        <f>SUMIFS(Calc!$I$447:$I$482,Calc!$B$447:$B$482,focusBrand,Calc!$A$447:$A$482,$A606)</f>
        <v>7.7930000000000001</v>
      </c>
    </row>
    <row r="607" spans="1:10" x14ac:dyDescent="0.25">
      <c r="A607" s="77" t="str">
        <f>INDEX(lstChannel,6)</f>
        <v>Distributors</v>
      </c>
      <c r="B607" s="79">
        <f>SUMIFS(Calc!$E$447:$E$482,Calc!$B$447:$B$482,focusBrand,Calc!$A$447:$A$482,$A607)</f>
        <v>13.25</v>
      </c>
      <c r="C607" s="79">
        <f>SUMIFS(Calc!$I$447:$I$482,Calc!$B$447:$B$482,focusBrand,Calc!$A$447:$A$482,$A607)</f>
        <v>12.701000000000001</v>
      </c>
    </row>
    <row r="609" spans="1:2" x14ac:dyDescent="0.25">
      <c r="A609" s="76" t="s">
        <v>441</v>
      </c>
    </row>
    <row r="610" spans="1:2" x14ac:dyDescent="0.25">
      <c r="A610" s="78" t="s">
        <v>362</v>
      </c>
      <c r="B610" s="78" t="s">
        <v>442</v>
      </c>
    </row>
    <row r="611" spans="1:2" x14ac:dyDescent="0.25">
      <c r="A611" s="77" t="s">
        <v>149</v>
      </c>
      <c r="B611" s="79">
        <f>'P&amp;L'!$L$7</f>
        <v>0.20999999999997954</v>
      </c>
    </row>
    <row r="612" spans="1:2" x14ac:dyDescent="0.25">
      <c r="A612" s="77" t="s">
        <v>363</v>
      </c>
      <c r="B612" s="79">
        <f>'P&amp;L'!$L$8</f>
        <v>-0.81200000000001182</v>
      </c>
    </row>
    <row r="613" spans="1:2" x14ac:dyDescent="0.25">
      <c r="A613" s="77" t="s">
        <v>8</v>
      </c>
      <c r="B613" s="79">
        <f>'P&amp;L'!$L$9</f>
        <v>-0.24999999999999822</v>
      </c>
    </row>
    <row r="614" spans="1:2" x14ac:dyDescent="0.25">
      <c r="A614" s="77" t="s">
        <v>395</v>
      </c>
      <c r="B614" s="79">
        <f>'P&amp;L'!$L$11</f>
        <v>-1.4120000000000061</v>
      </c>
    </row>
    <row r="615" spans="1:2" x14ac:dyDescent="0.25">
      <c r="A615" s="77" t="s">
        <v>397</v>
      </c>
      <c r="B615" s="79">
        <f>'P&amp;L'!$L$12</f>
        <v>0.12600000000000477</v>
      </c>
    </row>
    <row r="616" spans="1:2" x14ac:dyDescent="0.25">
      <c r="A616" s="77" t="s">
        <v>398</v>
      </c>
      <c r="B616" s="79">
        <f>'P&amp;L'!$L$13</f>
        <v>-2.078000000000003</v>
      </c>
    </row>
    <row r="617" spans="1:2" x14ac:dyDescent="0.25">
      <c r="A617" s="77" t="s">
        <v>12</v>
      </c>
      <c r="B617" s="79">
        <f>'P&amp;L'!$L$15</f>
        <v>1.6959999999999944</v>
      </c>
    </row>
    <row r="618" spans="1:2" x14ac:dyDescent="0.25">
      <c r="A618" s="77" t="s">
        <v>13</v>
      </c>
      <c r="B618" s="79">
        <f>'P&amp;L'!$L$16</f>
        <v>-0.27000000000000135</v>
      </c>
    </row>
    <row r="619" spans="1:2" x14ac:dyDescent="0.25">
      <c r="A619" s="77" t="s">
        <v>401</v>
      </c>
      <c r="B619" s="79">
        <f>'P&amp;L'!$L$17</f>
        <v>-1.1580000000000048</v>
      </c>
    </row>
    <row r="620" spans="1:2" x14ac:dyDescent="0.25">
      <c r="A620" s="77" t="s">
        <v>402</v>
      </c>
      <c r="B620" s="79">
        <f>'P&amp;L'!$L$18</f>
        <v>3.2000000000001805E-2</v>
      </c>
    </row>
    <row r="621" spans="1:2" x14ac:dyDescent="0.25">
      <c r="A621" s="77" t="s">
        <v>16</v>
      </c>
      <c r="B621" s="79">
        <f>'P&amp;L'!$L$20</f>
        <v>-0.88799999999999812</v>
      </c>
    </row>
    <row r="622" spans="1:2" x14ac:dyDescent="0.25">
      <c r="A622" s="77" t="s">
        <v>404</v>
      </c>
      <c r="B622" s="79">
        <f>'P&amp;L'!$L$21</f>
        <v>0.19999999999999751</v>
      </c>
    </row>
    <row r="623" spans="1:2" x14ac:dyDescent="0.25">
      <c r="A623" s="77" t="s">
        <v>405</v>
      </c>
      <c r="B623" s="79">
        <f>'P&amp;L'!$L$22</f>
        <v>0.40000000000000213</v>
      </c>
    </row>
    <row r="624" spans="1:2" x14ac:dyDescent="0.25">
      <c r="A624" s="77" t="s">
        <v>406</v>
      </c>
      <c r="B624" s="79">
        <f>'P&amp;L'!$L$23</f>
        <v>0.44999999999999574</v>
      </c>
    </row>
    <row r="625" spans="1:5" x14ac:dyDescent="0.25">
      <c r="A625" s="77" t="s">
        <v>408</v>
      </c>
      <c r="B625" s="79">
        <f>'P&amp;L'!$L$25</f>
        <v>0</v>
      </c>
    </row>
    <row r="626" spans="1:5" x14ac:dyDescent="0.25">
      <c r="A626" s="77" t="s">
        <v>164</v>
      </c>
      <c r="B626" s="79">
        <f>'P&amp;L'!$L$27</f>
        <v>0</v>
      </c>
    </row>
    <row r="627" spans="1:5" x14ac:dyDescent="0.25">
      <c r="A627" s="77" t="s">
        <v>22</v>
      </c>
      <c r="B627" s="79">
        <f>'P&amp;L'!$L$29</f>
        <v>0.93200000000000038</v>
      </c>
    </row>
    <row r="629" spans="1:5" x14ac:dyDescent="0.25">
      <c r="A629" s="76" t="s">
        <v>508</v>
      </c>
    </row>
    <row r="630" spans="1:5" x14ac:dyDescent="0.25">
      <c r="A630" s="78" t="s">
        <v>509</v>
      </c>
      <c r="B630" s="78" t="s">
        <v>510</v>
      </c>
      <c r="C630" s="78" t="s">
        <v>511</v>
      </c>
      <c r="D630" s="78" t="s">
        <v>512</v>
      </c>
      <c r="E630" s="78" t="s">
        <v>513</v>
      </c>
    </row>
    <row r="631" spans="1:5" x14ac:dyDescent="0.25">
      <c r="A631" s="77" t="s">
        <v>514</v>
      </c>
      <c r="B631" s="79">
        <f>SUM(Calc!$D$19:$O$19)+SUM(Calc!$D$20:$O$20)+SUM(Calc!$D$21:$O$21)</f>
        <v>415.56999999999994</v>
      </c>
      <c r="C631" s="79">
        <f>SUMIFS(tblData[Net Revenue],tblData[Scenario],"Actual",tblData[Year],selFY)/Unit</f>
        <v>415.57</v>
      </c>
      <c r="D631" s="79">
        <f t="shared" ref="D631:D644" si="195">B631-C631</f>
        <v>0</v>
      </c>
      <c r="E631" s="77">
        <f t="shared" ref="E631:E644" si="196">IF(ABS(D631)&lt;0.01,1,0)</f>
        <v>1</v>
      </c>
    </row>
    <row r="632" spans="1:5" x14ac:dyDescent="0.25">
      <c r="A632" s="77" t="s">
        <v>515</v>
      </c>
      <c r="B632" s="79">
        <f>Channel!$E$20</f>
        <v>415.57000000000005</v>
      </c>
      <c r="C632" s="79">
        <f>Calc!$E$300</f>
        <v>415.57</v>
      </c>
      <c r="D632" s="79">
        <f t="shared" si="195"/>
        <v>0</v>
      </c>
      <c r="E632" s="77">
        <f t="shared" si="196"/>
        <v>1</v>
      </c>
    </row>
    <row r="633" spans="1:5" x14ac:dyDescent="0.25">
      <c r="A633" s="77" t="s">
        <v>516</v>
      </c>
      <c r="B633" s="79">
        <f>Brand!$E$20</f>
        <v>415.57</v>
      </c>
      <c r="C633" s="79">
        <f>Calc!$E$300</f>
        <v>415.57</v>
      </c>
      <c r="D633" s="79">
        <f t="shared" si="195"/>
        <v>0</v>
      </c>
      <c r="E633" s="77">
        <f t="shared" si="196"/>
        <v>1</v>
      </c>
    </row>
    <row r="634" spans="1:5" x14ac:dyDescent="0.25">
      <c r="A634" s="77" t="s">
        <v>517</v>
      </c>
      <c r="B634" s="79">
        <f>Channel!$O$20</f>
        <v>158.595</v>
      </c>
      <c r="C634" s="79">
        <f>Calc!$E$305</f>
        <v>158.595</v>
      </c>
      <c r="D634" s="79">
        <f t="shared" si="195"/>
        <v>0</v>
      </c>
      <c r="E634" s="77">
        <f t="shared" si="196"/>
        <v>1</v>
      </c>
    </row>
    <row r="635" spans="1:5" x14ac:dyDescent="0.25">
      <c r="A635" s="77" t="s">
        <v>518</v>
      </c>
      <c r="B635" s="79">
        <f>Brand!$O$20</f>
        <v>158.595</v>
      </c>
      <c r="C635" s="79">
        <f>Calc!$E$305</f>
        <v>158.595</v>
      </c>
      <c r="D635" s="79">
        <f t="shared" si="195"/>
        <v>0</v>
      </c>
      <c r="E635" s="77">
        <f t="shared" si="196"/>
        <v>1</v>
      </c>
    </row>
    <row r="636" spans="1:5" x14ac:dyDescent="0.25">
      <c r="A636" s="77" t="s">
        <v>519</v>
      </c>
      <c r="B636" s="79">
        <f>Channel!$K$67</f>
        <v>81.81</v>
      </c>
      <c r="C636" s="79">
        <f>Calc!$E$307</f>
        <v>81.81</v>
      </c>
      <c r="D636" s="79">
        <f t="shared" si="195"/>
        <v>0</v>
      </c>
      <c r="E636" s="77">
        <f t="shared" si="196"/>
        <v>1</v>
      </c>
    </row>
    <row r="637" spans="1:5" x14ac:dyDescent="0.25">
      <c r="A637" s="77" t="s">
        <v>520</v>
      </c>
      <c r="B637" s="79">
        <f>'P&amp;L'!$J$24</f>
        <v>81.81</v>
      </c>
      <c r="C637" s="79">
        <f>SUM(INDEX(Calc!$D$151:$O$151,1):INDEX(Calc!$D$151:$O$151,mSel))</f>
        <v>81.81</v>
      </c>
      <c r="D637" s="79">
        <f t="shared" si="195"/>
        <v>0</v>
      </c>
      <c r="E637" s="77">
        <f t="shared" si="196"/>
        <v>1</v>
      </c>
    </row>
    <row r="638" spans="1:5" x14ac:dyDescent="0.25">
      <c r="A638" s="77" t="s">
        <v>521</v>
      </c>
      <c r="B638" s="79">
        <f>Calc!$E$490</f>
        <v>415.57000000000005</v>
      </c>
      <c r="C638" s="79">
        <f>Calc!$E$491</f>
        <v>415.57</v>
      </c>
      <c r="D638" s="79">
        <f t="shared" si="195"/>
        <v>0</v>
      </c>
      <c r="E638" s="77">
        <f t="shared" si="196"/>
        <v>1</v>
      </c>
    </row>
    <row r="639" spans="1:5" x14ac:dyDescent="0.25">
      <c r="A639" s="77" t="s">
        <v>522</v>
      </c>
      <c r="B639" s="79">
        <f>Calc!$E$501</f>
        <v>81.810000000000016</v>
      </c>
      <c r="C639" s="79">
        <f>Calc!$E$502</f>
        <v>81.81</v>
      </c>
      <c r="D639" s="79">
        <f t="shared" si="195"/>
        <v>0</v>
      </c>
      <c r="E639" s="77">
        <f t="shared" si="196"/>
        <v>1</v>
      </c>
    </row>
    <row r="640" spans="1:5" x14ac:dyDescent="0.25">
      <c r="A640" s="77" t="s">
        <v>523</v>
      </c>
      <c r="B640" s="79">
        <f>Channel!$I$77</f>
        <v>-0.85200000000000164</v>
      </c>
      <c r="C640" s="79">
        <f>Calc!$E$300-Calc!$F$300</f>
        <v>-0.85200000000008913</v>
      </c>
      <c r="D640" s="79">
        <f t="shared" si="195"/>
        <v>8.7485574340462335E-14</v>
      </c>
      <c r="E640" s="77">
        <f t="shared" si="196"/>
        <v>1</v>
      </c>
    </row>
    <row r="641" spans="1:5" x14ac:dyDescent="0.25">
      <c r="A641" s="77" t="s">
        <v>524</v>
      </c>
      <c r="B641" s="79">
        <f>Brand!$I$77</f>
        <v>-0.85200000000000053</v>
      </c>
      <c r="C641" s="79">
        <f>Calc!$E$300-Calc!$F$300</f>
        <v>-0.85200000000008913</v>
      </c>
      <c r="D641" s="79">
        <f t="shared" si="195"/>
        <v>8.8595797365087492E-14</v>
      </c>
      <c r="E641" s="77">
        <f t="shared" si="196"/>
        <v>1</v>
      </c>
    </row>
    <row r="642" spans="1:5" x14ac:dyDescent="0.25">
      <c r="A642" s="77" t="s">
        <v>525</v>
      </c>
      <c r="B642" s="79">
        <f>ROWS(tblData[Channel])</f>
        <v>1739</v>
      </c>
      <c r="C642" s="79">
        <f>SUMPRODUCT(COUNTIF(tblData[Channel],lstChannel))+COUNTIF(tblData[Channel],"Corporate")</f>
        <v>1739</v>
      </c>
      <c r="D642" s="79">
        <f t="shared" si="195"/>
        <v>0</v>
      </c>
      <c r="E642" s="77">
        <f t="shared" si="196"/>
        <v>1</v>
      </c>
    </row>
    <row r="643" spans="1:5" x14ac:dyDescent="0.25">
      <c r="A643" s="77" t="s">
        <v>526</v>
      </c>
      <c r="B643" s="79">
        <f>ROWS(tblData[Brand])</f>
        <v>1739</v>
      </c>
      <c r="C643" s="79">
        <f>SUMPRODUCT(COUNTIF(tblData[Brand],lstBrand))+COUNTIF(tblData[Brand],"Corporate")</f>
        <v>1739</v>
      </c>
      <c r="D643" s="79">
        <f t="shared" si="195"/>
        <v>0</v>
      </c>
      <c r="E643" s="77">
        <f t="shared" si="196"/>
        <v>1</v>
      </c>
    </row>
    <row r="644" spans="1:5" x14ac:dyDescent="0.25">
      <c r="A644" s="77" t="s">
        <v>527</v>
      </c>
      <c r="B644" s="79">
        <f>MAX(0,mSel-LastAct)</f>
        <v>0</v>
      </c>
      <c r="C644" s="79">
        <f>0</f>
        <v>0</v>
      </c>
      <c r="D644" s="79">
        <f t="shared" si="195"/>
        <v>0</v>
      </c>
      <c r="E644" s="77">
        <f t="shared" si="196"/>
        <v>1</v>
      </c>
    </row>
    <row r="645" spans="1:5" x14ac:dyDescent="0.25">
      <c r="A645" s="81" t="s">
        <v>528</v>
      </c>
      <c r="E645" s="81">
        <f>IF(SUM(E631:E644)=14,1,0)</f>
        <v>1</v>
      </c>
    </row>
  </sheetData>
  <printOptions gridLines="1"/>
  <pageMargins left="0.7" right="0.7" top="0.75" bottom="0.75" header="0.3" footer="0.3"/>
  <pageSetup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AEB6C1"/>
    <pageSetUpPr fitToPage="1"/>
  </sheetPr>
  <dimension ref="A1:J75"/>
  <sheetViews>
    <sheetView showGridLines="0" workbookViewId="0">
      <selection activeCell="D6" sqref="D6"/>
    </sheetView>
  </sheetViews>
  <sheetFormatPr defaultColWidth="0" defaultRowHeight="15" x14ac:dyDescent="0.25"/>
  <cols>
    <col min="1" max="1" width="2" style="120" customWidth="1"/>
    <col min="2" max="2" width="3.42578125" style="120" customWidth="1"/>
    <col min="3" max="3" width="32.85546875" style="120" customWidth="1"/>
    <col min="4" max="4" width="24.28515625" style="120" customWidth="1"/>
    <col min="5" max="5" width="4.28515625" style="120" customWidth="1"/>
    <col min="6" max="6" width="3.42578125" style="120" customWidth="1"/>
    <col min="7" max="7" width="24.28515625" style="120" customWidth="1"/>
    <col min="8" max="8" width="3.42578125" style="120" customWidth="1"/>
    <col min="9" max="9" width="24.28515625" style="120" customWidth="1"/>
    <col min="10" max="10" width="35.7109375" style="120" customWidth="1"/>
    <col min="11" max="11" width="0" style="118" hidden="1" customWidth="1"/>
    <col min="12" max="16384" width="0" style="118" hidden="1"/>
  </cols>
  <sheetData>
    <row r="1" spans="1:10" s="116" customFormat="1" ht="4.5" customHeight="1" x14ac:dyDescent="0.25"/>
    <row r="2" spans="1:10" ht="21" customHeight="1" x14ac:dyDescent="0.25">
      <c r="A2" s="116"/>
      <c r="B2" s="117" t="s">
        <v>535</v>
      </c>
      <c r="C2" s="116"/>
      <c r="D2" s="116"/>
      <c r="E2" s="116"/>
      <c r="F2" s="116"/>
      <c r="G2" s="116"/>
      <c r="H2" s="116"/>
      <c r="I2" s="116"/>
      <c r="J2" s="116"/>
    </row>
    <row r="3" spans="1:10" x14ac:dyDescent="0.25">
      <c r="A3" s="116"/>
      <c r="B3" s="119" t="s">
        <v>536</v>
      </c>
      <c r="C3" s="116"/>
      <c r="D3" s="116"/>
      <c r="E3" s="116"/>
      <c r="F3" s="116"/>
      <c r="G3" s="116"/>
      <c r="H3" s="116"/>
      <c r="I3" s="116"/>
      <c r="J3" s="116"/>
    </row>
    <row r="4" spans="1:10" x14ac:dyDescent="0.25">
      <c r="B4" s="121" t="s">
        <v>534</v>
      </c>
    </row>
    <row r="5" spans="1:10" ht="18" customHeight="1" x14ac:dyDescent="0.25">
      <c r="B5" s="122" t="s">
        <v>537</v>
      </c>
      <c r="C5" s="122"/>
      <c r="D5" s="122"/>
      <c r="F5" s="122" t="s">
        <v>463</v>
      </c>
      <c r="G5" s="122"/>
      <c r="H5" s="122" t="s">
        <v>464</v>
      </c>
      <c r="I5" s="122"/>
    </row>
    <row r="6" spans="1:10" x14ac:dyDescent="0.25">
      <c r="C6" s="120" t="s">
        <v>538</v>
      </c>
      <c r="D6" s="123" t="s">
        <v>605</v>
      </c>
      <c r="F6" s="124">
        <v>1</v>
      </c>
      <c r="G6" s="125" t="s">
        <v>37</v>
      </c>
      <c r="H6" s="124">
        <v>1</v>
      </c>
      <c r="I6" s="125" t="s">
        <v>38</v>
      </c>
    </row>
    <row r="7" spans="1:10" x14ac:dyDescent="0.25">
      <c r="C7" s="120" t="s">
        <v>539</v>
      </c>
      <c r="D7" s="123" t="s">
        <v>604</v>
      </c>
      <c r="F7" s="124">
        <v>2</v>
      </c>
      <c r="G7" s="125" t="s">
        <v>44</v>
      </c>
      <c r="H7" s="124">
        <v>2</v>
      </c>
      <c r="I7" s="125" t="s">
        <v>39</v>
      </c>
    </row>
    <row r="8" spans="1:10" x14ac:dyDescent="0.25">
      <c r="C8" s="120" t="s">
        <v>540</v>
      </c>
      <c r="D8" s="123" t="s">
        <v>541</v>
      </c>
      <c r="F8" s="124">
        <v>3</v>
      </c>
      <c r="G8" s="125" t="s">
        <v>45</v>
      </c>
      <c r="H8" s="124">
        <v>3</v>
      </c>
      <c r="I8" s="125" t="s">
        <v>40</v>
      </c>
    </row>
    <row r="9" spans="1:10" x14ac:dyDescent="0.25">
      <c r="C9" s="120" t="s">
        <v>542</v>
      </c>
      <c r="D9" s="126">
        <v>0.02</v>
      </c>
      <c r="F9" s="124">
        <v>4</v>
      </c>
      <c r="G9" s="125" t="s">
        <v>46</v>
      </c>
      <c r="H9" s="124">
        <v>4</v>
      </c>
      <c r="I9" s="125" t="s">
        <v>41</v>
      </c>
    </row>
    <row r="10" spans="1:10" x14ac:dyDescent="0.25">
      <c r="C10" s="120" t="s">
        <v>543</v>
      </c>
      <c r="D10" s="126">
        <v>0.97</v>
      </c>
      <c r="F10" s="124">
        <v>5</v>
      </c>
      <c r="G10" s="125" t="s">
        <v>47</v>
      </c>
      <c r="H10" s="124">
        <v>5</v>
      </c>
      <c r="I10" s="125" t="s">
        <v>42</v>
      </c>
    </row>
    <row r="11" spans="1:10" x14ac:dyDescent="0.25">
      <c r="F11" s="124">
        <v>6</v>
      </c>
      <c r="G11" s="125" t="s">
        <v>48</v>
      </c>
      <c r="H11" s="124">
        <v>6</v>
      </c>
      <c r="I11" s="125" t="s">
        <v>43</v>
      </c>
    </row>
    <row r="12" spans="1:10" x14ac:dyDescent="0.25">
      <c r="F12" s="127" t="s">
        <v>544</v>
      </c>
    </row>
    <row r="14" spans="1:10" ht="18" customHeight="1" x14ac:dyDescent="0.25">
      <c r="B14" s="122" t="s">
        <v>545</v>
      </c>
      <c r="C14" s="122"/>
      <c r="D14" s="122"/>
      <c r="E14" s="122"/>
      <c r="F14" s="122"/>
      <c r="G14" s="122"/>
      <c r="H14" s="122"/>
      <c r="I14" s="122"/>
      <c r="J14" s="122"/>
    </row>
    <row r="15" spans="1:10" x14ac:dyDescent="0.25">
      <c r="B15" s="128">
        <v>1</v>
      </c>
      <c r="C15" s="120" t="s">
        <v>546</v>
      </c>
    </row>
    <row r="16" spans="1:10" x14ac:dyDescent="0.25">
      <c r="B16" s="128">
        <v>2</v>
      </c>
      <c r="C16" s="120" t="s">
        <v>547</v>
      </c>
    </row>
    <row r="17" spans="2:10" x14ac:dyDescent="0.25">
      <c r="B17" s="128">
        <v>3</v>
      </c>
      <c r="C17" s="120" t="s">
        <v>548</v>
      </c>
    </row>
    <row r="18" spans="2:10" x14ac:dyDescent="0.25">
      <c r="B18" s="128">
        <v>4</v>
      </c>
      <c r="C18" s="120" t="s">
        <v>549</v>
      </c>
    </row>
    <row r="19" spans="2:10" x14ac:dyDescent="0.25">
      <c r="B19" s="128">
        <v>5</v>
      </c>
      <c r="C19" s="120" t="s">
        <v>550</v>
      </c>
    </row>
    <row r="21" spans="2:10" ht="18" customHeight="1" x14ac:dyDescent="0.25">
      <c r="B21" s="122" t="s">
        <v>551</v>
      </c>
      <c r="C21" s="122"/>
      <c r="D21" s="122"/>
      <c r="E21" s="122"/>
      <c r="F21" s="122"/>
      <c r="G21" s="122"/>
      <c r="H21" s="122"/>
      <c r="I21" s="122"/>
      <c r="J21" s="122"/>
    </row>
    <row r="22" spans="2:10" x14ac:dyDescent="0.25">
      <c r="B22" s="116"/>
      <c r="C22" s="120" t="s">
        <v>552</v>
      </c>
    </row>
    <row r="23" spans="2:10" x14ac:dyDescent="0.25">
      <c r="B23" s="129"/>
      <c r="C23" s="120" t="s">
        <v>553</v>
      </c>
    </row>
    <row r="24" spans="2:10" x14ac:dyDescent="0.25">
      <c r="B24" s="130"/>
      <c r="C24" s="120" t="s">
        <v>554</v>
      </c>
    </row>
    <row r="25" spans="2:10" x14ac:dyDescent="0.25">
      <c r="B25" s="131"/>
      <c r="C25" s="120" t="s">
        <v>555</v>
      </c>
    </row>
    <row r="26" spans="2:10" x14ac:dyDescent="0.25">
      <c r="B26" s="132"/>
      <c r="C26" s="120" t="s">
        <v>556</v>
      </c>
    </row>
    <row r="27" spans="2:10" x14ac:dyDescent="0.25">
      <c r="B27" s="133"/>
      <c r="C27" s="120" t="s">
        <v>557</v>
      </c>
    </row>
    <row r="28" spans="2:10" x14ac:dyDescent="0.25">
      <c r="C28" s="124" t="s">
        <v>558</v>
      </c>
    </row>
    <row r="30" spans="2:10" ht="18" customHeight="1" x14ac:dyDescent="0.25">
      <c r="B30" s="122" t="s">
        <v>559</v>
      </c>
      <c r="C30" s="122"/>
      <c r="D30" s="122"/>
      <c r="E30" s="122"/>
      <c r="F30" s="122"/>
      <c r="G30" s="122"/>
      <c r="H30" s="122"/>
      <c r="I30" s="122"/>
      <c r="J30" s="122"/>
    </row>
    <row r="31" spans="2:10" x14ac:dyDescent="0.25">
      <c r="C31" s="134" t="s">
        <v>136</v>
      </c>
      <c r="D31" s="135" t="s">
        <v>560</v>
      </c>
      <c r="E31" s="135"/>
      <c r="F31" s="135"/>
      <c r="G31" s="135"/>
      <c r="H31" s="135" t="s">
        <v>561</v>
      </c>
      <c r="I31" s="135"/>
      <c r="J31" s="135"/>
    </row>
    <row r="32" spans="2:10" ht="22.5" customHeight="1" x14ac:dyDescent="0.25">
      <c r="C32" s="136" t="s">
        <v>146</v>
      </c>
      <c r="D32" s="137" t="s">
        <v>562</v>
      </c>
      <c r="E32" s="137"/>
      <c r="F32" s="137"/>
      <c r="G32" s="137"/>
      <c r="H32" s="137" t="s">
        <v>563</v>
      </c>
      <c r="I32" s="137"/>
      <c r="J32" s="137"/>
    </row>
    <row r="33" spans="2:10" ht="22.5" customHeight="1" x14ac:dyDescent="0.25">
      <c r="C33" s="136" t="s">
        <v>564</v>
      </c>
      <c r="D33" s="137" t="s">
        <v>565</v>
      </c>
      <c r="E33" s="137"/>
      <c r="F33" s="137"/>
      <c r="G33" s="137"/>
      <c r="H33" s="137" t="s">
        <v>566</v>
      </c>
      <c r="I33" s="137"/>
      <c r="J33" s="137"/>
    </row>
    <row r="34" spans="2:10" ht="22.5" customHeight="1" x14ac:dyDescent="0.25">
      <c r="C34" s="136" t="s">
        <v>184</v>
      </c>
      <c r="D34" s="137" t="s">
        <v>567</v>
      </c>
      <c r="E34" s="137"/>
      <c r="F34" s="137"/>
      <c r="G34" s="137"/>
      <c r="H34" s="137" t="s">
        <v>568</v>
      </c>
      <c r="I34" s="137"/>
      <c r="J34" s="137"/>
    </row>
    <row r="35" spans="2:10" ht="22.5" customHeight="1" x14ac:dyDescent="0.25">
      <c r="C35" s="136" t="s">
        <v>187</v>
      </c>
      <c r="D35" s="137" t="s">
        <v>481</v>
      </c>
      <c r="E35" s="137"/>
      <c r="F35" s="137"/>
      <c r="G35" s="137"/>
      <c r="H35" s="137" t="s">
        <v>569</v>
      </c>
      <c r="I35" s="137"/>
      <c r="J35" s="137"/>
    </row>
    <row r="36" spans="2:10" ht="22.5" customHeight="1" x14ac:dyDescent="0.25">
      <c r="C36" s="136" t="s">
        <v>157</v>
      </c>
      <c r="D36" s="137" t="s">
        <v>570</v>
      </c>
      <c r="E36" s="137"/>
      <c r="F36" s="137"/>
      <c r="G36" s="137"/>
      <c r="H36" s="137" t="s">
        <v>571</v>
      </c>
      <c r="I36" s="137"/>
      <c r="J36" s="137"/>
    </row>
    <row r="37" spans="2:10" ht="22.5" customHeight="1" x14ac:dyDescent="0.25">
      <c r="C37" s="136" t="s">
        <v>155</v>
      </c>
      <c r="D37" s="137" t="s">
        <v>572</v>
      </c>
      <c r="E37" s="137"/>
      <c r="F37" s="137"/>
      <c r="G37" s="137"/>
      <c r="H37" s="137" t="s">
        <v>573</v>
      </c>
      <c r="I37" s="137"/>
      <c r="J37" s="137"/>
    </row>
    <row r="38" spans="2:10" ht="22.5" customHeight="1" x14ac:dyDescent="0.25">
      <c r="C38" s="136" t="s">
        <v>574</v>
      </c>
      <c r="D38" s="137" t="s">
        <v>486</v>
      </c>
      <c r="E38" s="137"/>
      <c r="F38" s="137"/>
      <c r="G38" s="137"/>
      <c r="H38" s="137" t="s">
        <v>575</v>
      </c>
      <c r="I38" s="137"/>
      <c r="J38" s="137"/>
    </row>
    <row r="39" spans="2:10" ht="22.5" customHeight="1" x14ac:dyDescent="0.25">
      <c r="C39" s="136" t="s">
        <v>103</v>
      </c>
      <c r="D39" s="137" t="s">
        <v>491</v>
      </c>
      <c r="E39" s="137"/>
      <c r="F39" s="137"/>
      <c r="G39" s="137"/>
      <c r="H39" s="137" t="s">
        <v>576</v>
      </c>
      <c r="I39" s="137"/>
      <c r="J39" s="137"/>
    </row>
    <row r="40" spans="2:10" ht="22.5" customHeight="1" x14ac:dyDescent="0.25">
      <c r="C40" s="136" t="s">
        <v>577</v>
      </c>
      <c r="D40" s="137" t="s">
        <v>578</v>
      </c>
      <c r="E40" s="137"/>
      <c r="F40" s="137"/>
      <c r="G40" s="137"/>
      <c r="H40" s="137" t="s">
        <v>579</v>
      </c>
      <c r="I40" s="137"/>
      <c r="J40" s="137"/>
    </row>
    <row r="41" spans="2:10" ht="22.5" customHeight="1" x14ac:dyDescent="0.25">
      <c r="C41" s="136" t="s">
        <v>580</v>
      </c>
      <c r="D41" s="137" t="s">
        <v>581</v>
      </c>
      <c r="E41" s="137"/>
      <c r="F41" s="137"/>
      <c r="G41" s="137"/>
      <c r="H41" s="137" t="s">
        <v>582</v>
      </c>
      <c r="I41" s="137"/>
      <c r="J41" s="137"/>
    </row>
    <row r="42" spans="2:10" ht="22.5" customHeight="1" x14ac:dyDescent="0.25">
      <c r="C42" s="136" t="s">
        <v>583</v>
      </c>
      <c r="D42" s="137" t="s">
        <v>584</v>
      </c>
      <c r="E42" s="137"/>
      <c r="F42" s="137"/>
      <c r="G42" s="137"/>
      <c r="H42" s="137" t="s">
        <v>585</v>
      </c>
      <c r="I42" s="137"/>
      <c r="J42" s="137"/>
    </row>
    <row r="43" spans="2:10" ht="22.5" customHeight="1" x14ac:dyDescent="0.25">
      <c r="C43" s="136" t="s">
        <v>586</v>
      </c>
      <c r="D43" s="137" t="s">
        <v>587</v>
      </c>
      <c r="E43" s="137"/>
      <c r="F43" s="137"/>
      <c r="G43" s="137"/>
      <c r="H43" s="137" t="s">
        <v>588</v>
      </c>
      <c r="I43" s="137"/>
      <c r="J43" s="137"/>
    </row>
    <row r="45" spans="2:10" ht="18" customHeight="1" x14ac:dyDescent="0.25">
      <c r="B45" s="122" t="s">
        <v>589</v>
      </c>
      <c r="C45" s="122"/>
      <c r="D45" s="122"/>
      <c r="E45" s="122"/>
      <c r="F45" s="122"/>
      <c r="G45" s="122"/>
      <c r="H45" s="122"/>
      <c r="I45" s="122"/>
      <c r="J45" s="122"/>
    </row>
    <row r="46" spans="2:10" x14ac:dyDescent="0.25">
      <c r="C46" s="134" t="s">
        <v>509</v>
      </c>
      <c r="D46" s="138" t="s">
        <v>590</v>
      </c>
    </row>
    <row r="47" spans="2:10" x14ac:dyDescent="0.25">
      <c r="C47" s="139" t="s">
        <v>514</v>
      </c>
      <c r="D47" s="140" t="str">
        <f>IF(Calc!$E$631=1,"✔ Pass","✖ Fail: difference "&amp;FIXED(Calc!$D$631,2))</f>
        <v>✔ Pass</v>
      </c>
    </row>
    <row r="48" spans="2:10" x14ac:dyDescent="0.25">
      <c r="C48" s="139" t="s">
        <v>515</v>
      </c>
      <c r="D48" s="140" t="str">
        <f>IF(Calc!$E$632=1,"✔ Pass","✖ Fail: difference "&amp;FIXED(Calc!$D$632,2))</f>
        <v>✔ Pass</v>
      </c>
    </row>
    <row r="49" spans="2:10" x14ac:dyDescent="0.25">
      <c r="C49" s="139" t="s">
        <v>516</v>
      </c>
      <c r="D49" s="140" t="str">
        <f>IF(Calc!$E$633=1,"✔ Pass","✖ Fail: difference "&amp;FIXED(Calc!$D$633,2))</f>
        <v>✔ Pass</v>
      </c>
    </row>
    <row r="50" spans="2:10" x14ac:dyDescent="0.25">
      <c r="C50" s="139" t="s">
        <v>517</v>
      </c>
      <c r="D50" s="140" t="str">
        <f>IF(Calc!$E$634=1,"✔ Pass","✖ Fail: difference "&amp;FIXED(Calc!$D$634,2))</f>
        <v>✔ Pass</v>
      </c>
    </row>
    <row r="51" spans="2:10" x14ac:dyDescent="0.25">
      <c r="C51" s="139" t="s">
        <v>518</v>
      </c>
      <c r="D51" s="140" t="str">
        <f>IF(Calc!$E$635=1,"✔ Pass","✖ Fail: difference "&amp;FIXED(Calc!$D$635,2))</f>
        <v>✔ Pass</v>
      </c>
    </row>
    <row r="52" spans="2:10" x14ac:dyDescent="0.25">
      <c r="C52" s="139" t="s">
        <v>519</v>
      </c>
      <c r="D52" s="140" t="str">
        <f>IF(Calc!$E$636=1,"✔ Pass","✖ Fail: difference "&amp;FIXED(Calc!$D$636,2))</f>
        <v>✔ Pass</v>
      </c>
    </row>
    <row r="53" spans="2:10" x14ac:dyDescent="0.25">
      <c r="C53" s="139" t="s">
        <v>520</v>
      </c>
      <c r="D53" s="140" t="str">
        <f>IF(Calc!$E$637=1,"✔ Pass","✖ Fail: difference "&amp;FIXED(Calc!$D$637,2))</f>
        <v>✔ Pass</v>
      </c>
    </row>
    <row r="54" spans="2:10" x14ac:dyDescent="0.25">
      <c r="C54" s="139" t="s">
        <v>521</v>
      </c>
      <c r="D54" s="140" t="str">
        <f>IF(Calc!$E$638=1,"✔ Pass","✖ Fail: difference "&amp;FIXED(Calc!$D$638,2))</f>
        <v>✔ Pass</v>
      </c>
    </row>
    <row r="55" spans="2:10" x14ac:dyDescent="0.25">
      <c r="C55" s="139" t="s">
        <v>522</v>
      </c>
      <c r="D55" s="140" t="str">
        <f>IF(Calc!$E$639=1,"✔ Pass","✖ Fail: difference "&amp;FIXED(Calc!$D$639,2))</f>
        <v>✔ Pass</v>
      </c>
    </row>
    <row r="56" spans="2:10" x14ac:dyDescent="0.25">
      <c r="C56" s="139" t="s">
        <v>523</v>
      </c>
      <c r="D56" s="140" t="str">
        <f>IF(Calc!$E$640=1,"✔ Pass","✖ Fail: difference "&amp;FIXED(Calc!$D$640,2))</f>
        <v>✔ Pass</v>
      </c>
    </row>
    <row r="57" spans="2:10" x14ac:dyDescent="0.25">
      <c r="C57" s="139" t="s">
        <v>524</v>
      </c>
      <c r="D57" s="140" t="str">
        <f>IF(Calc!$E$641=1,"✔ Pass","✖ Fail: difference "&amp;FIXED(Calc!$D$641,2))</f>
        <v>✔ Pass</v>
      </c>
    </row>
    <row r="58" spans="2:10" x14ac:dyDescent="0.25">
      <c r="C58" s="139" t="s">
        <v>525</v>
      </c>
      <c r="D58" s="140" t="str">
        <f>IF(Calc!$E$642=1,"✔ Pass","✖ Fail: difference "&amp;FIXED(Calc!$D$642,2))</f>
        <v>✔ Pass</v>
      </c>
    </row>
    <row r="59" spans="2:10" x14ac:dyDescent="0.25">
      <c r="C59" s="139" t="s">
        <v>526</v>
      </c>
      <c r="D59" s="140" t="str">
        <f>IF(Calc!$E$643=1,"✔ Pass","✖ Fail: difference "&amp;FIXED(Calc!$D$643,2))</f>
        <v>✔ Pass</v>
      </c>
    </row>
    <row r="60" spans="2:10" x14ac:dyDescent="0.25">
      <c r="C60" s="139" t="s">
        <v>527</v>
      </c>
      <c r="D60" s="140" t="str">
        <f>IF(Calc!$E$644=1,"✔ Pass","✖ Fail: difference "&amp;FIXED(Calc!$D$644,2))</f>
        <v>✔ Pass</v>
      </c>
    </row>
    <row r="62" spans="2:10" ht="18" customHeight="1" x14ac:dyDescent="0.25">
      <c r="B62" s="122" t="s">
        <v>591</v>
      </c>
      <c r="C62" s="122"/>
      <c r="D62" s="122"/>
      <c r="E62" s="122"/>
      <c r="F62" s="122"/>
      <c r="G62" s="122"/>
      <c r="H62" s="122"/>
      <c r="I62" s="122"/>
      <c r="J62" s="122"/>
    </row>
    <row r="63" spans="2:10" x14ac:dyDescent="0.25">
      <c r="C63" s="120" t="s">
        <v>592</v>
      </c>
    </row>
    <row r="64" spans="2:10" x14ac:dyDescent="0.25">
      <c r="C64" s="120" t="s">
        <v>593</v>
      </c>
    </row>
    <row r="65" spans="2:10" x14ac:dyDescent="0.25">
      <c r="C65" s="120" t="s">
        <v>594</v>
      </c>
    </row>
    <row r="67" spans="2:10" ht="18" customHeight="1" x14ac:dyDescent="0.25">
      <c r="B67" s="122" t="s">
        <v>595</v>
      </c>
      <c r="C67" s="122"/>
      <c r="D67" s="122"/>
      <c r="E67" s="122"/>
      <c r="F67" s="122"/>
      <c r="G67" s="122"/>
      <c r="H67" s="122"/>
      <c r="I67" s="122"/>
      <c r="J67" s="122"/>
    </row>
    <row r="68" spans="2:10" x14ac:dyDescent="0.25">
      <c r="C68" s="121" t="s">
        <v>596</v>
      </c>
    </row>
    <row r="69" spans="2:10" x14ac:dyDescent="0.25">
      <c r="C69" s="121" t="s">
        <v>597</v>
      </c>
    </row>
    <row r="70" spans="2:10" x14ac:dyDescent="0.25">
      <c r="C70" s="121" t="s">
        <v>598</v>
      </c>
    </row>
    <row r="71" spans="2:10" x14ac:dyDescent="0.25">
      <c r="C71" s="121" t="s">
        <v>599</v>
      </c>
    </row>
    <row r="72" spans="2:10" x14ac:dyDescent="0.25">
      <c r="C72" s="121" t="s">
        <v>600</v>
      </c>
    </row>
    <row r="73" spans="2:10" x14ac:dyDescent="0.25">
      <c r="C73" s="121" t="s">
        <v>601</v>
      </c>
    </row>
    <row r="74" spans="2:10" x14ac:dyDescent="0.25">
      <c r="C74" s="121" t="s">
        <v>602</v>
      </c>
    </row>
    <row r="75" spans="2:10" x14ac:dyDescent="0.25">
      <c r="C75" s="121" t="s">
        <v>603</v>
      </c>
    </row>
  </sheetData>
  <mergeCells count="26">
    <mergeCell ref="D43:G43"/>
    <mergeCell ref="H43:J43"/>
    <mergeCell ref="D40:G40"/>
    <mergeCell ref="H40:J40"/>
    <mergeCell ref="D41:G41"/>
    <mergeCell ref="H41:J41"/>
    <mergeCell ref="D42:G42"/>
    <mergeCell ref="H42:J42"/>
    <mergeCell ref="D37:G37"/>
    <mergeCell ref="H37:J37"/>
    <mergeCell ref="D38:G38"/>
    <mergeCell ref="H38:J38"/>
    <mergeCell ref="D39:G39"/>
    <mergeCell ref="H39:J39"/>
    <mergeCell ref="D34:G34"/>
    <mergeCell ref="H34:J34"/>
    <mergeCell ref="D35:G35"/>
    <mergeCell ref="H35:J35"/>
    <mergeCell ref="D36:G36"/>
    <mergeCell ref="H36:J36"/>
    <mergeCell ref="D31:G31"/>
    <mergeCell ref="H31:J31"/>
    <mergeCell ref="D32:G32"/>
    <mergeCell ref="H32:J32"/>
    <mergeCell ref="D33:G33"/>
    <mergeCell ref="H33:J33"/>
  </mergeCells>
  <conditionalFormatting sqref="D47:D60">
    <cfRule type="beginsWith" dxfId="0" priority="1" operator="beginsWith" text="✖">
      <formula>LEFT(D47,1)="✖"</formula>
    </cfRule>
  </conditionalFormatting>
  <dataValidations count="1">
    <dataValidation type="list" allowBlank="1" showInputMessage="1" showErrorMessage="1" sqref="D8" xr:uid="{00000000-0002-0000-0600-000000000000}">
      <formula1>"m,k"</formula1>
    </dataValidation>
  </dataValidations>
  <hyperlinks>
    <hyperlink ref="B4" location="Summary!A1" display="Back to Summary" xr:uid="{00000000-0004-0000-0600-000000000000}"/>
    <hyperlink ref="C68" r:id="rId1" xr:uid="{00000000-0004-0000-0600-000001000000}"/>
    <hyperlink ref="C69" r:id="rId2" xr:uid="{00000000-0004-0000-0600-000002000000}"/>
    <hyperlink ref="C70" r:id="rId3" xr:uid="{00000000-0004-0000-0600-000003000000}"/>
    <hyperlink ref="C71" r:id="rId4" xr:uid="{00000000-0004-0000-0600-000004000000}"/>
    <hyperlink ref="C72" r:id="rId5" xr:uid="{00000000-0004-0000-0600-000005000000}"/>
    <hyperlink ref="C73" r:id="rId6" xr:uid="{00000000-0004-0000-0600-000006000000}"/>
    <hyperlink ref="C74" r:id="rId7" xr:uid="{00000000-0004-0000-0600-000007000000}"/>
    <hyperlink ref="C75" r:id="rId8" xr:uid="{00000000-0004-0000-0600-000008000000}"/>
  </hyperlink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27</vt:i4>
      </vt:variant>
    </vt:vector>
  </HeadingPairs>
  <TitlesOfParts>
    <vt:vector size="34" baseType="lpstr">
      <vt:lpstr>Summary</vt:lpstr>
      <vt:lpstr>P&amp;L</vt:lpstr>
      <vt:lpstr>Channel</vt:lpstr>
      <vt:lpstr>Brand</vt:lpstr>
      <vt:lpstr>Data</vt:lpstr>
      <vt:lpstr>Calc</vt:lpstr>
      <vt:lpstr>Guide</vt:lpstr>
      <vt:lpstr>AcLbl</vt:lpstr>
      <vt:lpstr>ChecksOK</vt:lpstr>
      <vt:lpstr>Company</vt:lpstr>
      <vt:lpstr>Cur</vt:lpstr>
      <vt:lpstr>FATarget</vt:lpstr>
      <vt:lpstr>focusBrand</vt:lpstr>
      <vt:lpstr>focusChannel</vt:lpstr>
      <vt:lpstr>LastAct</vt:lpstr>
      <vt:lpstr>lstBrand</vt:lpstr>
      <vt:lpstr>lstChannel</vt:lpstr>
      <vt:lpstr>mFrom</vt:lpstr>
      <vt:lpstr>mSel</vt:lpstr>
      <vt:lpstr>mTo</vt:lpstr>
      <vt:lpstr>PerLbl</vt:lpstr>
      <vt:lpstr>Brand!Print_Area</vt:lpstr>
      <vt:lpstr>Channel!Print_Area</vt:lpstr>
      <vt:lpstr>'P&amp;L'!Print_Area</vt:lpstr>
      <vt:lpstr>Summary!Print_Area</vt:lpstr>
      <vt:lpstr>Data!Print_Titles</vt:lpstr>
      <vt:lpstr>ScaleLbl</vt:lpstr>
      <vt:lpstr>selFY</vt:lpstr>
      <vt:lpstr>selMonth</vt:lpstr>
      <vt:lpstr>selView</vt:lpstr>
      <vt:lpstr>Tol</vt:lpstr>
      <vt:lpstr>Unit</vt:lpstr>
      <vt:lpstr>UnitLbl</vt:lpstr>
      <vt:lpstr>WinM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Veysel Coskun</cp:lastModifiedBy>
  <dcterms:created xsi:type="dcterms:W3CDTF">2026-11-07T15:53:51Z</dcterms:created>
  <dcterms:modified xsi:type="dcterms:W3CDTF">2026-11-07T17:18:24Z</dcterms:modified>
</cp:coreProperties>
</file>