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drawings/drawing2.xml" ContentType="application/vnd.openxmlformats-officedocument.drawing+xml"/>
  <Override PartName="/xl/slicers/slicer2.xml" ContentType="application/vnd.ms-excel.slicer+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drawings/drawing3.xml" ContentType="application/vnd.openxmlformats-officedocument.drawing+xml"/>
  <Override PartName="/xl/slicers/slicer3.xml" ContentType="application/vnd.ms-excel.slicer+xml"/>
  <Override PartName="/xl/drawings/drawing4.xml" ContentType="application/vnd.openxmlformats-officedocument.drawing+xml"/>
  <Override PartName="/xl/slicers/slicer4.xml" ContentType="application/vnd.ms-excel.slicer+xml"/>
  <Override PartName="/xl/drawings/drawing5.xml" ContentType="application/vnd.openxmlformats-officedocument.drawing+xml"/>
  <Override PartName="/xl/slicers/slicer5.xml" ContentType="application/vnd.ms-excel.slicer+xml"/>
  <Override PartName="/xl/drawings/drawing6.xml" ContentType="application/vnd.openxmlformats-officedocument.drawing+xml"/>
  <Override PartName="/xl/slicers/slicer6.xml" ContentType="application/vnd.ms-excel.slicer+xml"/>
  <Override PartName="/xl/drawings/drawing7.xml" ContentType="application/vnd.openxmlformats-officedocument.drawing+xml"/>
  <Override PartName="/xl/slicers/slicer7.xml" ContentType="application/vnd.ms-excel.slicer+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https://d.docs.live.net/d75db559d98e73a0/Masaüstü/EMEA Cockpit/Management Accounts/"/>
    </mc:Choice>
  </mc:AlternateContent>
  <xr:revisionPtr revIDLastSave="4" documentId="8_{A5A1E1DF-C6C8-49C9-A04A-B71F29F3C1F3}" xr6:coauthVersionLast="47" xr6:coauthVersionMax="47" xr10:uidLastSave="{33400DE0-8721-4B55-B28A-AC02F0EFAB45}"/>
  <bookViews>
    <workbookView xWindow="-120" yWindow="16080" windowWidth="29040" windowHeight="15720" activeTab="2" xr2:uid="{00000000-000D-0000-FFFF-FFFF00000000}"/>
  </bookViews>
  <sheets>
    <sheet name="Start Here" sheetId="8" r:id="rId1"/>
    <sheet name="Setup" sheetId="9" r:id="rId2"/>
    <sheet name="Dashboard" sheetId="1" r:id="rId3"/>
    <sheet name="Monthly Trends" sheetId="2" r:id="rId4"/>
    <sheet name="Income Statement" sheetId="3" r:id="rId5"/>
    <sheet name="Balance Sheet" sheetId="4" r:id="rId6"/>
    <sheet name="Cash Flow" sheetId="5" r:id="rId7"/>
    <sheet name="KPIs" sheetId="6" r:id="rId8"/>
    <sheet name="Commentary" sheetId="7" r:id="rId9"/>
    <sheet name="Trial Balance" sheetId="10" r:id="rId10"/>
    <sheet name="Budget" sheetId="11" r:id="rId11"/>
    <sheet name="Checks" sheetId="12" r:id="rId12"/>
    <sheet name="Calc" sheetId="13" r:id="rId13"/>
    <sheet name="Mapping" sheetId="14" r:id="rId14"/>
    <sheet name="Analytics" sheetId="15" r:id="rId15"/>
    <sheet name="Lists" sheetId="16" r:id="rId16"/>
  </sheets>
  <definedNames>
    <definedName name="_xlnm._FilterDatabase" localSheetId="9" hidden="1">'Trial Balance'!$A$4:$D$255</definedName>
    <definedName name="costLbl">Analytics!$B$7</definedName>
    <definedName name="metIdx">Analytics!$B$5</definedName>
    <definedName name="mSel">Setup!$B$7</definedName>
    <definedName name="_xlnm.Print_Area" localSheetId="2">Dashboard!$A$1:$W$80</definedName>
    <definedName name="_xlnm.Print_Area" localSheetId="4">'Income Statement'!$A$1:$K$37</definedName>
    <definedName name="_xlnm.Print_Area" localSheetId="3">'Monthly Trends'!$A$1:$T$76</definedName>
    <definedName name="Slicer_Cost_line">#N/A</definedName>
    <definedName name="Slicer_Metric">#N/A</definedName>
    <definedName name="Slicer_Month">#N/A</definedName>
    <definedName name="Slicer_View">#N/A</definedName>
    <definedName name="viewIdx">Analytics!$B$4</definedName>
    <definedName name="viewLbl">Analytics!$B$6</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7"/>
        <x14:slicerCache r:id="rId18"/>
        <x14:slicerCache r:id="rId19"/>
        <x14:slicerCache r:id="rId20"/>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2" i="16" l="1"/>
  <c r="C41" i="16"/>
  <c r="C40" i="16"/>
  <c r="C39" i="16"/>
  <c r="E106" i="15" s="1"/>
  <c r="C38" i="16"/>
  <c r="E105" i="15" s="1"/>
  <c r="C37" i="16"/>
  <c r="C36" i="16"/>
  <c r="E103" i="15" s="1"/>
  <c r="C35" i="16"/>
  <c r="E102" i="15" s="1"/>
  <c r="C34" i="16"/>
  <c r="E101" i="15" s="1"/>
  <c r="C33" i="16"/>
  <c r="E100" i="15" s="1"/>
  <c r="C29" i="16"/>
  <c r="C28" i="16"/>
  <c r="C27" i="16"/>
  <c r="C26" i="16"/>
  <c r="C25" i="16"/>
  <c r="C21" i="16"/>
  <c r="C20" i="16"/>
  <c r="D15" i="16"/>
  <c r="D14" i="16"/>
  <c r="D13" i="16"/>
  <c r="D12" i="16"/>
  <c r="D11" i="16"/>
  <c r="D10" i="16"/>
  <c r="D9" i="16"/>
  <c r="D8" i="16"/>
  <c r="D7" i="16"/>
  <c r="D6" i="16"/>
  <c r="D5" i="16"/>
  <c r="D4" i="16"/>
  <c r="B186" i="15"/>
  <c r="B184" i="15"/>
  <c r="B183" i="15"/>
  <c r="B182" i="15"/>
  <c r="B181" i="15"/>
  <c r="B180" i="15"/>
  <c r="B179" i="15"/>
  <c r="B178" i="15"/>
  <c r="C134" i="15"/>
  <c r="M130" i="15"/>
  <c r="L130" i="15"/>
  <c r="I130" i="15"/>
  <c r="H130" i="15"/>
  <c r="D130" i="15"/>
  <c r="K129" i="15"/>
  <c r="G129" i="15"/>
  <c r="K128" i="15"/>
  <c r="G128" i="15"/>
  <c r="K127" i="15"/>
  <c r="G127" i="15"/>
  <c r="K126" i="15"/>
  <c r="G126" i="15"/>
  <c r="K125" i="15"/>
  <c r="G125" i="15"/>
  <c r="M124" i="15"/>
  <c r="L124" i="15"/>
  <c r="I124" i="15"/>
  <c r="H124" i="15"/>
  <c r="D124" i="15"/>
  <c r="M120" i="15"/>
  <c r="L120" i="15"/>
  <c r="I120" i="15"/>
  <c r="H120" i="15"/>
  <c r="D120" i="15"/>
  <c r="K119" i="15"/>
  <c r="G119" i="15"/>
  <c r="K118" i="15"/>
  <c r="G118" i="15"/>
  <c r="K117" i="15"/>
  <c r="G117" i="15"/>
  <c r="K116" i="15"/>
  <c r="G116" i="15"/>
  <c r="K115" i="15"/>
  <c r="G115" i="15"/>
  <c r="K114" i="15"/>
  <c r="G114" i="15"/>
  <c r="M113" i="15"/>
  <c r="L113" i="15"/>
  <c r="I113" i="15"/>
  <c r="H113" i="15"/>
  <c r="D113" i="15"/>
  <c r="E109" i="15"/>
  <c r="E108" i="15"/>
  <c r="E107" i="15"/>
  <c r="E104" i="15"/>
  <c r="B5" i="15"/>
  <c r="B4" i="15"/>
  <c r="P104" i="13"/>
  <c r="N44" i="15" s="1"/>
  <c r="O104" i="13"/>
  <c r="M44" i="15" s="1"/>
  <c r="N104" i="13"/>
  <c r="L44" i="15" s="1"/>
  <c r="M104" i="13"/>
  <c r="K44" i="15" s="1"/>
  <c r="L104" i="13"/>
  <c r="J44" i="15" s="1"/>
  <c r="K104" i="13"/>
  <c r="I44" i="15" s="1"/>
  <c r="J104" i="13"/>
  <c r="H44" i="15" s="1"/>
  <c r="I104" i="13"/>
  <c r="G44" i="15" s="1"/>
  <c r="H104" i="13"/>
  <c r="F44" i="15" s="1"/>
  <c r="G104" i="13"/>
  <c r="E44" i="15" s="1"/>
  <c r="F104" i="13"/>
  <c r="D44" i="15" s="1"/>
  <c r="E104" i="13"/>
  <c r="P103" i="13"/>
  <c r="N43" i="15" s="1"/>
  <c r="O103" i="13"/>
  <c r="M43" i="15" s="1"/>
  <c r="N103" i="13"/>
  <c r="L43" i="15" s="1"/>
  <c r="M103" i="13"/>
  <c r="K43" i="15" s="1"/>
  <c r="L103" i="13"/>
  <c r="J43" i="15" s="1"/>
  <c r="K103" i="13"/>
  <c r="I43" i="15" s="1"/>
  <c r="J103" i="13"/>
  <c r="H43" i="15" s="1"/>
  <c r="I103" i="13"/>
  <c r="G43" i="15" s="1"/>
  <c r="H103" i="13"/>
  <c r="F43" i="15" s="1"/>
  <c r="G103" i="13"/>
  <c r="E43" i="15" s="1"/>
  <c r="F103" i="13"/>
  <c r="D43" i="15" s="1"/>
  <c r="E103" i="13"/>
  <c r="E123" i="13" s="1"/>
  <c r="P102" i="13"/>
  <c r="N42" i="15" s="1"/>
  <c r="O102" i="13"/>
  <c r="M42" i="15" s="1"/>
  <c r="N102" i="13"/>
  <c r="L42" i="15" s="1"/>
  <c r="M102" i="13"/>
  <c r="K42" i="15" s="1"/>
  <c r="L102" i="13"/>
  <c r="J42" i="15" s="1"/>
  <c r="K102" i="13"/>
  <c r="I42" i="15" s="1"/>
  <c r="J102" i="13"/>
  <c r="H42" i="15" s="1"/>
  <c r="I102" i="13"/>
  <c r="G42" i="15" s="1"/>
  <c r="H102" i="13"/>
  <c r="F42" i="15" s="1"/>
  <c r="G102" i="13"/>
  <c r="E42" i="15" s="1"/>
  <c r="F102" i="13"/>
  <c r="D42" i="15" s="1"/>
  <c r="E102" i="13"/>
  <c r="P101" i="13"/>
  <c r="N41" i="15" s="1"/>
  <c r="O101" i="13"/>
  <c r="M41" i="15" s="1"/>
  <c r="N101" i="13"/>
  <c r="L41" i="15" s="1"/>
  <c r="M101" i="13"/>
  <c r="K41" i="15" s="1"/>
  <c r="L101" i="13"/>
  <c r="J41" i="15" s="1"/>
  <c r="K101" i="13"/>
  <c r="I41" i="15" s="1"/>
  <c r="J101" i="13"/>
  <c r="H41" i="15" s="1"/>
  <c r="I101" i="13"/>
  <c r="G41" i="15" s="1"/>
  <c r="H101" i="13"/>
  <c r="F41" i="15" s="1"/>
  <c r="G101" i="13"/>
  <c r="E41" i="15" s="1"/>
  <c r="F101" i="13"/>
  <c r="D41" i="15" s="1"/>
  <c r="E101" i="13"/>
  <c r="P100" i="13"/>
  <c r="N40" i="15" s="1"/>
  <c r="O100" i="13"/>
  <c r="M40" i="15" s="1"/>
  <c r="N100" i="13"/>
  <c r="L40" i="15" s="1"/>
  <c r="M100" i="13"/>
  <c r="K40" i="15" s="1"/>
  <c r="L100" i="13"/>
  <c r="J40" i="15" s="1"/>
  <c r="K100" i="13"/>
  <c r="I40" i="15" s="1"/>
  <c r="J100" i="13"/>
  <c r="H40" i="15" s="1"/>
  <c r="I100" i="13"/>
  <c r="G40" i="15" s="1"/>
  <c r="H100" i="13"/>
  <c r="F40" i="15" s="1"/>
  <c r="G100" i="13"/>
  <c r="E40" i="15" s="1"/>
  <c r="F100" i="13"/>
  <c r="D40" i="15" s="1"/>
  <c r="E100" i="13"/>
  <c r="P99" i="13"/>
  <c r="N39" i="15" s="1"/>
  <c r="O99" i="13"/>
  <c r="M39" i="15" s="1"/>
  <c r="N99" i="13"/>
  <c r="L39" i="15" s="1"/>
  <c r="M99" i="13"/>
  <c r="K39" i="15" s="1"/>
  <c r="L99" i="13"/>
  <c r="J39" i="15" s="1"/>
  <c r="K99" i="13"/>
  <c r="I39" i="15" s="1"/>
  <c r="J99" i="13"/>
  <c r="H39" i="15" s="1"/>
  <c r="I99" i="13"/>
  <c r="G39" i="15" s="1"/>
  <c r="H99" i="13"/>
  <c r="F39" i="15" s="1"/>
  <c r="G99" i="13"/>
  <c r="E39" i="15" s="1"/>
  <c r="F99" i="13"/>
  <c r="D39" i="15" s="1"/>
  <c r="E99" i="13"/>
  <c r="P98" i="13"/>
  <c r="N38" i="15" s="1"/>
  <c r="O98" i="13"/>
  <c r="M38" i="15" s="1"/>
  <c r="N98" i="13"/>
  <c r="L38" i="15" s="1"/>
  <c r="M98" i="13"/>
  <c r="K38" i="15" s="1"/>
  <c r="L98" i="13"/>
  <c r="J38" i="15" s="1"/>
  <c r="K98" i="13"/>
  <c r="I38" i="15" s="1"/>
  <c r="J98" i="13"/>
  <c r="H38" i="15" s="1"/>
  <c r="I98" i="13"/>
  <c r="G38" i="15" s="1"/>
  <c r="H98" i="13"/>
  <c r="F38" i="15" s="1"/>
  <c r="G98" i="13"/>
  <c r="E38" i="15" s="1"/>
  <c r="F98" i="13"/>
  <c r="D38" i="15" s="1"/>
  <c r="E98" i="13"/>
  <c r="P97" i="13"/>
  <c r="N37" i="15" s="1"/>
  <c r="O97" i="13"/>
  <c r="M37" i="15" s="1"/>
  <c r="N97" i="13"/>
  <c r="L37" i="15" s="1"/>
  <c r="M97" i="13"/>
  <c r="K37" i="15" s="1"/>
  <c r="L97" i="13"/>
  <c r="J37" i="15" s="1"/>
  <c r="K97" i="13"/>
  <c r="I37" i="15" s="1"/>
  <c r="J97" i="13"/>
  <c r="H37" i="15" s="1"/>
  <c r="I97" i="13"/>
  <c r="G37" i="15" s="1"/>
  <c r="H97" i="13"/>
  <c r="F37" i="15" s="1"/>
  <c r="G97" i="13"/>
  <c r="E37" i="15" s="1"/>
  <c r="F97" i="13"/>
  <c r="D37" i="15" s="1"/>
  <c r="E97" i="13"/>
  <c r="P96" i="13"/>
  <c r="N36" i="15" s="1"/>
  <c r="O96" i="13"/>
  <c r="M36" i="15" s="1"/>
  <c r="N96" i="13"/>
  <c r="L36" i="15" s="1"/>
  <c r="M96" i="13"/>
  <c r="K36" i="15" s="1"/>
  <c r="L96" i="13"/>
  <c r="J36" i="15" s="1"/>
  <c r="K96" i="13"/>
  <c r="I36" i="15" s="1"/>
  <c r="J96" i="13"/>
  <c r="H36" i="15" s="1"/>
  <c r="I96" i="13"/>
  <c r="G36" i="15" s="1"/>
  <c r="H96" i="13"/>
  <c r="F36" i="15" s="1"/>
  <c r="G96" i="13"/>
  <c r="E36" i="15" s="1"/>
  <c r="F96" i="13"/>
  <c r="D36" i="15" s="1"/>
  <c r="E96" i="13"/>
  <c r="C36" i="15" s="1"/>
  <c r="P95" i="13"/>
  <c r="N35" i="15" s="1"/>
  <c r="O95" i="13"/>
  <c r="M35" i="15" s="1"/>
  <c r="N95" i="13"/>
  <c r="L35" i="15" s="1"/>
  <c r="M95" i="13"/>
  <c r="K35" i="15" s="1"/>
  <c r="L95" i="13"/>
  <c r="J35" i="15" s="1"/>
  <c r="K95" i="13"/>
  <c r="I35" i="15" s="1"/>
  <c r="J95" i="13"/>
  <c r="H35" i="15" s="1"/>
  <c r="I95" i="13"/>
  <c r="G35" i="15" s="1"/>
  <c r="H95" i="13"/>
  <c r="F35" i="15" s="1"/>
  <c r="G95" i="13"/>
  <c r="E35" i="15" s="1"/>
  <c r="F95" i="13"/>
  <c r="D35" i="15" s="1"/>
  <c r="E95" i="13"/>
  <c r="P94" i="13"/>
  <c r="N34" i="15" s="1"/>
  <c r="O94" i="13"/>
  <c r="M34" i="15" s="1"/>
  <c r="N94" i="13"/>
  <c r="L34" i="15" s="1"/>
  <c r="M94" i="13"/>
  <c r="K34" i="15" s="1"/>
  <c r="L94" i="13"/>
  <c r="J34" i="15" s="1"/>
  <c r="K94" i="13"/>
  <c r="I34" i="15" s="1"/>
  <c r="J94" i="13"/>
  <c r="H34" i="15" s="1"/>
  <c r="I94" i="13"/>
  <c r="G34" i="15" s="1"/>
  <c r="H94" i="13"/>
  <c r="F34" i="15" s="1"/>
  <c r="G94" i="13"/>
  <c r="E34" i="15" s="1"/>
  <c r="F94" i="13"/>
  <c r="D34" i="15" s="1"/>
  <c r="E94" i="13"/>
  <c r="C34" i="15" s="1"/>
  <c r="P93" i="13"/>
  <c r="N33" i="15" s="1"/>
  <c r="O93" i="13"/>
  <c r="M33" i="15" s="1"/>
  <c r="N93" i="13"/>
  <c r="L33" i="15" s="1"/>
  <c r="M93" i="13"/>
  <c r="K33" i="15" s="1"/>
  <c r="L93" i="13"/>
  <c r="J33" i="15" s="1"/>
  <c r="K93" i="13"/>
  <c r="I33" i="15" s="1"/>
  <c r="J93" i="13"/>
  <c r="H33" i="15" s="1"/>
  <c r="I93" i="13"/>
  <c r="G33" i="15" s="1"/>
  <c r="H93" i="13"/>
  <c r="F33" i="15" s="1"/>
  <c r="G93" i="13"/>
  <c r="E33" i="15" s="1"/>
  <c r="F93" i="13"/>
  <c r="D33" i="15" s="1"/>
  <c r="E93" i="13"/>
  <c r="P92" i="13"/>
  <c r="N32" i="15" s="1"/>
  <c r="O92" i="13"/>
  <c r="M32" i="15" s="1"/>
  <c r="N92" i="13"/>
  <c r="L32" i="15" s="1"/>
  <c r="M92" i="13"/>
  <c r="K32" i="15" s="1"/>
  <c r="L92" i="13"/>
  <c r="J32" i="15" s="1"/>
  <c r="K92" i="13"/>
  <c r="I32" i="15" s="1"/>
  <c r="J92" i="13"/>
  <c r="H32" i="15" s="1"/>
  <c r="I92" i="13"/>
  <c r="G32" i="15" s="1"/>
  <c r="H92" i="13"/>
  <c r="F32" i="15" s="1"/>
  <c r="G92" i="13"/>
  <c r="E32" i="15" s="1"/>
  <c r="F92" i="13"/>
  <c r="D32" i="15" s="1"/>
  <c r="E92" i="13"/>
  <c r="C32" i="15" s="1"/>
  <c r="P91" i="13"/>
  <c r="N31" i="15" s="1"/>
  <c r="O91" i="13"/>
  <c r="M31" i="15" s="1"/>
  <c r="N91" i="13"/>
  <c r="L31" i="15" s="1"/>
  <c r="M91" i="13"/>
  <c r="K31" i="15" s="1"/>
  <c r="L91" i="13"/>
  <c r="J31" i="15" s="1"/>
  <c r="K91" i="13"/>
  <c r="I31" i="15" s="1"/>
  <c r="J91" i="13"/>
  <c r="H31" i="15" s="1"/>
  <c r="I91" i="13"/>
  <c r="G31" i="15" s="1"/>
  <c r="H91" i="13"/>
  <c r="F31" i="15" s="1"/>
  <c r="G91" i="13"/>
  <c r="E31" i="15" s="1"/>
  <c r="F91" i="13"/>
  <c r="D31" i="15" s="1"/>
  <c r="E91" i="13"/>
  <c r="P90" i="13"/>
  <c r="N30" i="15" s="1"/>
  <c r="O90" i="13"/>
  <c r="M30" i="15" s="1"/>
  <c r="N90" i="13"/>
  <c r="L30" i="15" s="1"/>
  <c r="M90" i="13"/>
  <c r="K30" i="15" s="1"/>
  <c r="L90" i="13"/>
  <c r="J30" i="15" s="1"/>
  <c r="K90" i="13"/>
  <c r="I30" i="15" s="1"/>
  <c r="J90" i="13"/>
  <c r="H30" i="15" s="1"/>
  <c r="I90" i="13"/>
  <c r="G30" i="15" s="1"/>
  <c r="H90" i="13"/>
  <c r="F30" i="15" s="1"/>
  <c r="G90" i="13"/>
  <c r="E30" i="15" s="1"/>
  <c r="F90" i="13"/>
  <c r="D30" i="15" s="1"/>
  <c r="E90" i="13"/>
  <c r="P89" i="13"/>
  <c r="N29" i="15" s="1"/>
  <c r="O89" i="13"/>
  <c r="M29" i="15" s="1"/>
  <c r="N89" i="13"/>
  <c r="L29" i="15" s="1"/>
  <c r="M89" i="13"/>
  <c r="K29" i="15" s="1"/>
  <c r="L89" i="13"/>
  <c r="J29" i="15" s="1"/>
  <c r="K89" i="13"/>
  <c r="I29" i="15" s="1"/>
  <c r="J89" i="13"/>
  <c r="H29" i="15" s="1"/>
  <c r="I89" i="13"/>
  <c r="G29" i="15" s="1"/>
  <c r="H89" i="13"/>
  <c r="F29" i="15" s="1"/>
  <c r="G89" i="13"/>
  <c r="E29" i="15" s="1"/>
  <c r="F89" i="13"/>
  <c r="D29" i="15" s="1"/>
  <c r="E89" i="13"/>
  <c r="P88" i="13"/>
  <c r="N28" i="15" s="1"/>
  <c r="N50" i="15" s="1"/>
  <c r="O88" i="13"/>
  <c r="M28" i="15" s="1"/>
  <c r="N88" i="13"/>
  <c r="L28" i="15" s="1"/>
  <c r="L50" i="15" s="1"/>
  <c r="M88" i="13"/>
  <c r="K28" i="15" s="1"/>
  <c r="L88" i="13"/>
  <c r="J28" i="15" s="1"/>
  <c r="K88" i="13"/>
  <c r="I28" i="15" s="1"/>
  <c r="J88" i="13"/>
  <c r="H28" i="15" s="1"/>
  <c r="I88" i="13"/>
  <c r="G28" i="15" s="1"/>
  <c r="H88" i="13"/>
  <c r="F28" i="15" s="1"/>
  <c r="F50" i="15" s="1"/>
  <c r="G88" i="13"/>
  <c r="E28" i="15" s="1"/>
  <c r="F88" i="13"/>
  <c r="D28" i="15" s="1"/>
  <c r="D50" i="15" s="1"/>
  <c r="E88" i="13"/>
  <c r="P41" i="13"/>
  <c r="O41" i="13"/>
  <c r="N41" i="13"/>
  <c r="M41" i="13"/>
  <c r="L41" i="13"/>
  <c r="L146" i="13" s="1"/>
  <c r="K41" i="13"/>
  <c r="J41" i="13"/>
  <c r="J146" i="13" s="1"/>
  <c r="I41" i="13"/>
  <c r="H41" i="13"/>
  <c r="G41" i="13"/>
  <c r="F41" i="13"/>
  <c r="E41" i="13"/>
  <c r="D41" i="13"/>
  <c r="F39" i="4" s="1"/>
  <c r="P40" i="13"/>
  <c r="O40" i="13"/>
  <c r="O145" i="13" s="1"/>
  <c r="N40" i="13"/>
  <c r="M40" i="13"/>
  <c r="L40" i="13"/>
  <c r="K40" i="13"/>
  <c r="J40" i="13"/>
  <c r="I40" i="13"/>
  <c r="I145" i="13" s="1"/>
  <c r="H40" i="13"/>
  <c r="G40" i="13"/>
  <c r="G145" i="13" s="1"/>
  <c r="F40" i="13"/>
  <c r="E40" i="13"/>
  <c r="D40" i="13"/>
  <c r="P39" i="13"/>
  <c r="O39" i="13"/>
  <c r="N39" i="13"/>
  <c r="N144" i="13" s="1"/>
  <c r="M39" i="13"/>
  <c r="L39" i="13"/>
  <c r="L144" i="13" s="1"/>
  <c r="K39" i="13"/>
  <c r="J39" i="13"/>
  <c r="I39" i="13"/>
  <c r="H39" i="13"/>
  <c r="G39" i="13"/>
  <c r="F39" i="13"/>
  <c r="F144" i="13" s="1"/>
  <c r="E39" i="13"/>
  <c r="D39" i="13"/>
  <c r="P38" i="13"/>
  <c r="O38" i="13"/>
  <c r="N38" i="13"/>
  <c r="M38" i="13"/>
  <c r="L38" i="13"/>
  <c r="K38" i="13"/>
  <c r="K143" i="13" s="1"/>
  <c r="J38" i="13"/>
  <c r="I38" i="13"/>
  <c r="I143" i="13" s="1"/>
  <c r="H38" i="13"/>
  <c r="G38" i="13"/>
  <c r="F38" i="13"/>
  <c r="E38" i="13"/>
  <c r="D38" i="13"/>
  <c r="F36" i="4" s="1"/>
  <c r="P37" i="13"/>
  <c r="P142" i="13" s="1"/>
  <c r="O37" i="13"/>
  <c r="N37" i="13"/>
  <c r="N142" i="13" s="1"/>
  <c r="M37" i="13"/>
  <c r="L37" i="13"/>
  <c r="K37" i="13"/>
  <c r="J37" i="13"/>
  <c r="I37" i="13"/>
  <c r="H37" i="13"/>
  <c r="H142" i="13" s="1"/>
  <c r="G37" i="13"/>
  <c r="F37" i="13"/>
  <c r="F142" i="13" s="1"/>
  <c r="E37" i="13"/>
  <c r="D37" i="13"/>
  <c r="P36" i="13"/>
  <c r="O36" i="13"/>
  <c r="N36" i="13"/>
  <c r="M36" i="13"/>
  <c r="M141" i="13" s="1"/>
  <c r="L36" i="13"/>
  <c r="K36" i="13"/>
  <c r="K141" i="13" s="1"/>
  <c r="J36" i="13"/>
  <c r="I36" i="13"/>
  <c r="H36" i="13"/>
  <c r="G36" i="13"/>
  <c r="F36" i="13"/>
  <c r="E36" i="13"/>
  <c r="E141" i="13" s="1"/>
  <c r="D36" i="13"/>
  <c r="P35" i="13"/>
  <c r="P140" i="13" s="1"/>
  <c r="O35" i="13"/>
  <c r="N35" i="13"/>
  <c r="M35" i="13"/>
  <c r="L35" i="13"/>
  <c r="K35" i="13"/>
  <c r="J35" i="13"/>
  <c r="I35" i="13"/>
  <c r="H35" i="13"/>
  <c r="G35" i="13"/>
  <c r="F35" i="13"/>
  <c r="E35" i="13"/>
  <c r="D35" i="13"/>
  <c r="P34" i="13"/>
  <c r="O34" i="13"/>
  <c r="O139" i="13" s="1"/>
  <c r="N34" i="13"/>
  <c r="M34" i="13"/>
  <c r="M139" i="13" s="1"/>
  <c r="L34" i="13"/>
  <c r="K34" i="13"/>
  <c r="J34" i="13"/>
  <c r="I34" i="13"/>
  <c r="H34" i="13"/>
  <c r="G34" i="13"/>
  <c r="G139" i="13" s="1"/>
  <c r="F34" i="13"/>
  <c r="E34" i="13"/>
  <c r="D34" i="13"/>
  <c r="P33" i="13"/>
  <c r="O33" i="13"/>
  <c r="N33" i="13"/>
  <c r="M33" i="13"/>
  <c r="L33" i="13"/>
  <c r="K33" i="13"/>
  <c r="J33" i="13"/>
  <c r="J138" i="13" s="1"/>
  <c r="I33" i="13"/>
  <c r="H33" i="13"/>
  <c r="G33" i="13"/>
  <c r="F33" i="13"/>
  <c r="E33" i="13"/>
  <c r="D33" i="13"/>
  <c r="F29" i="4" s="1"/>
  <c r="P32" i="13"/>
  <c r="O32" i="13"/>
  <c r="O137" i="13" s="1"/>
  <c r="N32" i="13"/>
  <c r="M32" i="13"/>
  <c r="L32" i="13"/>
  <c r="K32" i="13"/>
  <c r="J32" i="13"/>
  <c r="I32" i="13"/>
  <c r="I137" i="13" s="1"/>
  <c r="H32" i="13"/>
  <c r="G32" i="13"/>
  <c r="F32" i="13"/>
  <c r="E32" i="13"/>
  <c r="D32" i="13"/>
  <c r="P31" i="13"/>
  <c r="O31" i="13"/>
  <c r="N31" i="13"/>
  <c r="N136" i="13" s="1"/>
  <c r="M31" i="13"/>
  <c r="L31" i="13"/>
  <c r="K31" i="13"/>
  <c r="J31" i="13"/>
  <c r="I31" i="13"/>
  <c r="H31" i="13"/>
  <c r="G31" i="13"/>
  <c r="F31" i="13"/>
  <c r="F136" i="13" s="1"/>
  <c r="E31" i="13"/>
  <c r="D31" i="13"/>
  <c r="P30" i="13"/>
  <c r="O30" i="13"/>
  <c r="N30" i="13"/>
  <c r="M30" i="13"/>
  <c r="L30" i="13"/>
  <c r="K30" i="13"/>
  <c r="K135" i="13" s="1"/>
  <c r="J30" i="13"/>
  <c r="I30" i="13"/>
  <c r="H30" i="13"/>
  <c r="G30" i="13"/>
  <c r="F30" i="13"/>
  <c r="E30" i="13"/>
  <c r="D30" i="13"/>
  <c r="F23" i="4" s="1"/>
  <c r="P29" i="13"/>
  <c r="O29" i="13"/>
  <c r="N29" i="13"/>
  <c r="N43" i="13" s="1"/>
  <c r="M29" i="13"/>
  <c r="L29" i="13"/>
  <c r="K29" i="13"/>
  <c r="J29" i="13"/>
  <c r="I29" i="13"/>
  <c r="H29" i="13"/>
  <c r="G29" i="13"/>
  <c r="F29" i="13"/>
  <c r="F43" i="13" s="1"/>
  <c r="E29" i="13"/>
  <c r="D29" i="13"/>
  <c r="P28" i="13"/>
  <c r="O28" i="13"/>
  <c r="N28" i="13"/>
  <c r="M28" i="13"/>
  <c r="M133" i="13" s="1"/>
  <c r="L28" i="13"/>
  <c r="K28" i="13"/>
  <c r="J28" i="13"/>
  <c r="I28" i="13"/>
  <c r="H28" i="13"/>
  <c r="G28" i="13"/>
  <c r="F28" i="13"/>
  <c r="E28" i="13"/>
  <c r="E133" i="13" s="1"/>
  <c r="D28" i="13"/>
  <c r="P27" i="13"/>
  <c r="O27" i="13"/>
  <c r="N27" i="13"/>
  <c r="M27" i="13"/>
  <c r="L27" i="13"/>
  <c r="K27" i="13"/>
  <c r="J27" i="13"/>
  <c r="I27" i="13"/>
  <c r="H27" i="13"/>
  <c r="G27" i="13"/>
  <c r="F27" i="13"/>
  <c r="E27" i="13"/>
  <c r="D27" i="13"/>
  <c r="P26" i="13"/>
  <c r="O26" i="13"/>
  <c r="N26" i="13"/>
  <c r="M26" i="13"/>
  <c r="L26" i="13"/>
  <c r="K26" i="13"/>
  <c r="J26" i="13"/>
  <c r="I26" i="13"/>
  <c r="H26" i="13"/>
  <c r="G26" i="13"/>
  <c r="F26" i="13"/>
  <c r="E26" i="13"/>
  <c r="D26" i="13"/>
  <c r="P25" i="13"/>
  <c r="O25" i="13"/>
  <c r="N25" i="13"/>
  <c r="M25" i="13"/>
  <c r="L25" i="13"/>
  <c r="L130" i="13" s="1"/>
  <c r="K25" i="13"/>
  <c r="J25" i="13"/>
  <c r="J130" i="13" s="1"/>
  <c r="I25" i="13"/>
  <c r="H25" i="13"/>
  <c r="G25" i="13"/>
  <c r="F25" i="13"/>
  <c r="E25" i="13"/>
  <c r="D25" i="13"/>
  <c r="F11" i="4" s="1"/>
  <c r="P24" i="13"/>
  <c r="O24" i="13"/>
  <c r="O129" i="13" s="1"/>
  <c r="N24" i="13"/>
  <c r="M24" i="13"/>
  <c r="L24" i="13"/>
  <c r="K24" i="13"/>
  <c r="J24" i="13"/>
  <c r="I24" i="13"/>
  <c r="I129" i="13" s="1"/>
  <c r="H24" i="13"/>
  <c r="G24" i="13"/>
  <c r="G129" i="13" s="1"/>
  <c r="F24" i="13"/>
  <c r="E24" i="13"/>
  <c r="D24" i="13"/>
  <c r="P23" i="13"/>
  <c r="O23" i="13"/>
  <c r="N23" i="13"/>
  <c r="N128" i="13" s="1"/>
  <c r="M23" i="13"/>
  <c r="L23" i="13"/>
  <c r="L128" i="13" s="1"/>
  <c r="K23" i="13"/>
  <c r="J23" i="13"/>
  <c r="I23" i="13"/>
  <c r="H23" i="13"/>
  <c r="G23" i="13"/>
  <c r="F23" i="13"/>
  <c r="F128" i="13" s="1"/>
  <c r="E23" i="13"/>
  <c r="D23" i="13"/>
  <c r="P22" i="13"/>
  <c r="P64" i="13" s="1"/>
  <c r="O22" i="13"/>
  <c r="O64" i="13" s="1"/>
  <c r="N22" i="13"/>
  <c r="N64" i="13" s="1"/>
  <c r="M22" i="13"/>
  <c r="M64" i="13" s="1"/>
  <c r="L22" i="13"/>
  <c r="L64" i="13" s="1"/>
  <c r="K22" i="13"/>
  <c r="K64" i="13" s="1"/>
  <c r="K84" i="13" s="1"/>
  <c r="J22" i="13"/>
  <c r="J64" i="13" s="1"/>
  <c r="I22" i="13"/>
  <c r="I64" i="13" s="1"/>
  <c r="H22" i="13"/>
  <c r="H64" i="13" s="1"/>
  <c r="G22" i="13"/>
  <c r="G64" i="13" s="1"/>
  <c r="F22" i="13"/>
  <c r="F64" i="13" s="1"/>
  <c r="E22" i="13"/>
  <c r="E64" i="13" s="1"/>
  <c r="E84" i="13" s="1"/>
  <c r="D22" i="13"/>
  <c r="P21" i="13"/>
  <c r="P63" i="13" s="1"/>
  <c r="P83" i="13" s="1"/>
  <c r="O21" i="13"/>
  <c r="O63" i="13" s="1"/>
  <c r="N21" i="13"/>
  <c r="N63" i="13" s="1"/>
  <c r="M21" i="13"/>
  <c r="M63" i="13" s="1"/>
  <c r="L21" i="13"/>
  <c r="L63" i="13" s="1"/>
  <c r="K21" i="13"/>
  <c r="K63" i="13" s="1"/>
  <c r="J21" i="13"/>
  <c r="J63" i="13" s="1"/>
  <c r="I21" i="13"/>
  <c r="I63" i="13" s="1"/>
  <c r="H21" i="13"/>
  <c r="H63" i="13" s="1"/>
  <c r="H83" i="13" s="1"/>
  <c r="G21" i="13"/>
  <c r="G63" i="13" s="1"/>
  <c r="F21" i="13"/>
  <c r="F63" i="13" s="1"/>
  <c r="E21" i="13"/>
  <c r="E63" i="13" s="1"/>
  <c r="E83" i="13" s="1"/>
  <c r="D21" i="13"/>
  <c r="P20" i="13"/>
  <c r="P62" i="13" s="1"/>
  <c r="O20" i="13"/>
  <c r="O62" i="13" s="1"/>
  <c r="N20" i="13"/>
  <c r="N62" i="13" s="1"/>
  <c r="M20" i="13"/>
  <c r="M62" i="13" s="1"/>
  <c r="M82" i="13" s="1"/>
  <c r="L20" i="13"/>
  <c r="L62" i="13" s="1"/>
  <c r="K20" i="13"/>
  <c r="K62" i="13" s="1"/>
  <c r="J20" i="13"/>
  <c r="J62" i="13" s="1"/>
  <c r="I20" i="13"/>
  <c r="I62" i="13" s="1"/>
  <c r="H20" i="13"/>
  <c r="H62" i="13" s="1"/>
  <c r="G20" i="13"/>
  <c r="G62" i="13" s="1"/>
  <c r="F20" i="13"/>
  <c r="F62" i="13" s="1"/>
  <c r="E20" i="13"/>
  <c r="E62" i="13" s="1"/>
  <c r="E82" i="13" s="1"/>
  <c r="D20" i="13"/>
  <c r="P19" i="13"/>
  <c r="P61" i="13" s="1"/>
  <c r="O19" i="13"/>
  <c r="O61" i="13" s="1"/>
  <c r="N19" i="13"/>
  <c r="N61" i="13" s="1"/>
  <c r="M19" i="13"/>
  <c r="M61" i="13" s="1"/>
  <c r="L19" i="13"/>
  <c r="L61" i="13" s="1"/>
  <c r="K19" i="13"/>
  <c r="K61" i="13" s="1"/>
  <c r="J19" i="13"/>
  <c r="J61" i="13" s="1"/>
  <c r="J81" i="13" s="1"/>
  <c r="I19" i="13"/>
  <c r="I61" i="13" s="1"/>
  <c r="H19" i="13"/>
  <c r="H61" i="13" s="1"/>
  <c r="G19" i="13"/>
  <c r="G61" i="13" s="1"/>
  <c r="F19" i="13"/>
  <c r="F61" i="13" s="1"/>
  <c r="E19" i="13"/>
  <c r="E61" i="13" s="1"/>
  <c r="E81" i="13" s="1"/>
  <c r="D19" i="13"/>
  <c r="P18" i="13"/>
  <c r="P60" i="13" s="1"/>
  <c r="O18" i="13"/>
  <c r="O60" i="13" s="1"/>
  <c r="O80" i="13" s="1"/>
  <c r="N18" i="13"/>
  <c r="N60" i="13" s="1"/>
  <c r="M18" i="13"/>
  <c r="M60" i="13" s="1"/>
  <c r="L18" i="13"/>
  <c r="L60" i="13" s="1"/>
  <c r="K18" i="13"/>
  <c r="K60" i="13" s="1"/>
  <c r="J18" i="13"/>
  <c r="J60" i="13" s="1"/>
  <c r="I18" i="13"/>
  <c r="I60" i="13" s="1"/>
  <c r="H18" i="13"/>
  <c r="H60" i="13" s="1"/>
  <c r="G18" i="13"/>
  <c r="G60" i="13" s="1"/>
  <c r="G80" i="13" s="1"/>
  <c r="F18" i="13"/>
  <c r="F60" i="13" s="1"/>
  <c r="E18" i="13"/>
  <c r="E60" i="13" s="1"/>
  <c r="E80" i="13" s="1"/>
  <c r="D18" i="13"/>
  <c r="P17" i="13"/>
  <c r="P59" i="13" s="1"/>
  <c r="O17" i="13"/>
  <c r="O59" i="13" s="1"/>
  <c r="N17" i="13"/>
  <c r="N59" i="13" s="1"/>
  <c r="M17" i="13"/>
  <c r="M59" i="13" s="1"/>
  <c r="L17" i="13"/>
  <c r="L59" i="13" s="1"/>
  <c r="L79" i="13" s="1"/>
  <c r="K17" i="13"/>
  <c r="K59" i="13" s="1"/>
  <c r="J17" i="13"/>
  <c r="J59" i="13" s="1"/>
  <c r="I17" i="13"/>
  <c r="I59" i="13" s="1"/>
  <c r="H17" i="13"/>
  <c r="H59" i="13" s="1"/>
  <c r="G17" i="13"/>
  <c r="G59" i="13" s="1"/>
  <c r="F17" i="13"/>
  <c r="F59" i="13" s="1"/>
  <c r="E17" i="13"/>
  <c r="E59" i="13" s="1"/>
  <c r="E79" i="13" s="1"/>
  <c r="D17" i="13"/>
  <c r="P16" i="13"/>
  <c r="P58" i="13" s="1"/>
  <c r="O16" i="13"/>
  <c r="O58" i="13" s="1"/>
  <c r="N16" i="13"/>
  <c r="N58" i="13" s="1"/>
  <c r="M16" i="13"/>
  <c r="M58" i="13" s="1"/>
  <c r="L16" i="13"/>
  <c r="L58" i="13" s="1"/>
  <c r="K16" i="13"/>
  <c r="K58" i="13" s="1"/>
  <c r="J16" i="13"/>
  <c r="J58" i="13" s="1"/>
  <c r="I16" i="13"/>
  <c r="I58" i="13" s="1"/>
  <c r="I78" i="13" s="1"/>
  <c r="H16" i="13"/>
  <c r="H58" i="13" s="1"/>
  <c r="G16" i="13"/>
  <c r="G58" i="13" s="1"/>
  <c r="F16" i="13"/>
  <c r="F58" i="13" s="1"/>
  <c r="E16" i="13"/>
  <c r="E58" i="13" s="1"/>
  <c r="E78" i="13" s="1"/>
  <c r="D16" i="13"/>
  <c r="P15" i="13"/>
  <c r="P57" i="13" s="1"/>
  <c r="O15" i="13"/>
  <c r="O57" i="13" s="1"/>
  <c r="N15" i="13"/>
  <c r="N57" i="13" s="1"/>
  <c r="N77" i="13" s="1"/>
  <c r="M15" i="13"/>
  <c r="M57" i="13" s="1"/>
  <c r="L15" i="13"/>
  <c r="L57" i="13" s="1"/>
  <c r="K15" i="13"/>
  <c r="K57" i="13" s="1"/>
  <c r="J15" i="13"/>
  <c r="J57" i="13" s="1"/>
  <c r="I15" i="13"/>
  <c r="I57" i="13" s="1"/>
  <c r="H15" i="13"/>
  <c r="H57" i="13" s="1"/>
  <c r="G15" i="13"/>
  <c r="G57" i="13" s="1"/>
  <c r="F15" i="13"/>
  <c r="F57" i="13" s="1"/>
  <c r="F77" i="13" s="1"/>
  <c r="E15" i="13"/>
  <c r="E57" i="13" s="1"/>
  <c r="E77" i="13" s="1"/>
  <c r="D15" i="13"/>
  <c r="P14" i="13"/>
  <c r="P56" i="13" s="1"/>
  <c r="O14" i="13"/>
  <c r="O56" i="13" s="1"/>
  <c r="N14" i="13"/>
  <c r="N56" i="13" s="1"/>
  <c r="M14" i="13"/>
  <c r="M56" i="13" s="1"/>
  <c r="L14" i="13"/>
  <c r="L56" i="13" s="1"/>
  <c r="K14" i="13"/>
  <c r="K56" i="13" s="1"/>
  <c r="K76" i="13" s="1"/>
  <c r="J14" i="13"/>
  <c r="J56" i="13" s="1"/>
  <c r="I14" i="13"/>
  <c r="I56" i="13" s="1"/>
  <c r="H14" i="13"/>
  <c r="H56" i="13" s="1"/>
  <c r="G14" i="13"/>
  <c r="G56" i="13" s="1"/>
  <c r="F14" i="13"/>
  <c r="F56" i="13" s="1"/>
  <c r="E14" i="13"/>
  <c r="E56" i="13" s="1"/>
  <c r="E76" i="13" s="1"/>
  <c r="D14" i="13"/>
  <c r="P13" i="13"/>
  <c r="P55" i="13" s="1"/>
  <c r="P75" i="13" s="1"/>
  <c r="O13" i="13"/>
  <c r="O55" i="13" s="1"/>
  <c r="N13" i="13"/>
  <c r="N55" i="13" s="1"/>
  <c r="M13" i="13"/>
  <c r="M55" i="13" s="1"/>
  <c r="L13" i="13"/>
  <c r="L55" i="13" s="1"/>
  <c r="K13" i="13"/>
  <c r="K55" i="13" s="1"/>
  <c r="J13" i="13"/>
  <c r="J55" i="13" s="1"/>
  <c r="I13" i="13"/>
  <c r="I55" i="13" s="1"/>
  <c r="H13" i="13"/>
  <c r="H55" i="13" s="1"/>
  <c r="H75" i="13" s="1"/>
  <c r="G13" i="13"/>
  <c r="G55" i="13" s="1"/>
  <c r="F13" i="13"/>
  <c r="F55" i="13" s="1"/>
  <c r="E13" i="13"/>
  <c r="E55" i="13" s="1"/>
  <c r="E75" i="13" s="1"/>
  <c r="D13" i="13"/>
  <c r="P12" i="13"/>
  <c r="P54" i="13" s="1"/>
  <c r="O12" i="13"/>
  <c r="O54" i="13" s="1"/>
  <c r="N12" i="13"/>
  <c r="N54" i="13" s="1"/>
  <c r="M12" i="13"/>
  <c r="M54" i="13" s="1"/>
  <c r="M74" i="13" s="1"/>
  <c r="L12" i="13"/>
  <c r="L54" i="13" s="1"/>
  <c r="K12" i="13"/>
  <c r="K54" i="13" s="1"/>
  <c r="J12" i="13"/>
  <c r="J54" i="13" s="1"/>
  <c r="I12" i="13"/>
  <c r="I54" i="13" s="1"/>
  <c r="H12" i="13"/>
  <c r="H54" i="13" s="1"/>
  <c r="G12" i="13"/>
  <c r="G54" i="13" s="1"/>
  <c r="F12" i="13"/>
  <c r="F54" i="13" s="1"/>
  <c r="E12" i="13"/>
  <c r="E54" i="13" s="1"/>
  <c r="D12" i="13"/>
  <c r="P11" i="13"/>
  <c r="P53" i="13" s="1"/>
  <c r="O11" i="13"/>
  <c r="O53" i="13" s="1"/>
  <c r="N11" i="13"/>
  <c r="N53" i="13" s="1"/>
  <c r="M11" i="13"/>
  <c r="M53" i="13" s="1"/>
  <c r="L11" i="13"/>
  <c r="L53" i="13" s="1"/>
  <c r="K11" i="13"/>
  <c r="K53" i="13" s="1"/>
  <c r="J11" i="13"/>
  <c r="J53" i="13" s="1"/>
  <c r="J73" i="13" s="1"/>
  <c r="I11" i="13"/>
  <c r="I53" i="13" s="1"/>
  <c r="H11" i="13"/>
  <c r="H53" i="13" s="1"/>
  <c r="G11" i="13"/>
  <c r="G53" i="13" s="1"/>
  <c r="F11" i="13"/>
  <c r="F53" i="13" s="1"/>
  <c r="E11" i="13"/>
  <c r="E53" i="13" s="1"/>
  <c r="E73" i="13" s="1"/>
  <c r="D11" i="13"/>
  <c r="P10" i="13"/>
  <c r="P52" i="13" s="1"/>
  <c r="O10" i="13"/>
  <c r="O52" i="13" s="1"/>
  <c r="O72" i="13" s="1"/>
  <c r="N10" i="13"/>
  <c r="N52" i="13" s="1"/>
  <c r="M10" i="13"/>
  <c r="M52" i="13" s="1"/>
  <c r="L10" i="13"/>
  <c r="L52" i="13" s="1"/>
  <c r="K10" i="13"/>
  <c r="K52" i="13" s="1"/>
  <c r="J10" i="13"/>
  <c r="J52" i="13" s="1"/>
  <c r="I10" i="13"/>
  <c r="I52" i="13" s="1"/>
  <c r="H10" i="13"/>
  <c r="H52" i="13" s="1"/>
  <c r="G10" i="13"/>
  <c r="G52" i="13" s="1"/>
  <c r="G72" i="13" s="1"/>
  <c r="F10" i="13"/>
  <c r="F52" i="13" s="1"/>
  <c r="E10" i="13"/>
  <c r="E52" i="13" s="1"/>
  <c r="E72" i="13" s="1"/>
  <c r="D10" i="13"/>
  <c r="P9" i="13"/>
  <c r="P51" i="13" s="1"/>
  <c r="O9" i="13"/>
  <c r="O51" i="13" s="1"/>
  <c r="N9" i="13"/>
  <c r="N51" i="13" s="1"/>
  <c r="M9" i="13"/>
  <c r="M51" i="13" s="1"/>
  <c r="L9" i="13"/>
  <c r="L51" i="13" s="1"/>
  <c r="L71" i="13" s="1"/>
  <c r="K9" i="13"/>
  <c r="K51" i="13" s="1"/>
  <c r="J9" i="13"/>
  <c r="J51" i="13" s="1"/>
  <c r="I9" i="13"/>
  <c r="I51" i="13" s="1"/>
  <c r="H9" i="13"/>
  <c r="H51" i="13" s="1"/>
  <c r="G9" i="13"/>
  <c r="G51" i="13" s="1"/>
  <c r="F9" i="13"/>
  <c r="F51" i="13" s="1"/>
  <c r="E9" i="13"/>
  <c r="E51" i="13" s="1"/>
  <c r="E71" i="13" s="1"/>
  <c r="D9" i="13"/>
  <c r="P8" i="13"/>
  <c r="P50" i="13" s="1"/>
  <c r="O8" i="13"/>
  <c r="O50" i="13" s="1"/>
  <c r="N8" i="13"/>
  <c r="N50" i="13" s="1"/>
  <c r="M8" i="13"/>
  <c r="M50" i="13" s="1"/>
  <c r="L8" i="13"/>
  <c r="L50" i="13" s="1"/>
  <c r="K8" i="13"/>
  <c r="K50" i="13" s="1"/>
  <c r="J8" i="13"/>
  <c r="J50" i="13" s="1"/>
  <c r="I8" i="13"/>
  <c r="I50" i="13" s="1"/>
  <c r="I70" i="13" s="1"/>
  <c r="H8" i="13"/>
  <c r="H50" i="13" s="1"/>
  <c r="G8" i="13"/>
  <c r="G50" i="13" s="1"/>
  <c r="F8" i="13"/>
  <c r="F50" i="13" s="1"/>
  <c r="E8" i="13"/>
  <c r="E50" i="13" s="1"/>
  <c r="E70" i="13" s="1"/>
  <c r="D8" i="13"/>
  <c r="P7" i="13"/>
  <c r="P49" i="13" s="1"/>
  <c r="O7" i="13"/>
  <c r="O49" i="13" s="1"/>
  <c r="N7" i="13"/>
  <c r="N49" i="13" s="1"/>
  <c r="N69" i="13" s="1"/>
  <c r="M7" i="13"/>
  <c r="M49" i="13" s="1"/>
  <c r="L7" i="13"/>
  <c r="L49" i="13" s="1"/>
  <c r="K7" i="13"/>
  <c r="K49" i="13" s="1"/>
  <c r="J7" i="13"/>
  <c r="J49" i="13" s="1"/>
  <c r="I7" i="13"/>
  <c r="I49" i="13" s="1"/>
  <c r="H7" i="13"/>
  <c r="H49" i="13" s="1"/>
  <c r="G7" i="13"/>
  <c r="G49" i="13" s="1"/>
  <c r="F7" i="13"/>
  <c r="F49" i="13" s="1"/>
  <c r="F69" i="13" s="1"/>
  <c r="E7" i="13"/>
  <c r="E49" i="13" s="1"/>
  <c r="E69" i="13" s="1"/>
  <c r="D7" i="13"/>
  <c r="P6" i="13"/>
  <c r="O6" i="13"/>
  <c r="N6" i="13"/>
  <c r="M6" i="13"/>
  <c r="L6" i="13"/>
  <c r="K6" i="13"/>
  <c r="J6" i="13"/>
  <c r="I6" i="13"/>
  <c r="H6" i="13"/>
  <c r="H48" i="13" s="1"/>
  <c r="G6" i="13"/>
  <c r="F6" i="13"/>
  <c r="E6" i="13"/>
  <c r="D6" i="13"/>
  <c r="P3" i="13"/>
  <c r="O3" i="13"/>
  <c r="N3" i="13"/>
  <c r="M3" i="13"/>
  <c r="L3" i="13"/>
  <c r="K3" i="13"/>
  <c r="J3" i="13"/>
  <c r="I3" i="13"/>
  <c r="H3" i="13"/>
  <c r="G3" i="13"/>
  <c r="F3" i="13"/>
  <c r="E3" i="13"/>
  <c r="B25" i="12"/>
  <c r="C25" i="12" s="1"/>
  <c r="M24" i="11"/>
  <c r="L24" i="11"/>
  <c r="K24" i="11"/>
  <c r="J24" i="11"/>
  <c r="I24" i="11"/>
  <c r="H24" i="11"/>
  <c r="G24" i="11"/>
  <c r="F24" i="11"/>
  <c r="E24" i="11"/>
  <c r="D24" i="11"/>
  <c r="C24" i="11"/>
  <c r="B24" i="11"/>
  <c r="N22" i="11"/>
  <c r="N21" i="11"/>
  <c r="N20" i="11"/>
  <c r="N19" i="11"/>
  <c r="N18" i="11"/>
  <c r="N17" i="11"/>
  <c r="N16" i="11"/>
  <c r="N15" i="11"/>
  <c r="N14" i="11"/>
  <c r="N13" i="11"/>
  <c r="N12" i="11"/>
  <c r="N11" i="11"/>
  <c r="N10" i="11"/>
  <c r="N9" i="11"/>
  <c r="N8" i="11"/>
  <c r="N7" i="11"/>
  <c r="N6" i="11"/>
  <c r="I258" i="10"/>
  <c r="Q257" i="10"/>
  <c r="B18" i="12" s="1"/>
  <c r="C18" i="12" s="1"/>
  <c r="P257" i="10"/>
  <c r="O257" i="10"/>
  <c r="N257" i="10"/>
  <c r="B15" i="12" s="1"/>
  <c r="C15" i="12" s="1"/>
  <c r="M257" i="10"/>
  <c r="M258" i="10" s="1"/>
  <c r="L257" i="10"/>
  <c r="L258" i="10" s="1"/>
  <c r="K257" i="10"/>
  <c r="B12" i="12" s="1"/>
  <c r="C12" i="12" s="1"/>
  <c r="J257" i="10"/>
  <c r="B11" i="12" s="1"/>
  <c r="C11" i="12" s="1"/>
  <c r="I257" i="10"/>
  <c r="B10" i="12" s="1"/>
  <c r="C10" i="12" s="1"/>
  <c r="H257" i="10"/>
  <c r="G257" i="10"/>
  <c r="F257" i="10"/>
  <c r="B7" i="12" s="1"/>
  <c r="C7" i="12" s="1"/>
  <c r="E257" i="10"/>
  <c r="E258" i="10" s="1"/>
  <c r="R255" i="10"/>
  <c r="D255" i="10"/>
  <c r="R254" i="10"/>
  <c r="D254" i="10"/>
  <c r="R253" i="10"/>
  <c r="D253" i="10"/>
  <c r="R252" i="10"/>
  <c r="D252" i="10"/>
  <c r="R251" i="10"/>
  <c r="D251" i="10"/>
  <c r="R250" i="10"/>
  <c r="D250" i="10"/>
  <c r="R249" i="10"/>
  <c r="D249" i="10"/>
  <c r="R248" i="10"/>
  <c r="D248" i="10"/>
  <c r="R247" i="10"/>
  <c r="D247" i="10"/>
  <c r="R246" i="10"/>
  <c r="D246" i="10"/>
  <c r="R245" i="10"/>
  <c r="D245" i="10"/>
  <c r="R244" i="10"/>
  <c r="D244" i="10"/>
  <c r="R243" i="10"/>
  <c r="D243" i="10"/>
  <c r="R242" i="10"/>
  <c r="D242" i="10"/>
  <c r="R241" i="10"/>
  <c r="D241" i="10"/>
  <c r="R240" i="10"/>
  <c r="D240" i="10"/>
  <c r="R239" i="10"/>
  <c r="D239" i="10"/>
  <c r="R238" i="10"/>
  <c r="D238" i="10"/>
  <c r="R237" i="10"/>
  <c r="D237" i="10"/>
  <c r="R236" i="10"/>
  <c r="D236" i="10"/>
  <c r="R235" i="10"/>
  <c r="D235" i="10"/>
  <c r="R234" i="10"/>
  <c r="D234" i="10"/>
  <c r="R233" i="10"/>
  <c r="D233" i="10"/>
  <c r="R232" i="10"/>
  <c r="D232" i="10"/>
  <c r="R231" i="10"/>
  <c r="D231" i="10"/>
  <c r="R230" i="10"/>
  <c r="D230" i="10"/>
  <c r="R229" i="10"/>
  <c r="D229" i="10"/>
  <c r="R228" i="10"/>
  <c r="D228" i="10"/>
  <c r="R227" i="10"/>
  <c r="D227" i="10"/>
  <c r="R226" i="10"/>
  <c r="D226" i="10"/>
  <c r="R225" i="10"/>
  <c r="D225" i="10"/>
  <c r="R224" i="10"/>
  <c r="D224" i="10"/>
  <c r="R223" i="10"/>
  <c r="D223" i="10"/>
  <c r="R222" i="10"/>
  <c r="D222" i="10"/>
  <c r="R221" i="10"/>
  <c r="D221" i="10"/>
  <c r="R220" i="10"/>
  <c r="D220" i="10"/>
  <c r="R219" i="10"/>
  <c r="D219" i="10"/>
  <c r="R218" i="10"/>
  <c r="D218" i="10"/>
  <c r="R217" i="10"/>
  <c r="D217" i="10"/>
  <c r="R216" i="10"/>
  <c r="D216" i="10"/>
  <c r="R215" i="10"/>
  <c r="D215" i="10"/>
  <c r="R214" i="10"/>
  <c r="D214" i="10"/>
  <c r="R213" i="10"/>
  <c r="D213" i="10"/>
  <c r="R212" i="10"/>
  <c r="D212" i="10"/>
  <c r="R211" i="10"/>
  <c r="D211" i="10"/>
  <c r="R210" i="10"/>
  <c r="D210" i="10"/>
  <c r="R209" i="10"/>
  <c r="D209" i="10"/>
  <c r="R208" i="10"/>
  <c r="D208" i="10"/>
  <c r="R207" i="10"/>
  <c r="D207" i="10"/>
  <c r="R206" i="10"/>
  <c r="D206" i="10"/>
  <c r="R205" i="10"/>
  <c r="D205" i="10"/>
  <c r="R204" i="10"/>
  <c r="D204" i="10"/>
  <c r="R203" i="10"/>
  <c r="D203" i="10"/>
  <c r="R202" i="10"/>
  <c r="D202" i="10"/>
  <c r="R201" i="10"/>
  <c r="D201" i="10"/>
  <c r="R200" i="10"/>
  <c r="D200" i="10"/>
  <c r="R199" i="10"/>
  <c r="D199" i="10"/>
  <c r="R198" i="10"/>
  <c r="D198" i="10"/>
  <c r="R197" i="10"/>
  <c r="D197" i="10"/>
  <c r="R196" i="10"/>
  <c r="D196" i="10"/>
  <c r="R195" i="10"/>
  <c r="D195" i="10"/>
  <c r="R194" i="10"/>
  <c r="D194" i="10"/>
  <c r="R193" i="10"/>
  <c r="D193" i="10"/>
  <c r="R192" i="10"/>
  <c r="D192" i="10"/>
  <c r="R191" i="10"/>
  <c r="D191" i="10"/>
  <c r="R190" i="10"/>
  <c r="D190" i="10"/>
  <c r="R189" i="10"/>
  <c r="D189" i="10"/>
  <c r="R188" i="10"/>
  <c r="D188" i="10"/>
  <c r="R187" i="10"/>
  <c r="D187" i="10"/>
  <c r="R186" i="10"/>
  <c r="D186" i="10"/>
  <c r="R185" i="10"/>
  <c r="D185" i="10"/>
  <c r="R184" i="10"/>
  <c r="D184" i="10"/>
  <c r="R183" i="10"/>
  <c r="D183" i="10"/>
  <c r="R182" i="10"/>
  <c r="D182" i="10"/>
  <c r="R181" i="10"/>
  <c r="D181" i="10"/>
  <c r="R180" i="10"/>
  <c r="D180" i="10"/>
  <c r="R179" i="10"/>
  <c r="D179" i="10"/>
  <c r="R178" i="10"/>
  <c r="D178" i="10"/>
  <c r="R177" i="10"/>
  <c r="D177" i="10"/>
  <c r="R176" i="10"/>
  <c r="D176" i="10"/>
  <c r="R175" i="10"/>
  <c r="D175" i="10"/>
  <c r="R174" i="10"/>
  <c r="D174" i="10"/>
  <c r="R173" i="10"/>
  <c r="D173" i="10"/>
  <c r="R172" i="10"/>
  <c r="D172" i="10"/>
  <c r="R171" i="10"/>
  <c r="D171" i="10"/>
  <c r="R170" i="10"/>
  <c r="D170" i="10"/>
  <c r="R169" i="10"/>
  <c r="D169" i="10"/>
  <c r="R168" i="10"/>
  <c r="D168" i="10"/>
  <c r="R167" i="10"/>
  <c r="D167" i="10"/>
  <c r="R166" i="10"/>
  <c r="D166" i="10"/>
  <c r="R165" i="10"/>
  <c r="D165" i="10"/>
  <c r="R164" i="10"/>
  <c r="D164" i="10"/>
  <c r="R163" i="10"/>
  <c r="D163" i="10"/>
  <c r="R162" i="10"/>
  <c r="D162" i="10"/>
  <c r="R161" i="10"/>
  <c r="D161" i="10"/>
  <c r="R160" i="10"/>
  <c r="D160" i="10"/>
  <c r="R159" i="10"/>
  <c r="D159" i="10"/>
  <c r="R158" i="10"/>
  <c r="D158" i="10"/>
  <c r="R157" i="10"/>
  <c r="D157" i="10"/>
  <c r="R156" i="10"/>
  <c r="D156" i="10"/>
  <c r="R155" i="10"/>
  <c r="D155" i="10"/>
  <c r="R154" i="10"/>
  <c r="D154" i="10"/>
  <c r="R153" i="10"/>
  <c r="D153" i="10"/>
  <c r="R152" i="10"/>
  <c r="D152" i="10"/>
  <c r="R151" i="10"/>
  <c r="D151" i="10"/>
  <c r="R150" i="10"/>
  <c r="D150" i="10"/>
  <c r="R149" i="10"/>
  <c r="D149" i="10"/>
  <c r="R148" i="10"/>
  <c r="D148" i="10"/>
  <c r="R147" i="10"/>
  <c r="D147" i="10"/>
  <c r="R146" i="10"/>
  <c r="D146" i="10"/>
  <c r="R145" i="10"/>
  <c r="D145" i="10"/>
  <c r="R144" i="10"/>
  <c r="D144" i="10"/>
  <c r="R143" i="10"/>
  <c r="D143" i="10"/>
  <c r="R142" i="10"/>
  <c r="D142" i="10"/>
  <c r="R141" i="10"/>
  <c r="D141" i="10"/>
  <c r="R140" i="10"/>
  <c r="D140" i="10"/>
  <c r="R139" i="10"/>
  <c r="D139" i="10"/>
  <c r="R138" i="10"/>
  <c r="D138" i="10"/>
  <c r="R137" i="10"/>
  <c r="D137" i="10"/>
  <c r="R136" i="10"/>
  <c r="D136" i="10"/>
  <c r="R135" i="10"/>
  <c r="D135" i="10"/>
  <c r="R134" i="10"/>
  <c r="D134" i="10"/>
  <c r="R133" i="10"/>
  <c r="D133" i="10"/>
  <c r="R132" i="10"/>
  <c r="D132" i="10"/>
  <c r="R131" i="10"/>
  <c r="D131" i="10"/>
  <c r="R130" i="10"/>
  <c r="D130" i="10"/>
  <c r="R129" i="10"/>
  <c r="D129" i="10"/>
  <c r="R128" i="10"/>
  <c r="D128" i="10"/>
  <c r="R127" i="10"/>
  <c r="D127" i="10"/>
  <c r="R126" i="10"/>
  <c r="D126" i="10"/>
  <c r="R125" i="10"/>
  <c r="D125" i="10"/>
  <c r="R124" i="10"/>
  <c r="D124" i="10"/>
  <c r="R123" i="10"/>
  <c r="D123" i="10"/>
  <c r="R122" i="10"/>
  <c r="D122" i="10"/>
  <c r="R121" i="10"/>
  <c r="D121" i="10"/>
  <c r="R120" i="10"/>
  <c r="D120" i="10"/>
  <c r="R119" i="10"/>
  <c r="D119" i="10"/>
  <c r="R118" i="10"/>
  <c r="D118" i="10"/>
  <c r="R117" i="10"/>
  <c r="D117" i="10"/>
  <c r="R116" i="10"/>
  <c r="D116" i="10"/>
  <c r="R115" i="10"/>
  <c r="D115" i="10"/>
  <c r="R114" i="10"/>
  <c r="D114" i="10"/>
  <c r="R113" i="10"/>
  <c r="D113" i="10"/>
  <c r="R112" i="10"/>
  <c r="D112" i="10"/>
  <c r="R111" i="10"/>
  <c r="D111" i="10"/>
  <c r="R110" i="10"/>
  <c r="D110" i="10"/>
  <c r="R109" i="10"/>
  <c r="D109" i="10"/>
  <c r="R108" i="10"/>
  <c r="D108" i="10"/>
  <c r="R107" i="10"/>
  <c r="D107" i="10"/>
  <c r="R106" i="10"/>
  <c r="D106" i="10"/>
  <c r="R105" i="10"/>
  <c r="D105" i="10"/>
  <c r="R104" i="10"/>
  <c r="D104" i="10"/>
  <c r="R103" i="10"/>
  <c r="D103" i="10"/>
  <c r="R102" i="10"/>
  <c r="D102" i="10"/>
  <c r="R101" i="10"/>
  <c r="D101" i="10"/>
  <c r="R100" i="10"/>
  <c r="D100" i="10"/>
  <c r="R99" i="10"/>
  <c r="D99" i="10"/>
  <c r="R98" i="10"/>
  <c r="D98" i="10"/>
  <c r="R97" i="10"/>
  <c r="D97" i="10"/>
  <c r="R96" i="10"/>
  <c r="D96" i="10"/>
  <c r="R95" i="10"/>
  <c r="D95" i="10"/>
  <c r="R94" i="10"/>
  <c r="D94" i="10"/>
  <c r="R93" i="10"/>
  <c r="D93" i="10"/>
  <c r="R92" i="10"/>
  <c r="D92" i="10"/>
  <c r="R91" i="10"/>
  <c r="D91" i="10"/>
  <c r="R90" i="10"/>
  <c r="D90" i="10"/>
  <c r="R89" i="10"/>
  <c r="D89" i="10"/>
  <c r="R88" i="10"/>
  <c r="D88" i="10"/>
  <c r="R87" i="10"/>
  <c r="D87" i="10"/>
  <c r="R86" i="10"/>
  <c r="D86" i="10"/>
  <c r="R85" i="10"/>
  <c r="D85" i="10"/>
  <c r="R84" i="10"/>
  <c r="D84" i="10"/>
  <c r="R83" i="10"/>
  <c r="D83" i="10"/>
  <c r="R82" i="10"/>
  <c r="D82" i="10"/>
  <c r="R81" i="10"/>
  <c r="D81" i="10"/>
  <c r="R80" i="10"/>
  <c r="D80" i="10"/>
  <c r="R79" i="10"/>
  <c r="D79" i="10"/>
  <c r="R78" i="10"/>
  <c r="D78" i="10"/>
  <c r="R77" i="10"/>
  <c r="D77" i="10"/>
  <c r="R76" i="10"/>
  <c r="D76" i="10"/>
  <c r="R75" i="10"/>
  <c r="D75" i="10"/>
  <c r="R74" i="10"/>
  <c r="D74" i="10"/>
  <c r="R73" i="10"/>
  <c r="D73" i="10"/>
  <c r="R72" i="10"/>
  <c r="D72" i="10"/>
  <c r="R71" i="10"/>
  <c r="D71" i="10"/>
  <c r="R70" i="10"/>
  <c r="D70" i="10"/>
  <c r="R69" i="10"/>
  <c r="D69" i="10"/>
  <c r="R68" i="10"/>
  <c r="D68" i="10"/>
  <c r="R67" i="10"/>
  <c r="D67" i="10"/>
  <c r="R66" i="10"/>
  <c r="D66" i="10"/>
  <c r="D65" i="10"/>
  <c r="R65" i="10" s="1"/>
  <c r="D64" i="10"/>
  <c r="R64" i="10" s="1"/>
  <c r="D63" i="10"/>
  <c r="R63" i="10" s="1"/>
  <c r="R62" i="10"/>
  <c r="D62" i="10"/>
  <c r="D61" i="10"/>
  <c r="R61" i="10" s="1"/>
  <c r="D60" i="10"/>
  <c r="R60" i="10" s="1"/>
  <c r="R59" i="10"/>
  <c r="D59" i="10"/>
  <c r="D58" i="10"/>
  <c r="R58" i="10" s="1"/>
  <c r="D57" i="10"/>
  <c r="R57" i="10" s="1"/>
  <c r="D56" i="10"/>
  <c r="R56" i="10" s="1"/>
  <c r="R55" i="10"/>
  <c r="D55" i="10"/>
  <c r="R54" i="10"/>
  <c r="D54" i="10"/>
  <c r="D53" i="10"/>
  <c r="R53" i="10" s="1"/>
  <c r="D52" i="10"/>
  <c r="R52" i="10" s="1"/>
  <c r="R51" i="10"/>
  <c r="D51" i="10"/>
  <c r="R50" i="10"/>
  <c r="D50" i="10"/>
  <c r="D49" i="10"/>
  <c r="R49" i="10" s="1"/>
  <c r="D48" i="10"/>
  <c r="R48" i="10" s="1"/>
  <c r="D47" i="10"/>
  <c r="R47" i="10" s="1"/>
  <c r="R46" i="10"/>
  <c r="D46" i="10"/>
  <c r="D45" i="10"/>
  <c r="R45" i="10" s="1"/>
  <c r="D44" i="10"/>
  <c r="R44" i="10" s="1"/>
  <c r="R43" i="10"/>
  <c r="D43" i="10"/>
  <c r="D42" i="10"/>
  <c r="R42" i="10" s="1"/>
  <c r="D41" i="10"/>
  <c r="R41" i="10" s="1"/>
  <c r="D40" i="10"/>
  <c r="R40" i="10" s="1"/>
  <c r="R39" i="10"/>
  <c r="D39" i="10"/>
  <c r="R38" i="10"/>
  <c r="D38" i="10"/>
  <c r="D37" i="10"/>
  <c r="R37" i="10" s="1"/>
  <c r="D36" i="10"/>
  <c r="R36" i="10" s="1"/>
  <c r="R35" i="10"/>
  <c r="D35" i="10"/>
  <c r="R34" i="10"/>
  <c r="D34" i="10"/>
  <c r="D33" i="10"/>
  <c r="R33" i="10" s="1"/>
  <c r="D32" i="10"/>
  <c r="R32" i="10" s="1"/>
  <c r="D31" i="10"/>
  <c r="R31" i="10" s="1"/>
  <c r="R30" i="10"/>
  <c r="D30" i="10"/>
  <c r="D29" i="10"/>
  <c r="R29" i="10" s="1"/>
  <c r="D28" i="10"/>
  <c r="R28" i="10" s="1"/>
  <c r="R27" i="10"/>
  <c r="D27" i="10"/>
  <c r="R26" i="10"/>
  <c r="D26" i="10"/>
  <c r="D25" i="10"/>
  <c r="R25" i="10" s="1"/>
  <c r="D24" i="10"/>
  <c r="R24" i="10" s="1"/>
  <c r="R23" i="10"/>
  <c r="D23" i="10"/>
  <c r="R22" i="10"/>
  <c r="D22" i="10"/>
  <c r="D21" i="10"/>
  <c r="R21" i="10" s="1"/>
  <c r="D20" i="10"/>
  <c r="R20" i="10" s="1"/>
  <c r="R19" i="10"/>
  <c r="D19" i="10"/>
  <c r="R18" i="10"/>
  <c r="D18" i="10"/>
  <c r="D17" i="10"/>
  <c r="R17" i="10" s="1"/>
  <c r="D16" i="10"/>
  <c r="R16" i="10" s="1"/>
  <c r="D15" i="10"/>
  <c r="R15" i="10" s="1"/>
  <c r="R14" i="10"/>
  <c r="D14" i="10"/>
  <c r="D13" i="10"/>
  <c r="R13" i="10" s="1"/>
  <c r="D12" i="10"/>
  <c r="R12" i="10" s="1"/>
  <c r="R11" i="10"/>
  <c r="D11" i="10"/>
  <c r="D10" i="10"/>
  <c r="R10" i="10" s="1"/>
  <c r="D9" i="10"/>
  <c r="R9" i="10" s="1"/>
  <c r="D8" i="10"/>
  <c r="R8" i="10" s="1"/>
  <c r="R7" i="10"/>
  <c r="D7" i="10"/>
  <c r="R6" i="10"/>
  <c r="D6" i="10"/>
  <c r="P4" i="10"/>
  <c r="H4" i="10"/>
  <c r="Q3" i="10"/>
  <c r="P3" i="10"/>
  <c r="O3" i="10"/>
  <c r="N3" i="10"/>
  <c r="M3" i="10"/>
  <c r="L3" i="10"/>
  <c r="K3" i="10"/>
  <c r="J3" i="10"/>
  <c r="I3" i="10"/>
  <c r="H3" i="10"/>
  <c r="G3" i="10"/>
  <c r="F3" i="10"/>
  <c r="B35" i="9"/>
  <c r="Q4" i="10" s="1"/>
  <c r="B34" i="9"/>
  <c r="B33" i="9"/>
  <c r="B32" i="9"/>
  <c r="M4" i="13" s="1"/>
  <c r="B31" i="9"/>
  <c r="B30" i="9"/>
  <c r="K4" i="13" s="1"/>
  <c r="B29" i="9"/>
  <c r="K4" i="10" s="1"/>
  <c r="B28" i="9"/>
  <c r="I4" i="13" s="1"/>
  <c r="B27" i="9"/>
  <c r="I4" i="10" s="1"/>
  <c r="B26" i="9"/>
  <c r="B25" i="9"/>
  <c r="G4" i="10" s="1"/>
  <c r="B24" i="9"/>
  <c r="B4" i="11" s="1"/>
  <c r="B20" i="9"/>
  <c r="B19" i="9"/>
  <c r="B15" i="9"/>
  <c r="F6" i="4" s="1"/>
  <c r="E41" i="7"/>
  <c r="E40" i="7"/>
  <c r="C1" i="7"/>
  <c r="C1" i="6"/>
  <c r="C1" i="5"/>
  <c r="F38" i="4"/>
  <c r="F37" i="4"/>
  <c r="F35" i="4"/>
  <c r="F34" i="4"/>
  <c r="F33" i="4"/>
  <c r="F30" i="4"/>
  <c r="F26" i="4"/>
  <c r="F25" i="4"/>
  <c r="F24" i="4"/>
  <c r="F17" i="4"/>
  <c r="F16" i="4"/>
  <c r="F15" i="4"/>
  <c r="F14" i="4"/>
  <c r="F10" i="4"/>
  <c r="F9" i="4"/>
  <c r="C1" i="4"/>
  <c r="C1" i="3"/>
  <c r="C1" i="2"/>
  <c r="C1" i="1"/>
  <c r="P136" i="13" l="1"/>
  <c r="G141" i="13"/>
  <c r="O141" i="13"/>
  <c r="J142" i="13"/>
  <c r="E143" i="13"/>
  <c r="M143" i="13"/>
  <c r="H144" i="13"/>
  <c r="P144" i="13"/>
  <c r="I50" i="15"/>
  <c r="B7" i="15"/>
  <c r="B185" i="15" s="1"/>
  <c r="K258" i="10"/>
  <c r="Q258" i="10"/>
  <c r="E43" i="13"/>
  <c r="M43" i="13"/>
  <c r="K50" i="15"/>
  <c r="H120" i="13"/>
  <c r="P4" i="13"/>
  <c r="F31" i="4"/>
  <c r="S11" i="2"/>
  <c r="S13" i="2"/>
  <c r="S15" i="2"/>
  <c r="B7" i="9"/>
  <c r="D35" i="5" s="1"/>
  <c r="H31" i="3"/>
  <c r="L26" i="1" s="1"/>
  <c r="N26" i="1" s="1"/>
  <c r="O26" i="1" s="1"/>
  <c r="H29" i="3"/>
  <c r="H24" i="1" s="1"/>
  <c r="E17" i="3"/>
  <c r="E36" i="4"/>
  <c r="D14" i="5"/>
  <c r="B14" i="12"/>
  <c r="C14" i="12" s="1"/>
  <c r="G77" i="13"/>
  <c r="O77" i="13"/>
  <c r="J78" i="13"/>
  <c r="M79" i="13"/>
  <c r="H80" i="13"/>
  <c r="P80" i="13"/>
  <c r="K81" i="13"/>
  <c r="F82" i="13"/>
  <c r="N82" i="13"/>
  <c r="I83" i="13"/>
  <c r="L84" i="13"/>
  <c r="G128" i="13"/>
  <c r="O128" i="13"/>
  <c r="M130" i="13"/>
  <c r="L135" i="13"/>
  <c r="L143" i="13"/>
  <c r="K111" i="13"/>
  <c r="K117" i="13"/>
  <c r="G116" i="13"/>
  <c r="M18" i="1"/>
  <c r="M19" i="1"/>
  <c r="B6" i="12"/>
  <c r="C6" i="12" s="1"/>
  <c r="I69" i="13"/>
  <c r="L70" i="13"/>
  <c r="G71" i="13"/>
  <c r="O71" i="13"/>
  <c r="J72" i="13"/>
  <c r="M73" i="13"/>
  <c r="H74" i="13"/>
  <c r="P74" i="13"/>
  <c r="K75" i="13"/>
  <c r="F76" i="13"/>
  <c r="N76" i="13"/>
  <c r="I77" i="13"/>
  <c r="L78" i="13"/>
  <c r="G79" i="13"/>
  <c r="O79" i="13"/>
  <c r="J80" i="13"/>
  <c r="M81" i="13"/>
  <c r="H82" i="13"/>
  <c r="P82" i="13"/>
  <c r="K83" i="13"/>
  <c r="F84" i="13"/>
  <c r="N84" i="13"/>
  <c r="I128" i="13"/>
  <c r="L129" i="13"/>
  <c r="G130" i="13"/>
  <c r="O130" i="13"/>
  <c r="H133" i="13"/>
  <c r="P133" i="13"/>
  <c r="K134" i="13"/>
  <c r="F135" i="13"/>
  <c r="N135" i="13"/>
  <c r="I136" i="13"/>
  <c r="L137" i="13"/>
  <c r="J139" i="13"/>
  <c r="H141" i="13"/>
  <c r="P141" i="13"/>
  <c r="K142" i="13"/>
  <c r="F143" i="13"/>
  <c r="N143" i="13"/>
  <c r="D16" i="5" s="1"/>
  <c r="I144" i="13"/>
  <c r="L145" i="13"/>
  <c r="G146" i="13"/>
  <c r="O146" i="13"/>
  <c r="I122" i="13"/>
  <c r="F12" i="4"/>
  <c r="M24" i="1"/>
  <c r="N24" i="11"/>
  <c r="M26" i="1"/>
  <c r="E19" i="3"/>
  <c r="F40" i="4"/>
  <c r="F41" i="4" s="1"/>
  <c r="C4" i="11"/>
  <c r="L83" i="13"/>
  <c r="G84" i="13"/>
  <c r="O84" i="13"/>
  <c r="J128" i="13"/>
  <c r="E129" i="13"/>
  <c r="M129" i="13"/>
  <c r="H130" i="13"/>
  <c r="P130" i="13"/>
  <c r="H138" i="13"/>
  <c r="L142" i="13"/>
  <c r="G143" i="13"/>
  <c r="O143" i="13"/>
  <c r="J144" i="13"/>
  <c r="E145" i="13"/>
  <c r="M145" i="13"/>
  <c r="H146" i="13"/>
  <c r="P146" i="13"/>
  <c r="J123" i="13"/>
  <c r="J4" i="11"/>
  <c r="L139" i="13"/>
  <c r="J118" i="13"/>
  <c r="I120" i="13"/>
  <c r="J122" i="13"/>
  <c r="L124" i="13"/>
  <c r="J124" i="13"/>
  <c r="M14" i="1"/>
  <c r="M21" i="1"/>
  <c r="E9" i="4"/>
  <c r="F18" i="4"/>
  <c r="F19" i="4" s="1"/>
  <c r="E25" i="4"/>
  <c r="M15" i="1"/>
  <c r="M23" i="1"/>
  <c r="J258" i="10"/>
  <c r="B13" i="12"/>
  <c r="C13" i="12" s="1"/>
  <c r="M69" i="13"/>
  <c r="H70" i="13"/>
  <c r="P70" i="13"/>
  <c r="K71" i="13"/>
  <c r="F72" i="13"/>
  <c r="N72" i="13"/>
  <c r="I73" i="13"/>
  <c r="L74" i="13"/>
  <c r="G75" i="13"/>
  <c r="O75" i="13"/>
  <c r="J76" i="13"/>
  <c r="M77" i="13"/>
  <c r="H78" i="13"/>
  <c r="P78" i="13"/>
  <c r="K79" i="13"/>
  <c r="F80" i="13"/>
  <c r="N80" i="13"/>
  <c r="I81" i="13"/>
  <c r="L82" i="13"/>
  <c r="G83" i="13"/>
  <c r="O83" i="13"/>
  <c r="J84" i="13"/>
  <c r="E128" i="13"/>
  <c r="M128" i="13"/>
  <c r="H129" i="13"/>
  <c r="P129" i="13"/>
  <c r="K130" i="13"/>
  <c r="N131" i="13"/>
  <c r="L133" i="13"/>
  <c r="G134" i="13"/>
  <c r="O134" i="13"/>
  <c r="J135" i="13"/>
  <c r="E136" i="13"/>
  <c r="M136" i="13"/>
  <c r="H137" i="13"/>
  <c r="P137" i="13"/>
  <c r="F139" i="13"/>
  <c r="N139" i="13"/>
  <c r="H258" i="10"/>
  <c r="B9" i="12"/>
  <c r="C9" i="12" s="1"/>
  <c r="P258" i="10"/>
  <c r="B17" i="12"/>
  <c r="C17" i="12" s="1"/>
  <c r="L42" i="13"/>
  <c r="L48" i="13"/>
  <c r="G69" i="13"/>
  <c r="O69" i="13"/>
  <c r="J70" i="13"/>
  <c r="M71" i="13"/>
  <c r="K48" i="13"/>
  <c r="K42" i="13"/>
  <c r="M16" i="1"/>
  <c r="C11" i="16"/>
  <c r="J70" i="15"/>
  <c r="J3" i="15"/>
  <c r="I4" i="11"/>
  <c r="L4" i="13"/>
  <c r="M4" i="10"/>
  <c r="C4" i="16"/>
  <c r="C70" i="15"/>
  <c r="C3" i="15"/>
  <c r="F4" i="10"/>
  <c r="E4" i="13"/>
  <c r="E74" i="13"/>
  <c r="H72" i="13"/>
  <c r="P72" i="13"/>
  <c r="K73" i="13"/>
  <c r="F74" i="13"/>
  <c r="N74" i="13"/>
  <c r="I75" i="13"/>
  <c r="L76" i="13"/>
  <c r="C13" i="16"/>
  <c r="L3" i="15"/>
  <c r="L70" i="15"/>
  <c r="N4" i="13"/>
  <c r="B19" i="12"/>
  <c r="C19" i="12" s="1"/>
  <c r="B20" i="12"/>
  <c r="C20" i="12" s="1"/>
  <c r="K4" i="11"/>
  <c r="D70" i="15"/>
  <c r="D3" i="15"/>
  <c r="C5" i="16"/>
  <c r="F4" i="13"/>
  <c r="E70" i="15"/>
  <c r="C6" i="16"/>
  <c r="E3" i="15"/>
  <c r="G4" i="13"/>
  <c r="D4" i="11"/>
  <c r="Q11" i="2"/>
  <c r="H16" i="3"/>
  <c r="H20" i="3"/>
  <c r="E23" i="4"/>
  <c r="E29" i="4"/>
  <c r="E39" i="4"/>
  <c r="C7" i="16"/>
  <c r="F70" i="15"/>
  <c r="F3" i="15"/>
  <c r="E4" i="11"/>
  <c r="C15" i="16"/>
  <c r="N70" i="15"/>
  <c r="N3" i="15"/>
  <c r="M4" i="11"/>
  <c r="M8" i="15"/>
  <c r="M13" i="15" s="1"/>
  <c r="E8" i="15"/>
  <c r="E21" i="15" s="1"/>
  <c r="F18" i="2" s="1"/>
  <c r="L8" i="15"/>
  <c r="L24" i="15" s="1"/>
  <c r="M24" i="2" s="1"/>
  <c r="D8" i="15"/>
  <c r="D11" i="15" s="1"/>
  <c r="E7" i="2" s="1"/>
  <c r="J8" i="15"/>
  <c r="J26" i="15" s="1"/>
  <c r="K26" i="2" s="1"/>
  <c r="H8" i="15"/>
  <c r="H15" i="15" s="1"/>
  <c r="I12" i="2" s="1"/>
  <c r="G8" i="15"/>
  <c r="G25" i="15" s="1"/>
  <c r="H25" i="2" s="1"/>
  <c r="F8" i="15"/>
  <c r="F25" i="15" s="1"/>
  <c r="G25" i="2" s="1"/>
  <c r="C8" i="15"/>
  <c r="C57" i="15" s="1"/>
  <c r="N8" i="15"/>
  <c r="N24" i="15" s="1"/>
  <c r="O24" i="2" s="1"/>
  <c r="K8" i="15"/>
  <c r="K11" i="15" s="1"/>
  <c r="L7" i="2" s="1"/>
  <c r="B24" i="12"/>
  <c r="C24" i="12" s="1"/>
  <c r="D38" i="4"/>
  <c r="D36" i="4"/>
  <c r="G36" i="4" s="1"/>
  <c r="D34" i="4"/>
  <c r="G34" i="4" s="1"/>
  <c r="D29" i="4"/>
  <c r="D24" i="4"/>
  <c r="D17" i="4"/>
  <c r="D10" i="4"/>
  <c r="G10" i="4" s="1"/>
  <c r="D31" i="3"/>
  <c r="D26" i="1" s="1"/>
  <c r="D28" i="3"/>
  <c r="D23" i="3"/>
  <c r="D20" i="3"/>
  <c r="D19" i="3"/>
  <c r="D16" i="3"/>
  <c r="D15" i="3"/>
  <c r="D14" i="3"/>
  <c r="E9" i="5"/>
  <c r="H9" i="3"/>
  <c r="M70" i="15"/>
  <c r="C14" i="16"/>
  <c r="M3" i="15"/>
  <c r="O4" i="13"/>
  <c r="L4" i="11"/>
  <c r="Q15" i="2"/>
  <c r="E14" i="3"/>
  <c r="E18" i="3"/>
  <c r="E22" i="3"/>
  <c r="E26" i="3"/>
  <c r="E10" i="4"/>
  <c r="F27" i="4"/>
  <c r="E37" i="4"/>
  <c r="B16" i="9"/>
  <c r="C9" i="16"/>
  <c r="H70" i="15"/>
  <c r="H3" i="15"/>
  <c r="G4" i="11"/>
  <c r="J4" i="13"/>
  <c r="O4" i="10"/>
  <c r="H4" i="13"/>
  <c r="B8" i="12"/>
  <c r="C8" i="12" s="1"/>
  <c r="G258" i="10"/>
  <c r="B16" i="12"/>
  <c r="C16" i="12" s="1"/>
  <c r="O258" i="10"/>
  <c r="C8" i="16"/>
  <c r="G70" i="15"/>
  <c r="G3" i="15"/>
  <c r="J4" i="10"/>
  <c r="E42" i="13"/>
  <c r="E48" i="13"/>
  <c r="E68" i="13" s="1"/>
  <c r="M42" i="13"/>
  <c r="M48" i="13"/>
  <c r="H69" i="13"/>
  <c r="P69" i="13"/>
  <c r="K70" i="13"/>
  <c r="F71" i="13"/>
  <c r="N71" i="13"/>
  <c r="I72" i="13"/>
  <c r="L73" i="13"/>
  <c r="G74" i="13"/>
  <c r="O74" i="13"/>
  <c r="J75" i="13"/>
  <c r="M76" i="13"/>
  <c r="H77" i="13"/>
  <c r="P77" i="13"/>
  <c r="K78" i="13"/>
  <c r="F79" i="13"/>
  <c r="N79" i="13"/>
  <c r="D22" i="3" s="1"/>
  <c r="I80" i="13"/>
  <c r="L81" i="13"/>
  <c r="G82" i="13"/>
  <c r="O82" i="13"/>
  <c r="J83" i="13"/>
  <c r="M84" i="13"/>
  <c r="F42" i="13"/>
  <c r="F48" i="13"/>
  <c r="F68" i="13" s="1"/>
  <c r="N42" i="13"/>
  <c r="N48" i="13"/>
  <c r="C10" i="16"/>
  <c r="I70" i="15"/>
  <c r="I3" i="15"/>
  <c r="L4" i="10"/>
  <c r="F258" i="10"/>
  <c r="N258" i="10"/>
  <c r="F4" i="11"/>
  <c r="G42" i="13"/>
  <c r="G48" i="13"/>
  <c r="O42" i="13"/>
  <c r="O48" i="13"/>
  <c r="J69" i="13"/>
  <c r="M70" i="13"/>
  <c r="H71" i="13"/>
  <c r="P71" i="13"/>
  <c r="K72" i="13"/>
  <c r="F73" i="13"/>
  <c r="N73" i="13"/>
  <c r="I74" i="13"/>
  <c r="L75" i="13"/>
  <c r="G76" i="13"/>
  <c r="O76" i="13"/>
  <c r="J77" i="13"/>
  <c r="M78" i="13"/>
  <c r="H79" i="13"/>
  <c r="P79" i="13"/>
  <c r="K80" i="13"/>
  <c r="F81" i="13"/>
  <c r="N81" i="13"/>
  <c r="D26" i="3" s="1"/>
  <c r="D21" i="1" s="1"/>
  <c r="I82" i="13"/>
  <c r="D43" i="13"/>
  <c r="L43" i="13"/>
  <c r="P42" i="13"/>
  <c r="P48" i="13"/>
  <c r="K69" i="13"/>
  <c r="F70" i="13"/>
  <c r="N70" i="13"/>
  <c r="D12" i="3" s="1"/>
  <c r="I71" i="13"/>
  <c r="L72" i="13"/>
  <c r="G73" i="13"/>
  <c r="O73" i="13"/>
  <c r="J74" i="13"/>
  <c r="M75" i="13"/>
  <c r="H76" i="13"/>
  <c r="P76" i="13"/>
  <c r="K77" i="13"/>
  <c r="F78" i="13"/>
  <c r="N78" i="13"/>
  <c r="I79" i="13"/>
  <c r="L80" i="13"/>
  <c r="G81" i="13"/>
  <c r="O81" i="13"/>
  <c r="J82" i="13"/>
  <c r="M83" i="13"/>
  <c r="H84" i="13"/>
  <c r="P84" i="13"/>
  <c r="H42" i="13"/>
  <c r="C12" i="16"/>
  <c r="K70" i="15"/>
  <c r="K3" i="15"/>
  <c r="N4" i="10"/>
  <c r="H4" i="11"/>
  <c r="I48" i="13"/>
  <c r="I68" i="13" s="1"/>
  <c r="I42" i="13"/>
  <c r="L69" i="13"/>
  <c r="G70" i="13"/>
  <c r="O70" i="13"/>
  <c r="J71" i="13"/>
  <c r="M72" i="13"/>
  <c r="H73" i="13"/>
  <c r="P73" i="13"/>
  <c r="K74" i="13"/>
  <c r="F75" i="13"/>
  <c r="N75" i="13"/>
  <c r="D18" i="3" s="1"/>
  <c r="I76" i="13"/>
  <c r="L77" i="13"/>
  <c r="G78" i="13"/>
  <c r="O78" i="13"/>
  <c r="J79" i="13"/>
  <c r="M80" i="13"/>
  <c r="H81" i="13"/>
  <c r="P81" i="13"/>
  <c r="K82" i="13"/>
  <c r="F83" i="13"/>
  <c r="N83" i="13"/>
  <c r="D29" i="3" s="1"/>
  <c r="I84" i="13"/>
  <c r="J48" i="13"/>
  <c r="J68" i="13" s="1"/>
  <c r="J42" i="13"/>
  <c r="G131" i="13"/>
  <c r="O131" i="13"/>
  <c r="J132" i="13"/>
  <c r="H134" i="13"/>
  <c r="H43" i="13"/>
  <c r="P134" i="13"/>
  <c r="P43" i="13"/>
  <c r="L138" i="13"/>
  <c r="J140" i="13"/>
  <c r="J129" i="13"/>
  <c r="E130" i="13"/>
  <c r="H131" i="13"/>
  <c r="P131" i="13"/>
  <c r="K132" i="13"/>
  <c r="F133" i="13"/>
  <c r="E12" i="5" s="1"/>
  <c r="N133" i="13"/>
  <c r="I134" i="13"/>
  <c r="G136" i="13"/>
  <c r="O136" i="13"/>
  <c r="J137" i="13"/>
  <c r="E138" i="13"/>
  <c r="D26" i="5" s="1"/>
  <c r="M138" i="13"/>
  <c r="H139" i="13"/>
  <c r="P139" i="13"/>
  <c r="K140" i="13"/>
  <c r="F141" i="13"/>
  <c r="E14" i="5" s="1"/>
  <c r="N141" i="13"/>
  <c r="I142" i="13"/>
  <c r="G144" i="13"/>
  <c r="O144" i="13"/>
  <c r="J145" i="13"/>
  <c r="E146" i="13"/>
  <c r="M146" i="13"/>
  <c r="C28" i="15"/>
  <c r="N108" i="13"/>
  <c r="F108" i="13"/>
  <c r="M108" i="13"/>
  <c r="E108" i="13"/>
  <c r="I8" i="3" s="1"/>
  <c r="L108" i="13"/>
  <c r="K108" i="13"/>
  <c r="J108" i="13"/>
  <c r="I108" i="13"/>
  <c r="P108" i="13"/>
  <c r="H108" i="13"/>
  <c r="K80" i="15"/>
  <c r="C30" i="15"/>
  <c r="S9" i="2" s="1"/>
  <c r="N110" i="13"/>
  <c r="F110" i="13"/>
  <c r="M110" i="13"/>
  <c r="E110" i="13"/>
  <c r="L110" i="13"/>
  <c r="K110" i="13"/>
  <c r="J110" i="13"/>
  <c r="I110" i="13"/>
  <c r="P110" i="13"/>
  <c r="H110" i="13"/>
  <c r="O110" i="13"/>
  <c r="H128" i="13"/>
  <c r="P128" i="13"/>
  <c r="K129" i="13"/>
  <c r="F130" i="13"/>
  <c r="N130" i="13"/>
  <c r="I131" i="13"/>
  <c r="L132" i="13"/>
  <c r="G133" i="13"/>
  <c r="O133" i="13"/>
  <c r="J134" i="13"/>
  <c r="E135" i="13"/>
  <c r="M135" i="13"/>
  <c r="H136" i="13"/>
  <c r="K137" i="13"/>
  <c r="F138" i="13"/>
  <c r="N138" i="13"/>
  <c r="I139" i="13"/>
  <c r="J61" i="15"/>
  <c r="L140" i="13"/>
  <c r="K145" i="13"/>
  <c r="F146" i="13"/>
  <c r="N146" i="13"/>
  <c r="D80" i="15"/>
  <c r="L80" i="15"/>
  <c r="H96" i="15"/>
  <c r="H51" i="15"/>
  <c r="O116" i="13"/>
  <c r="J131" i="13"/>
  <c r="E132" i="13"/>
  <c r="M132" i="13"/>
  <c r="G138" i="13"/>
  <c r="O138" i="13"/>
  <c r="E140" i="13"/>
  <c r="M140" i="13"/>
  <c r="G112" i="13"/>
  <c r="K131" i="13"/>
  <c r="F132" i="13"/>
  <c r="N132" i="13"/>
  <c r="I133" i="13"/>
  <c r="L134" i="13"/>
  <c r="G135" i="13"/>
  <c r="O135" i="13"/>
  <c r="J136" i="13"/>
  <c r="E137" i="13"/>
  <c r="D29" i="5" s="1"/>
  <c r="M137" i="13"/>
  <c r="P138" i="13"/>
  <c r="K139" i="13"/>
  <c r="F140" i="13"/>
  <c r="N140" i="13"/>
  <c r="I141" i="13"/>
  <c r="G43" i="13"/>
  <c r="O43" i="13"/>
  <c r="F80" i="15"/>
  <c r="N80" i="15"/>
  <c r="J96" i="15"/>
  <c r="J51" i="15"/>
  <c r="O112" i="13"/>
  <c r="I118" i="13"/>
  <c r="K128" i="13"/>
  <c r="F129" i="13"/>
  <c r="N129" i="13"/>
  <c r="I130" i="13"/>
  <c r="L131" i="13"/>
  <c r="G132" i="13"/>
  <c r="O132" i="13"/>
  <c r="J133" i="13"/>
  <c r="E134" i="13"/>
  <c r="M134" i="13"/>
  <c r="H135" i="13"/>
  <c r="P135" i="13"/>
  <c r="K136" i="13"/>
  <c r="F137" i="13"/>
  <c r="N137" i="13"/>
  <c r="I138" i="13"/>
  <c r="G140" i="13"/>
  <c r="O140" i="13"/>
  <c r="M61" i="15"/>
  <c r="M73" i="15" s="1"/>
  <c r="N36" i="2" s="1"/>
  <c r="J141" i="13"/>
  <c r="E142" i="13"/>
  <c r="M142" i="13"/>
  <c r="H143" i="13"/>
  <c r="P143" i="13"/>
  <c r="K144" i="13"/>
  <c r="F145" i="13"/>
  <c r="N145" i="13"/>
  <c r="I146" i="13"/>
  <c r="G50" i="15"/>
  <c r="C29" i="15"/>
  <c r="S7" i="2" s="1"/>
  <c r="J109" i="13"/>
  <c r="I109" i="13"/>
  <c r="P109" i="13"/>
  <c r="H109" i="13"/>
  <c r="O109" i="13"/>
  <c r="G109" i="13"/>
  <c r="N109" i="13"/>
  <c r="F109" i="13"/>
  <c r="M109" i="13"/>
  <c r="E109" i="13"/>
  <c r="I9" i="3" s="1"/>
  <c r="L109" i="13"/>
  <c r="C31" i="15"/>
  <c r="J111" i="13"/>
  <c r="I111" i="13"/>
  <c r="P111" i="13"/>
  <c r="H111" i="13"/>
  <c r="O111" i="13"/>
  <c r="G111" i="13"/>
  <c r="N111" i="13"/>
  <c r="F111" i="13"/>
  <c r="M111" i="13"/>
  <c r="E111" i="13"/>
  <c r="L111" i="13"/>
  <c r="K96" i="15"/>
  <c r="K51" i="15"/>
  <c r="K52" i="15" s="1"/>
  <c r="C33" i="15"/>
  <c r="J113" i="13"/>
  <c r="I113" i="13"/>
  <c r="P113" i="13"/>
  <c r="H113" i="13"/>
  <c r="O113" i="13"/>
  <c r="G113" i="13"/>
  <c r="N113" i="13"/>
  <c r="F113" i="13"/>
  <c r="M113" i="13"/>
  <c r="E113" i="13"/>
  <c r="I16" i="3" s="1"/>
  <c r="L113" i="13"/>
  <c r="C35" i="15"/>
  <c r="J115" i="13"/>
  <c r="I115" i="13"/>
  <c r="P115" i="13"/>
  <c r="H115" i="13"/>
  <c r="O115" i="13"/>
  <c r="G115" i="13"/>
  <c r="N115" i="13"/>
  <c r="F115" i="13"/>
  <c r="M115" i="13"/>
  <c r="E115" i="13"/>
  <c r="L115" i="13"/>
  <c r="O117" i="13"/>
  <c r="J117" i="13"/>
  <c r="C37" i="15"/>
  <c r="I117" i="13"/>
  <c r="H117" i="13"/>
  <c r="P117" i="13"/>
  <c r="G117" i="13"/>
  <c r="N117" i="13"/>
  <c r="F117" i="13"/>
  <c r="M117" i="13"/>
  <c r="E117" i="13"/>
  <c r="I20" i="3" s="1"/>
  <c r="L117" i="13"/>
  <c r="N119" i="13"/>
  <c r="P121" i="13"/>
  <c r="G108" i="13"/>
  <c r="K113" i="13"/>
  <c r="H119" i="13"/>
  <c r="E131" i="13"/>
  <c r="M131" i="13"/>
  <c r="F59" i="15"/>
  <c r="F71" i="15" s="1"/>
  <c r="H132" i="13"/>
  <c r="K133" i="13"/>
  <c r="F134" i="13"/>
  <c r="N134" i="13"/>
  <c r="I135" i="13"/>
  <c r="L136" i="13"/>
  <c r="G137" i="13"/>
  <c r="E139" i="13"/>
  <c r="D27" i="5" s="1"/>
  <c r="H140" i="13"/>
  <c r="I43" i="13"/>
  <c r="H50" i="15"/>
  <c r="O108" i="13"/>
  <c r="G114" i="13"/>
  <c r="F131" i="13"/>
  <c r="I132" i="13"/>
  <c r="K138" i="13"/>
  <c r="I140" i="13"/>
  <c r="L141" i="13"/>
  <c r="G142" i="13"/>
  <c r="O142" i="13"/>
  <c r="J143" i="13"/>
  <c r="E144" i="13"/>
  <c r="D17" i="5" s="1"/>
  <c r="M144" i="13"/>
  <c r="H145" i="13"/>
  <c r="P145" i="13"/>
  <c r="K146" i="13"/>
  <c r="J43" i="13"/>
  <c r="I80" i="15"/>
  <c r="E96" i="15"/>
  <c r="E51" i="15"/>
  <c r="M96" i="15"/>
  <c r="M51" i="15"/>
  <c r="K109" i="13"/>
  <c r="O114" i="13"/>
  <c r="H121" i="13"/>
  <c r="P132" i="13"/>
  <c r="K43" i="13"/>
  <c r="G110" i="13"/>
  <c r="K115" i="13"/>
  <c r="J50" i="15"/>
  <c r="F96" i="15"/>
  <c r="F51" i="15"/>
  <c r="F52" i="15" s="1"/>
  <c r="N96" i="15"/>
  <c r="N51" i="15"/>
  <c r="N52" i="15" s="1"/>
  <c r="H112" i="13"/>
  <c r="P112" i="13"/>
  <c r="H114" i="13"/>
  <c r="P114" i="13"/>
  <c r="H116" i="13"/>
  <c r="P116" i="13"/>
  <c r="I119" i="13"/>
  <c r="J121" i="13"/>
  <c r="L123" i="13"/>
  <c r="G96" i="15"/>
  <c r="G51" i="15"/>
  <c r="C38" i="15"/>
  <c r="S17" i="2" s="1"/>
  <c r="K118" i="13"/>
  <c r="O118" i="13"/>
  <c r="G118" i="13"/>
  <c r="K120" i="13"/>
  <c r="C40" i="15"/>
  <c r="S19" i="2" s="1"/>
  <c r="O120" i="13"/>
  <c r="G120" i="13"/>
  <c r="M120" i="13"/>
  <c r="E120" i="13"/>
  <c r="K122" i="13"/>
  <c r="C42" i="15"/>
  <c r="O122" i="13"/>
  <c r="G122" i="13"/>
  <c r="M122" i="13"/>
  <c r="E122" i="13"/>
  <c r="K124" i="13"/>
  <c r="C44" i="15"/>
  <c r="O124" i="13"/>
  <c r="G124" i="13"/>
  <c r="M124" i="13"/>
  <c r="E124" i="13"/>
  <c r="I112" i="13"/>
  <c r="I114" i="13"/>
  <c r="I116" i="13"/>
  <c r="L118" i="13"/>
  <c r="J119" i="13"/>
  <c r="J120" i="13"/>
  <c r="L121" i="13"/>
  <c r="L122" i="13"/>
  <c r="M123" i="13"/>
  <c r="N124" i="13"/>
  <c r="J112" i="13"/>
  <c r="J114" i="13"/>
  <c r="J116" i="13"/>
  <c r="M118" i="13"/>
  <c r="L119" i="13"/>
  <c r="L120" i="13"/>
  <c r="M121" i="13"/>
  <c r="N122" i="13"/>
  <c r="N123" i="13"/>
  <c r="P124" i="13"/>
  <c r="E50" i="15"/>
  <c r="M50" i="15"/>
  <c r="I96" i="15"/>
  <c r="I51" i="15"/>
  <c r="I52" i="15" s="1"/>
  <c r="K112" i="13"/>
  <c r="K114" i="13"/>
  <c r="K116" i="13"/>
  <c r="N118" i="13"/>
  <c r="M119" i="13"/>
  <c r="N120" i="13"/>
  <c r="N121" i="13"/>
  <c r="P122" i="13"/>
  <c r="P123" i="13"/>
  <c r="L112" i="13"/>
  <c r="L114" i="13"/>
  <c r="L116" i="13"/>
  <c r="E118" i="13"/>
  <c r="P118" i="13"/>
  <c r="P120" i="13"/>
  <c r="F124" i="13"/>
  <c r="C39" i="15"/>
  <c r="O119" i="13"/>
  <c r="G119" i="13"/>
  <c r="K119" i="13"/>
  <c r="C41" i="15"/>
  <c r="O121" i="13"/>
  <c r="G121" i="13"/>
  <c r="K121" i="13"/>
  <c r="I121" i="13"/>
  <c r="C43" i="15"/>
  <c r="S25" i="2" s="1"/>
  <c r="O123" i="13"/>
  <c r="G123" i="13"/>
  <c r="K123" i="13"/>
  <c r="I123" i="13"/>
  <c r="E112" i="13"/>
  <c r="M112" i="13"/>
  <c r="E114" i="13"/>
  <c r="M114" i="13"/>
  <c r="E116" i="13"/>
  <c r="I19" i="3" s="1"/>
  <c r="C105" i="15" s="1"/>
  <c r="M116" i="13"/>
  <c r="F118" i="13"/>
  <c r="E119" i="13"/>
  <c r="I22" i="3" s="1"/>
  <c r="P119" i="13"/>
  <c r="E121" i="13"/>
  <c r="I26" i="3" s="1"/>
  <c r="F122" i="13"/>
  <c r="F123" i="13"/>
  <c r="H124" i="13"/>
  <c r="D96" i="15"/>
  <c r="D51" i="15"/>
  <c r="D52" i="15" s="1"/>
  <c r="L96" i="15"/>
  <c r="L51" i="15"/>
  <c r="L52" i="15" s="1"/>
  <c r="F112" i="13"/>
  <c r="N112" i="13"/>
  <c r="F114" i="13"/>
  <c r="N114" i="13"/>
  <c r="F116" i="13"/>
  <c r="N116" i="13"/>
  <c r="H118" i="13"/>
  <c r="F119" i="13"/>
  <c r="F120" i="13"/>
  <c r="F121" i="13"/>
  <c r="H122" i="13"/>
  <c r="H123" i="13"/>
  <c r="I124" i="13"/>
  <c r="J92" i="15"/>
  <c r="I92" i="15"/>
  <c r="B174" i="15"/>
  <c r="N92" i="15"/>
  <c r="D92" i="15"/>
  <c r="M92" i="15"/>
  <c r="L92" i="15"/>
  <c r="K92" i="15"/>
  <c r="H92" i="15"/>
  <c r="G92" i="15"/>
  <c r="F92" i="15"/>
  <c r="E92" i="15"/>
  <c r="M68" i="13" l="1"/>
  <c r="H28" i="3"/>
  <c r="E17" i="4"/>
  <c r="D30" i="4"/>
  <c r="G30" i="4" s="1"/>
  <c r="E38" i="4"/>
  <c r="E15" i="3"/>
  <c r="C101" i="15" s="1"/>
  <c r="C108" i="15"/>
  <c r="G69" i="15"/>
  <c r="E28" i="5"/>
  <c r="D39" i="4"/>
  <c r="G39" i="4" s="1"/>
  <c r="D33" i="4"/>
  <c r="G33" i="4" s="1"/>
  <c r="I17" i="3"/>
  <c r="C103" i="15" s="1"/>
  <c r="D10" i="5"/>
  <c r="I15" i="3"/>
  <c r="D26" i="4"/>
  <c r="G26" i="4" s="1"/>
  <c r="H17" i="3"/>
  <c r="E29" i="3"/>
  <c r="E24" i="1" s="1"/>
  <c r="D25" i="4"/>
  <c r="G25" i="4" s="1"/>
  <c r="E24" i="4"/>
  <c r="D13" i="5"/>
  <c r="I12" i="3"/>
  <c r="P68" i="13"/>
  <c r="B106" i="15"/>
  <c r="H14" i="3"/>
  <c r="B100" i="15" s="1"/>
  <c r="E30" i="4"/>
  <c r="H18" i="3"/>
  <c r="J18" i="3" s="1"/>
  <c r="K18" i="3" s="1"/>
  <c r="I29" i="3"/>
  <c r="I24" i="1" s="1"/>
  <c r="I28" i="3"/>
  <c r="I18" i="3"/>
  <c r="C104" i="15" s="1"/>
  <c r="I21" i="3"/>
  <c r="F23" i="15"/>
  <c r="G22" i="2" s="1"/>
  <c r="F21" i="15"/>
  <c r="G18" i="2" s="1"/>
  <c r="D35" i="4"/>
  <c r="G35" i="4" s="1"/>
  <c r="Q13" i="2"/>
  <c r="E25" i="5"/>
  <c r="D21" i="3"/>
  <c r="B107" i="15" s="1"/>
  <c r="D15" i="4"/>
  <c r="E35" i="5"/>
  <c r="I8" i="15"/>
  <c r="I25" i="15" s="1"/>
  <c r="J25" i="2" s="1"/>
  <c r="D14" i="4"/>
  <c r="G14" i="4" s="1"/>
  <c r="H23" i="3"/>
  <c r="B109" i="15" s="1"/>
  <c r="E31" i="3"/>
  <c r="E26" i="1" s="1"/>
  <c r="I31" i="3"/>
  <c r="I23" i="3"/>
  <c r="I14" i="3"/>
  <c r="C100" i="15" s="1"/>
  <c r="F42" i="4"/>
  <c r="F44" i="4" s="1"/>
  <c r="E16" i="5"/>
  <c r="H26" i="3"/>
  <c r="D9" i="4"/>
  <c r="G9" i="4" s="1"/>
  <c r="G12" i="4" s="1"/>
  <c r="H12" i="3"/>
  <c r="H18" i="1" s="1"/>
  <c r="D37" i="4"/>
  <c r="G37" i="4" s="1"/>
  <c r="E20" i="3"/>
  <c r="C106" i="15" s="1"/>
  <c r="D25" i="5"/>
  <c r="D16" i="4"/>
  <c r="G16" i="4" s="1"/>
  <c r="D23" i="4"/>
  <c r="G23" i="4" s="1"/>
  <c r="E16" i="4"/>
  <c r="E21" i="3"/>
  <c r="C107" i="15" s="1"/>
  <c r="D107" i="15" s="1"/>
  <c r="H18" i="15"/>
  <c r="I15" i="2" s="1"/>
  <c r="H21" i="15"/>
  <c r="I18" i="2" s="1"/>
  <c r="H19" i="15"/>
  <c r="I16" i="2" s="1"/>
  <c r="E12" i="3"/>
  <c r="E18" i="1" s="1"/>
  <c r="D9" i="3"/>
  <c r="D15" i="1" s="1"/>
  <c r="D11" i="4"/>
  <c r="G11" i="4" s="1"/>
  <c r="E8" i="3"/>
  <c r="E15" i="4"/>
  <c r="E18" i="4" s="1"/>
  <c r="E14" i="4"/>
  <c r="G15" i="15"/>
  <c r="H12" i="2" s="1"/>
  <c r="D14" i="15"/>
  <c r="E11" i="2" s="1"/>
  <c r="D17" i="15"/>
  <c r="E14" i="2" s="1"/>
  <c r="H15" i="3"/>
  <c r="D60" i="15"/>
  <c r="D72" i="15" s="1"/>
  <c r="E35" i="2" s="1"/>
  <c r="G57" i="15"/>
  <c r="G58" i="15" s="1"/>
  <c r="H40" i="2" s="1"/>
  <c r="G21" i="15"/>
  <c r="H18" i="2" s="1"/>
  <c r="G11" i="15"/>
  <c r="H7" i="2" s="1"/>
  <c r="G61" i="15"/>
  <c r="G73" i="15" s="1"/>
  <c r="H36" i="2" s="1"/>
  <c r="G22" i="15"/>
  <c r="H19" i="2" s="1"/>
  <c r="H26" i="1"/>
  <c r="G10" i="15"/>
  <c r="G91" i="15" s="1"/>
  <c r="G59" i="15"/>
  <c r="G71" i="15" s="1"/>
  <c r="G85" i="15" s="1"/>
  <c r="G20" i="15"/>
  <c r="H17" i="2" s="1"/>
  <c r="F31" i="3"/>
  <c r="F26" i="1" s="1"/>
  <c r="E23" i="3"/>
  <c r="G56" i="15"/>
  <c r="H39" i="2" s="1"/>
  <c r="J69" i="15"/>
  <c r="G60" i="15"/>
  <c r="G72" i="15" s="1"/>
  <c r="H35" i="2" s="1"/>
  <c r="G18" i="15"/>
  <c r="H15" i="2" s="1"/>
  <c r="G16" i="15"/>
  <c r="H13" i="2" s="1"/>
  <c r="G14" i="15"/>
  <c r="H11" i="2" s="1"/>
  <c r="N61" i="15"/>
  <c r="N73" i="15" s="1"/>
  <c r="O36" i="2" s="1"/>
  <c r="H21" i="3"/>
  <c r="E26" i="4"/>
  <c r="E27" i="4" s="1"/>
  <c r="I56" i="15"/>
  <c r="J39" i="2" s="1"/>
  <c r="H60" i="15"/>
  <c r="H72" i="15" s="1"/>
  <c r="I35" i="2" s="1"/>
  <c r="L22" i="15"/>
  <c r="M19" i="2" s="1"/>
  <c r="N12" i="15"/>
  <c r="O9" i="2" s="1"/>
  <c r="I20" i="15"/>
  <c r="J17" i="2" s="1"/>
  <c r="L59" i="15"/>
  <c r="F24" i="15"/>
  <c r="G24" i="2" s="1"/>
  <c r="I61" i="15"/>
  <c r="I73" i="15" s="1"/>
  <c r="J36" i="2" s="1"/>
  <c r="I17" i="15"/>
  <c r="J14" i="2" s="1"/>
  <c r="K69" i="15"/>
  <c r="M22" i="15"/>
  <c r="N19" i="2" s="1"/>
  <c r="E35" i="4"/>
  <c r="E34" i="4"/>
  <c r="E11" i="4"/>
  <c r="E12" i="4" s="1"/>
  <c r="D12" i="5"/>
  <c r="E16" i="3"/>
  <c r="C102" i="15" s="1"/>
  <c r="H19" i="3"/>
  <c r="B105" i="15" s="1"/>
  <c r="D105" i="15" s="1"/>
  <c r="D9" i="5"/>
  <c r="B126" i="15" s="1"/>
  <c r="M126" i="15" s="1"/>
  <c r="E33" i="4"/>
  <c r="E14" i="1"/>
  <c r="D19" i="15"/>
  <c r="E16" i="2" s="1"/>
  <c r="D56" i="15"/>
  <c r="E39" i="2" s="1"/>
  <c r="L18" i="1"/>
  <c r="N18" i="1" s="1"/>
  <c r="O18" i="1" s="1"/>
  <c r="J29" i="3"/>
  <c r="J24" i="1" s="1"/>
  <c r="F57" i="15"/>
  <c r="J12" i="3"/>
  <c r="J18" i="1" s="1"/>
  <c r="F60" i="15"/>
  <c r="F72" i="15" s="1"/>
  <c r="G35" i="2" s="1"/>
  <c r="D22" i="15"/>
  <c r="E19" i="2" s="1"/>
  <c r="F69" i="15"/>
  <c r="L24" i="1"/>
  <c r="N24" i="1" s="1"/>
  <c r="O24" i="1" s="1"/>
  <c r="E28" i="3"/>
  <c r="E23" i="1" s="1"/>
  <c r="E9" i="3"/>
  <c r="H22" i="3"/>
  <c r="B108" i="15" s="1"/>
  <c r="D108" i="15" s="1"/>
  <c r="D59" i="15"/>
  <c r="D71" i="15" s="1"/>
  <c r="D85" i="15" s="1"/>
  <c r="N57" i="15"/>
  <c r="L25" i="15"/>
  <c r="M25" i="2" s="1"/>
  <c r="H24" i="15"/>
  <c r="I24" i="2" s="1"/>
  <c r="N18" i="15"/>
  <c r="O15" i="2" s="1"/>
  <c r="L12" i="15"/>
  <c r="M9" i="2" s="1"/>
  <c r="L23" i="15"/>
  <c r="M22" i="2" s="1"/>
  <c r="I23" i="15"/>
  <c r="J22" i="2" s="1"/>
  <c r="B101" i="15"/>
  <c r="E56" i="15"/>
  <c r="F39" i="2" s="1"/>
  <c r="H61" i="15"/>
  <c r="H73" i="15" s="1"/>
  <c r="I36" i="2" s="1"/>
  <c r="H26" i="15"/>
  <c r="I26" i="2" s="1"/>
  <c r="H13" i="15"/>
  <c r="H11" i="15"/>
  <c r="I7" i="2" s="1"/>
  <c r="L18" i="15"/>
  <c r="M15" i="2" s="1"/>
  <c r="E31" i="4"/>
  <c r="N21" i="15"/>
  <c r="O18" i="2" s="1"/>
  <c r="N16" i="15"/>
  <c r="O13" i="2" s="1"/>
  <c r="L60" i="15"/>
  <c r="L72" i="15" s="1"/>
  <c r="M35" i="2" s="1"/>
  <c r="N59" i="15"/>
  <c r="N71" i="15" s="1"/>
  <c r="O34" i="2" s="1"/>
  <c r="N56" i="15"/>
  <c r="O39" i="2" s="1"/>
  <c r="N23" i="15"/>
  <c r="O22" i="2" s="1"/>
  <c r="L17" i="15"/>
  <c r="M14" i="2" s="1"/>
  <c r="H16" i="15"/>
  <c r="I13" i="2" s="1"/>
  <c r="L15" i="15"/>
  <c r="M12" i="2" s="1"/>
  <c r="L13" i="15"/>
  <c r="H57" i="15"/>
  <c r="H14" i="15"/>
  <c r="I11" i="2" s="1"/>
  <c r="L57" i="15"/>
  <c r="N60" i="15"/>
  <c r="N72" i="15" s="1"/>
  <c r="O35" i="2" s="1"/>
  <c r="N25" i="15"/>
  <c r="O25" i="2" s="1"/>
  <c r="H56" i="15"/>
  <c r="I39" i="2" s="1"/>
  <c r="L61" i="15"/>
  <c r="L73" i="15" s="1"/>
  <c r="M36" i="2" s="1"/>
  <c r="H23" i="15"/>
  <c r="I22" i="2" s="1"/>
  <c r="H10" i="15"/>
  <c r="H91" i="15" s="1"/>
  <c r="N20" i="15"/>
  <c r="O17" i="2" s="1"/>
  <c r="L56" i="15"/>
  <c r="M39" i="2" s="1"/>
  <c r="N26" i="15"/>
  <c r="O26" i="2" s="1"/>
  <c r="L20" i="15"/>
  <c r="M17" i="2" s="1"/>
  <c r="L26" i="15"/>
  <c r="M26" i="2" s="1"/>
  <c r="E24" i="15"/>
  <c r="F24" i="2" s="1"/>
  <c r="N15" i="15"/>
  <c r="O12" i="2" s="1"/>
  <c r="L19" i="15"/>
  <c r="M16" i="2" s="1"/>
  <c r="N13" i="15"/>
  <c r="H59" i="15"/>
  <c r="H71" i="15" s="1"/>
  <c r="H85" i="15" s="1"/>
  <c r="L14" i="15"/>
  <c r="M11" i="2" s="1"/>
  <c r="H22" i="15"/>
  <c r="I19" i="2" s="1"/>
  <c r="E69" i="15"/>
  <c r="I60" i="15"/>
  <c r="I72" i="15" s="1"/>
  <c r="J35" i="2" s="1"/>
  <c r="I26" i="15"/>
  <c r="J26" i="2" s="1"/>
  <c r="J24" i="15"/>
  <c r="K24" i="2" s="1"/>
  <c r="G26" i="15"/>
  <c r="H26" i="2" s="1"/>
  <c r="G13" i="15"/>
  <c r="H10" i="2" s="1"/>
  <c r="G24" i="15"/>
  <c r="H24" i="2" s="1"/>
  <c r="G23" i="15"/>
  <c r="H22" i="2" s="1"/>
  <c r="E20" i="15"/>
  <c r="F17" i="2" s="1"/>
  <c r="I13" i="15"/>
  <c r="J10" i="2" s="1"/>
  <c r="G19" i="15"/>
  <c r="H16" i="2" s="1"/>
  <c r="E59" i="15"/>
  <c r="E71" i="15" s="1"/>
  <c r="E85" i="15" s="1"/>
  <c r="J11" i="15"/>
  <c r="K7" i="2" s="1"/>
  <c r="B102" i="15"/>
  <c r="I59" i="15"/>
  <c r="I71" i="15" s="1"/>
  <c r="E17" i="15"/>
  <c r="F14" i="2" s="1"/>
  <c r="I16" i="15"/>
  <c r="J13" i="2" s="1"/>
  <c r="J56" i="15"/>
  <c r="K39" i="2" s="1"/>
  <c r="J59" i="15"/>
  <c r="J71" i="15" s="1"/>
  <c r="J85" i="15" s="1"/>
  <c r="F20" i="15"/>
  <c r="G17" i="2" s="1"/>
  <c r="F12" i="15"/>
  <c r="G9" i="2" s="1"/>
  <c r="I24" i="15"/>
  <c r="J24" i="2" s="1"/>
  <c r="I11" i="15"/>
  <c r="J7" i="2" s="1"/>
  <c r="D23" i="15"/>
  <c r="E22" i="2" s="1"/>
  <c r="J17" i="15"/>
  <c r="K14" i="2" s="1"/>
  <c r="F19" i="3"/>
  <c r="G19" i="3" s="1"/>
  <c r="M17" i="15"/>
  <c r="N14" i="2" s="1"/>
  <c r="M21" i="15"/>
  <c r="N18" i="2" s="1"/>
  <c r="F16" i="15"/>
  <c r="G13" i="2" s="1"/>
  <c r="F61" i="15"/>
  <c r="F73" i="15" s="1"/>
  <c r="G36" i="2" s="1"/>
  <c r="M59" i="15"/>
  <c r="M71" i="15" s="1"/>
  <c r="M56" i="15"/>
  <c r="N39" i="2" s="1"/>
  <c r="M69" i="15"/>
  <c r="J57" i="15"/>
  <c r="M60" i="15"/>
  <c r="M72" i="15" s="1"/>
  <c r="N35" i="2" s="1"/>
  <c r="J22" i="15"/>
  <c r="K19" i="2" s="1"/>
  <c r="N10" i="15"/>
  <c r="N91" i="15" s="1"/>
  <c r="I22" i="15"/>
  <c r="J19" i="2" s="1"/>
  <c r="D10" i="15"/>
  <c r="D91" i="15" s="1"/>
  <c r="L21" i="15"/>
  <c r="M18" i="2" s="1"/>
  <c r="K10" i="15"/>
  <c r="K91" i="15" s="1"/>
  <c r="F20" i="3"/>
  <c r="G20" i="3" s="1"/>
  <c r="M57" i="15"/>
  <c r="F56" i="15"/>
  <c r="G39" i="2" s="1"/>
  <c r="F26" i="15"/>
  <c r="G26" i="2" s="1"/>
  <c r="J14" i="15"/>
  <c r="K11" i="2" s="1"/>
  <c r="I14" i="15"/>
  <c r="J11" i="2" s="1"/>
  <c r="I57" i="15"/>
  <c r="J60" i="15"/>
  <c r="M20" i="15"/>
  <c r="N17" i="2" s="1"/>
  <c r="F15" i="15"/>
  <c r="G12" i="2" s="1"/>
  <c r="I19" i="15"/>
  <c r="J16" i="2" s="1"/>
  <c r="J25" i="15"/>
  <c r="K25" i="2" s="1"/>
  <c r="I12" i="15"/>
  <c r="J9" i="2" s="1"/>
  <c r="D61" i="15"/>
  <c r="D73" i="15" s="1"/>
  <c r="E36" i="2" s="1"/>
  <c r="K22" i="15"/>
  <c r="L19" i="2" s="1"/>
  <c r="K56" i="15"/>
  <c r="L39" i="2" s="1"/>
  <c r="M15" i="15"/>
  <c r="N12" i="2" s="1"/>
  <c r="K23" i="15"/>
  <c r="L22" i="2" s="1"/>
  <c r="D21" i="15"/>
  <c r="E18" i="2" s="1"/>
  <c r="J15" i="15"/>
  <c r="K12" i="2" s="1"/>
  <c r="D24" i="15"/>
  <c r="E24" i="2" s="1"/>
  <c r="N22" i="15"/>
  <c r="O19" i="2" s="1"/>
  <c r="K21" i="15"/>
  <c r="L18" i="2" s="1"/>
  <c r="K15" i="15"/>
  <c r="L12" i="2" s="1"/>
  <c r="K26" i="15"/>
  <c r="L26" i="2" s="1"/>
  <c r="Q19" i="2"/>
  <c r="K59" i="15"/>
  <c r="K71" i="15" s="1"/>
  <c r="K85" i="15" s="1"/>
  <c r="D20" i="15"/>
  <c r="E17" i="2" s="1"/>
  <c r="D15" i="15"/>
  <c r="E12" i="2" s="1"/>
  <c r="G68" i="13"/>
  <c r="F17" i="15"/>
  <c r="G14" i="2" s="1"/>
  <c r="L21" i="1"/>
  <c r="N21" i="1" s="1"/>
  <c r="O21" i="1" s="1"/>
  <c r="H21" i="1"/>
  <c r="K57" i="15"/>
  <c r="M25" i="15"/>
  <c r="N25" i="2" s="1"/>
  <c r="K19" i="15"/>
  <c r="L16" i="2" s="1"/>
  <c r="K14" i="15"/>
  <c r="L11" i="2" s="1"/>
  <c r="K25" i="15"/>
  <c r="L25" i="2" s="1"/>
  <c r="M26" i="15"/>
  <c r="N26" i="2" s="1"/>
  <c r="K20" i="15"/>
  <c r="L17" i="2" s="1"/>
  <c r="M24" i="15"/>
  <c r="N24" i="2" s="1"/>
  <c r="F19" i="15"/>
  <c r="G16" i="2" s="1"/>
  <c r="D13" i="15"/>
  <c r="E10" i="2" s="1"/>
  <c r="E13" i="5"/>
  <c r="F23" i="3"/>
  <c r="G23" i="3" s="1"/>
  <c r="K61" i="15"/>
  <c r="K73" i="15" s="1"/>
  <c r="L36" i="2" s="1"/>
  <c r="K24" i="15"/>
  <c r="L24" i="2" s="1"/>
  <c r="K18" i="15"/>
  <c r="L15" i="2" s="1"/>
  <c r="D16" i="15"/>
  <c r="E13" i="2" s="1"/>
  <c r="D57" i="15"/>
  <c r="D58" i="15" s="1"/>
  <c r="E40" i="2" s="1"/>
  <c r="D25" i="15"/>
  <c r="E25" i="2" s="1"/>
  <c r="D26" i="15"/>
  <c r="E26" i="2" s="1"/>
  <c r="K60" i="15"/>
  <c r="K72" i="15" s="1"/>
  <c r="L35" i="2" s="1"/>
  <c r="D69" i="15"/>
  <c r="M12" i="15"/>
  <c r="N9" i="2" s="1"/>
  <c r="M23" i="15"/>
  <c r="N22" i="2" s="1"/>
  <c r="F18" i="15"/>
  <c r="G15" i="2" s="1"/>
  <c r="D12" i="15"/>
  <c r="E9" i="2" s="1"/>
  <c r="M18" i="15"/>
  <c r="N15" i="2" s="1"/>
  <c r="F13" i="15"/>
  <c r="G10" i="2" s="1"/>
  <c r="D18" i="15"/>
  <c r="E15" i="2" s="1"/>
  <c r="N68" i="13"/>
  <c r="L10" i="15" s="1"/>
  <c r="E29" i="5"/>
  <c r="I15" i="15"/>
  <c r="J12" i="2" s="1"/>
  <c r="L11" i="15"/>
  <c r="M7" i="2" s="1"/>
  <c r="K17" i="15"/>
  <c r="L14" i="2" s="1"/>
  <c r="K12" i="15"/>
  <c r="L9" i="2" s="1"/>
  <c r="M16" i="15"/>
  <c r="N13" i="2" s="1"/>
  <c r="F11" i="15"/>
  <c r="G7" i="2" s="1"/>
  <c r="D28" i="5"/>
  <c r="D30" i="5" s="1"/>
  <c r="I81" i="15"/>
  <c r="I53" i="15"/>
  <c r="I54" i="15" s="1"/>
  <c r="J16" i="3"/>
  <c r="K16" i="3" s="1"/>
  <c r="L81" i="15"/>
  <c r="L53" i="15"/>
  <c r="L54" i="15" s="1"/>
  <c r="J20" i="3"/>
  <c r="K20" i="3" s="1"/>
  <c r="D81" i="15"/>
  <c r="D53" i="15"/>
  <c r="D54" i="15" s="1"/>
  <c r="F81" i="15"/>
  <c r="F53" i="15"/>
  <c r="F54" i="15" s="1"/>
  <c r="K53" i="15"/>
  <c r="K54" i="15" s="1"/>
  <c r="K81" i="15"/>
  <c r="I10" i="3"/>
  <c r="I14" i="1"/>
  <c r="I23" i="1"/>
  <c r="E65" i="15"/>
  <c r="G44" i="13"/>
  <c r="G38" i="4"/>
  <c r="C66" i="15"/>
  <c r="C63" i="15"/>
  <c r="C62" i="15"/>
  <c r="C64" i="15"/>
  <c r="C21" i="15"/>
  <c r="D18" i="2" s="1"/>
  <c r="I65" i="15"/>
  <c r="K44" i="13"/>
  <c r="J15" i="3"/>
  <c r="K15" i="3" s="1"/>
  <c r="J31" i="3"/>
  <c r="J26" i="1" s="1"/>
  <c r="I26" i="1"/>
  <c r="L71" i="15"/>
  <c r="L85" i="15" s="1"/>
  <c r="J73" i="15"/>
  <c r="K36" i="2" s="1"/>
  <c r="J16" i="15"/>
  <c r="K13" i="2" s="1"/>
  <c r="C11" i="15"/>
  <c r="D7" i="2" s="1"/>
  <c r="J19" i="15"/>
  <c r="K16" i="2" s="1"/>
  <c r="C14" i="15"/>
  <c r="D11" i="2" s="1"/>
  <c r="N65" i="15"/>
  <c r="P44" i="13"/>
  <c r="L65" i="15"/>
  <c r="N44" i="13"/>
  <c r="J23" i="15"/>
  <c r="K22" i="2" s="1"/>
  <c r="C18" i="15"/>
  <c r="D15" i="2" s="1"/>
  <c r="H5" i="2"/>
  <c r="H29" i="2"/>
  <c r="I29" i="2"/>
  <c r="I5" i="2"/>
  <c r="Q17" i="2"/>
  <c r="D18" i="1"/>
  <c r="F12" i="3"/>
  <c r="G15" i="4"/>
  <c r="E10" i="5"/>
  <c r="F85" i="15"/>
  <c r="F62" i="15"/>
  <c r="F64" i="15"/>
  <c r="F63" i="15"/>
  <c r="F66" i="15"/>
  <c r="F68" i="15"/>
  <c r="M93" i="15"/>
  <c r="M89" i="15"/>
  <c r="M87" i="15"/>
  <c r="M85" i="15"/>
  <c r="M83" i="15"/>
  <c r="M66" i="15"/>
  <c r="M64" i="15"/>
  <c r="M62" i="15"/>
  <c r="M84" i="15"/>
  <c r="M90" i="15"/>
  <c r="M88" i="15"/>
  <c r="M86" i="15"/>
  <c r="M63" i="15"/>
  <c r="Q7" i="2"/>
  <c r="H20" i="15"/>
  <c r="I17" i="2" s="1"/>
  <c r="N14" i="15"/>
  <c r="O11" i="2" s="1"/>
  <c r="K68" i="13"/>
  <c r="I10" i="15" s="1"/>
  <c r="L68" i="13"/>
  <c r="J10" i="15" s="1"/>
  <c r="J13" i="15"/>
  <c r="E66" i="15"/>
  <c r="E64" i="15"/>
  <c r="E62" i="15"/>
  <c r="E63" i="15"/>
  <c r="C16" i="15"/>
  <c r="D13" i="2" s="1"/>
  <c r="E11" i="15"/>
  <c r="F7" i="2" s="1"/>
  <c r="J22" i="3"/>
  <c r="K22" i="3" s="1"/>
  <c r="M80" i="15"/>
  <c r="M52" i="15"/>
  <c r="H80" i="15"/>
  <c r="H52" i="15"/>
  <c r="G34" i="2"/>
  <c r="G52" i="15"/>
  <c r="G80" i="15"/>
  <c r="D15" i="5"/>
  <c r="E15" i="5"/>
  <c r="E11" i="5"/>
  <c r="D11" i="5"/>
  <c r="C24" i="15"/>
  <c r="D24" i="2" s="1"/>
  <c r="H65" i="15"/>
  <c r="J44" i="13"/>
  <c r="I10" i="2"/>
  <c r="L29" i="2"/>
  <c r="L5" i="2"/>
  <c r="E15" i="15"/>
  <c r="F12" i="2" s="1"/>
  <c r="H68" i="13"/>
  <c r="F10" i="15" s="1"/>
  <c r="E18" i="15"/>
  <c r="F15" i="2" s="1"/>
  <c r="J20" i="15"/>
  <c r="K17" i="2" s="1"/>
  <c r="C15" i="15"/>
  <c r="D12" i="2" s="1"/>
  <c r="H17" i="15"/>
  <c r="I14" i="2" s="1"/>
  <c r="N11" i="15"/>
  <c r="O7" i="2" s="1"/>
  <c r="F18" i="3"/>
  <c r="G18" i="3" s="1"/>
  <c r="H8" i="3"/>
  <c r="B155" i="15"/>
  <c r="B154" i="15"/>
  <c r="E17" i="6"/>
  <c r="G17" i="4"/>
  <c r="G89" i="15"/>
  <c r="G64" i="15"/>
  <c r="G87" i="15"/>
  <c r="G86" i="15"/>
  <c r="G66" i="15"/>
  <c r="G62" i="15"/>
  <c r="G63" i="15"/>
  <c r="E29" i="2"/>
  <c r="E5" i="2"/>
  <c r="M29" i="2"/>
  <c r="M5" i="2"/>
  <c r="M19" i="15"/>
  <c r="N16" i="2" s="1"/>
  <c r="F14" i="15"/>
  <c r="G11" i="2" s="1"/>
  <c r="M14" i="15"/>
  <c r="N11" i="2" s="1"/>
  <c r="J65" i="15"/>
  <c r="L44" i="13"/>
  <c r="J21" i="3"/>
  <c r="K21" i="3" s="1"/>
  <c r="E80" i="15"/>
  <c r="E52" i="15"/>
  <c r="S14" i="2"/>
  <c r="Q14" i="2"/>
  <c r="C61" i="15"/>
  <c r="C73" i="15" s="1"/>
  <c r="D36" i="2" s="1"/>
  <c r="H69" i="15"/>
  <c r="C25" i="15"/>
  <c r="D25" i="2" s="1"/>
  <c r="D65" i="15"/>
  <c r="F44" i="13"/>
  <c r="H15" i="1"/>
  <c r="L15" i="1"/>
  <c r="N15" i="1" s="1"/>
  <c r="O15" i="1" s="1"/>
  <c r="G24" i="4"/>
  <c r="E26" i="5"/>
  <c r="H89" i="15"/>
  <c r="H86" i="15"/>
  <c r="H63" i="15"/>
  <c r="H62" i="15"/>
  <c r="H64" i="15"/>
  <c r="H66" i="15"/>
  <c r="G5" i="2"/>
  <c r="G29" i="2"/>
  <c r="E19" i="15"/>
  <c r="F16" i="2" s="1"/>
  <c r="D18" i="4"/>
  <c r="G12" i="15"/>
  <c r="H9" i="2" s="1"/>
  <c r="N81" i="15"/>
  <c r="N53" i="15"/>
  <c r="N54" i="15" s="1"/>
  <c r="F22" i="3"/>
  <c r="G22" i="3" s="1"/>
  <c r="S22" i="2"/>
  <c r="Q22" i="2"/>
  <c r="Q24" i="2"/>
  <c r="S24" i="2"/>
  <c r="J14" i="3"/>
  <c r="K14" i="3" s="1"/>
  <c r="N34" i="2"/>
  <c r="E34" i="2"/>
  <c r="C59" i="15"/>
  <c r="C71" i="15" s="1"/>
  <c r="C85" i="15" s="1"/>
  <c r="C12" i="15"/>
  <c r="D9" i="2" s="1"/>
  <c r="D106" i="15"/>
  <c r="L69" i="15"/>
  <c r="E25" i="15"/>
  <c r="F25" i="2" s="1"/>
  <c r="E12" i="15"/>
  <c r="F9" i="2" s="1"/>
  <c r="E33" i="5"/>
  <c r="D33" i="5"/>
  <c r="N10" i="2"/>
  <c r="E16" i="15"/>
  <c r="F13" i="2" s="1"/>
  <c r="L6" i="2"/>
  <c r="C3" i="5"/>
  <c r="B17" i="9"/>
  <c r="E37" i="7"/>
  <c r="E6" i="4"/>
  <c r="D6" i="3"/>
  <c r="B18" i="9"/>
  <c r="E21" i="6" s="1"/>
  <c r="H21" i="6" s="1"/>
  <c r="E35" i="7"/>
  <c r="E36" i="7" s="1"/>
  <c r="C3" i="4"/>
  <c r="D6" i="5"/>
  <c r="E38" i="7"/>
  <c r="C3" i="3"/>
  <c r="D6" i="4"/>
  <c r="F14" i="3"/>
  <c r="Q9" i="2"/>
  <c r="E21" i="5"/>
  <c r="E22" i="5" s="1"/>
  <c r="I63" i="15"/>
  <c r="I64" i="15"/>
  <c r="I87" i="15"/>
  <c r="I85" i="15"/>
  <c r="I66" i="15"/>
  <c r="I62" i="15"/>
  <c r="I89" i="15"/>
  <c r="F29" i="2"/>
  <c r="F5" i="2"/>
  <c r="J18" i="15"/>
  <c r="K15" i="2" s="1"/>
  <c r="K13" i="15"/>
  <c r="I21" i="1"/>
  <c r="J26" i="3"/>
  <c r="J21" i="1" s="1"/>
  <c r="Q16" i="2"/>
  <c r="S16" i="2"/>
  <c r="C96" i="15"/>
  <c r="C51" i="15"/>
  <c r="S10" i="2"/>
  <c r="Q10" i="2"/>
  <c r="F34" i="2"/>
  <c r="E60" i="15"/>
  <c r="E72" i="15" s="1"/>
  <c r="F35" i="2" s="1"/>
  <c r="C19" i="15"/>
  <c r="D16" i="2" s="1"/>
  <c r="C22" i="15"/>
  <c r="D19" i="2" s="1"/>
  <c r="F65" i="15"/>
  <c r="H44" i="13"/>
  <c r="O68" i="13"/>
  <c r="M10" i="15" s="1"/>
  <c r="J5" i="2"/>
  <c r="J29" i="2"/>
  <c r="E13" i="15"/>
  <c r="C26" i="15"/>
  <c r="D26" i="2" s="1"/>
  <c r="K65" i="15"/>
  <c r="M44" i="13"/>
  <c r="D17" i="3"/>
  <c r="D24" i="3" s="1"/>
  <c r="D23" i="1"/>
  <c r="F28" i="3"/>
  <c r="D31" i="4"/>
  <c r="G29" i="4"/>
  <c r="G31" i="4" s="1"/>
  <c r="J66" i="15"/>
  <c r="J63" i="15"/>
  <c r="J62" i="15"/>
  <c r="J64" i="15"/>
  <c r="G17" i="15"/>
  <c r="H14" i="2" s="1"/>
  <c r="I18" i="15"/>
  <c r="J15" i="2" s="1"/>
  <c r="C13" i="15"/>
  <c r="K94" i="15"/>
  <c r="J94" i="15"/>
  <c r="I94" i="15"/>
  <c r="N94" i="15"/>
  <c r="M94" i="15"/>
  <c r="L94" i="15"/>
  <c r="H94" i="15"/>
  <c r="G94" i="15"/>
  <c r="F94" i="15"/>
  <c r="E94" i="15"/>
  <c r="D94" i="15"/>
  <c r="C94" i="15"/>
  <c r="C50" i="15"/>
  <c r="S6" i="2"/>
  <c r="Q6" i="2"/>
  <c r="O10" i="2"/>
  <c r="E22" i="15"/>
  <c r="F19" i="2" s="1"/>
  <c r="C60" i="15"/>
  <c r="C72" i="15" s="1"/>
  <c r="D35" i="2" s="1"/>
  <c r="J21" i="15"/>
  <c r="K18" i="2" s="1"/>
  <c r="G65" i="15"/>
  <c r="I44" i="13"/>
  <c r="E23" i="15"/>
  <c r="F22" i="2" s="1"/>
  <c r="E26" i="15"/>
  <c r="F26" i="2" s="1"/>
  <c r="M65" i="15"/>
  <c r="O44" i="13"/>
  <c r="C23" i="15"/>
  <c r="D22" i="2" s="1"/>
  <c r="J12" i="15"/>
  <c r="K9" i="2" s="1"/>
  <c r="H25" i="15"/>
  <c r="I25" i="2" s="1"/>
  <c r="N19" i="15"/>
  <c r="O16" i="2" s="1"/>
  <c r="C10" i="15"/>
  <c r="C93" i="15" s="1"/>
  <c r="D8" i="3"/>
  <c r="Q25" i="2"/>
  <c r="E17" i="5"/>
  <c r="D24" i="1"/>
  <c r="F29" i="3"/>
  <c r="K62" i="15"/>
  <c r="K89" i="15"/>
  <c r="K87" i="15"/>
  <c r="K64" i="15"/>
  <c r="K66" i="15"/>
  <c r="K63" i="15"/>
  <c r="D89" i="15"/>
  <c r="D64" i="15"/>
  <c r="D62" i="15"/>
  <c r="D86" i="15"/>
  <c r="D66" i="15"/>
  <c r="D63" i="15"/>
  <c r="E39" i="7"/>
  <c r="K29" i="3"/>
  <c r="K24" i="1" s="1"/>
  <c r="F22" i="15"/>
  <c r="G19" i="2" s="1"/>
  <c r="L16" i="15"/>
  <c r="M13" i="2" s="1"/>
  <c r="D29" i="2"/>
  <c r="D5" i="2"/>
  <c r="M20" i="1"/>
  <c r="M22" i="1" s="1"/>
  <c r="M25" i="1" s="1"/>
  <c r="M27" i="1" s="1"/>
  <c r="M28" i="1" s="1"/>
  <c r="M17" i="1"/>
  <c r="E14" i="15"/>
  <c r="F11" i="2" s="1"/>
  <c r="H12" i="15"/>
  <c r="I9" i="2" s="1"/>
  <c r="J19" i="3"/>
  <c r="K19" i="3" s="1"/>
  <c r="S26" i="2"/>
  <c r="Q26" i="2"/>
  <c r="C92" i="15"/>
  <c r="S18" i="2"/>
  <c r="Q18" i="2"/>
  <c r="J52" i="15"/>
  <c r="J80" i="15"/>
  <c r="N69" i="15"/>
  <c r="Q12" i="2"/>
  <c r="S12" i="2"/>
  <c r="J9" i="3"/>
  <c r="J15" i="1" s="1"/>
  <c r="I15" i="1"/>
  <c r="E61" i="15"/>
  <c r="E73" i="15" s="1"/>
  <c r="F36" i="2" s="1"/>
  <c r="J72" i="15"/>
  <c r="K35" i="2" s="1"/>
  <c r="C69" i="15"/>
  <c r="E57" i="15"/>
  <c r="I69" i="15"/>
  <c r="I18" i="1"/>
  <c r="G45" i="15"/>
  <c r="H6" i="2"/>
  <c r="C56" i="15"/>
  <c r="D39" i="2" s="1"/>
  <c r="C17" i="15"/>
  <c r="D14" i="2" s="1"/>
  <c r="C20" i="15"/>
  <c r="D17" i="2" s="1"/>
  <c r="E10" i="15"/>
  <c r="M10" i="2"/>
  <c r="C65" i="15"/>
  <c r="E44" i="13"/>
  <c r="E21" i="1"/>
  <c r="F26" i="3"/>
  <c r="F21" i="1" s="1"/>
  <c r="N29" i="2"/>
  <c r="N5" i="2"/>
  <c r="N93" i="15"/>
  <c r="N89" i="15"/>
  <c r="N87" i="15"/>
  <c r="N85" i="15"/>
  <c r="N83" i="15"/>
  <c r="N84" i="15"/>
  <c r="N90" i="15"/>
  <c r="N68" i="15"/>
  <c r="N86" i="15"/>
  <c r="N63" i="15"/>
  <c r="N88" i="15"/>
  <c r="N66" i="15"/>
  <c r="N62" i="15"/>
  <c r="N64" i="15"/>
  <c r="L66" i="15"/>
  <c r="L63" i="15"/>
  <c r="L62" i="15"/>
  <c r="L68" i="15"/>
  <c r="L64" i="15"/>
  <c r="L89" i="15"/>
  <c r="O29" i="2"/>
  <c r="O5" i="2"/>
  <c r="J28" i="3"/>
  <c r="J23" i="1" s="1"/>
  <c r="L23" i="1"/>
  <c r="N23" i="1" s="1"/>
  <c r="O23" i="1" s="1"/>
  <c r="H23" i="1"/>
  <c r="N17" i="15"/>
  <c r="O14" i="2" s="1"/>
  <c r="K29" i="2"/>
  <c r="K5" i="2"/>
  <c r="K16" i="15"/>
  <c r="L13" i="2" s="1"/>
  <c r="M11" i="15"/>
  <c r="N7" i="2" s="1"/>
  <c r="E27" i="5"/>
  <c r="D100" i="15" l="1"/>
  <c r="I24" i="3"/>
  <c r="I19" i="1" s="1"/>
  <c r="I21" i="15"/>
  <c r="J18" i="2" s="1"/>
  <c r="P18" i="2" s="1"/>
  <c r="R18" i="2" s="1"/>
  <c r="J23" i="3"/>
  <c r="K23" i="3" s="1"/>
  <c r="D101" i="15"/>
  <c r="J17" i="3"/>
  <c r="K17" i="3" s="1"/>
  <c r="I6" i="2"/>
  <c r="D40" i="4"/>
  <c r="G40" i="4"/>
  <c r="F15" i="3"/>
  <c r="G15" i="3" s="1"/>
  <c r="E24" i="3"/>
  <c r="B117" i="15"/>
  <c r="D12" i="4"/>
  <c r="D27" i="4"/>
  <c r="E25" i="6" s="1"/>
  <c r="H25" i="6" s="1"/>
  <c r="B129" i="15"/>
  <c r="O129" i="15" s="1"/>
  <c r="G31" i="3"/>
  <c r="G26" i="1" s="1"/>
  <c r="B104" i="15"/>
  <c r="D104" i="15" s="1"/>
  <c r="D87" i="15"/>
  <c r="G27" i="4"/>
  <c r="F21" i="3"/>
  <c r="G21" i="3" s="1"/>
  <c r="C109" i="15"/>
  <c r="D109" i="15" s="1"/>
  <c r="J89" i="15"/>
  <c r="E89" i="15"/>
  <c r="O126" i="15"/>
  <c r="L87" i="15"/>
  <c r="K12" i="3"/>
  <c r="K18" i="1" s="1"/>
  <c r="J87" i="15"/>
  <c r="F89" i="15"/>
  <c r="I126" i="15"/>
  <c r="E58" i="15"/>
  <c r="F40" i="2" s="1"/>
  <c r="L86" i="15"/>
  <c r="L93" i="15"/>
  <c r="F86" i="15"/>
  <c r="I86" i="15"/>
  <c r="O6" i="2"/>
  <c r="E19" i="4"/>
  <c r="D68" i="15"/>
  <c r="J86" i="15"/>
  <c r="H68" i="15"/>
  <c r="K86" i="15"/>
  <c r="H45" i="15"/>
  <c r="D102" i="15"/>
  <c r="K93" i="15"/>
  <c r="J93" i="15"/>
  <c r="K45" i="15"/>
  <c r="K76" i="15" s="1"/>
  <c r="G90" i="15"/>
  <c r="G68" i="15"/>
  <c r="N58" i="15"/>
  <c r="O40" i="2" s="1"/>
  <c r="K68" i="15"/>
  <c r="I68" i="15"/>
  <c r="I58" i="15"/>
  <c r="H87" i="15"/>
  <c r="D21" i="5"/>
  <c r="D22" i="5" s="1"/>
  <c r="B128" i="15" s="1"/>
  <c r="O128" i="15" s="1"/>
  <c r="H58" i="15"/>
  <c r="E40" i="4"/>
  <c r="E41" i="4" s="1"/>
  <c r="E42" i="4" s="1"/>
  <c r="E44" i="4" s="1"/>
  <c r="H24" i="3"/>
  <c r="L19" i="1" s="1"/>
  <c r="N19" i="1" s="1"/>
  <c r="O19" i="1" s="1"/>
  <c r="I93" i="15"/>
  <c r="L58" i="15"/>
  <c r="H93" i="15"/>
  <c r="F87" i="15"/>
  <c r="F16" i="3"/>
  <c r="G93" i="15"/>
  <c r="M74" i="15"/>
  <c r="N37" i="2" s="1"/>
  <c r="E15" i="1"/>
  <c r="F9" i="3"/>
  <c r="E10" i="3"/>
  <c r="E25" i="3" s="1"/>
  <c r="D93" i="15"/>
  <c r="F93" i="15"/>
  <c r="I74" i="15"/>
  <c r="M68" i="15"/>
  <c r="D74" i="15"/>
  <c r="E30" i="5"/>
  <c r="P17" i="2"/>
  <c r="R17" i="2" s="1"/>
  <c r="G14" i="3"/>
  <c r="E86" i="15"/>
  <c r="E87" i="15"/>
  <c r="L45" i="15"/>
  <c r="L76" i="15" s="1"/>
  <c r="M75" i="15"/>
  <c r="N38" i="2" s="1"/>
  <c r="E22" i="6"/>
  <c r="H22" i="6" s="1"/>
  <c r="E90" i="15"/>
  <c r="E93" i="15"/>
  <c r="C75" i="15"/>
  <c r="D38" i="2" s="1"/>
  <c r="F58" i="15"/>
  <c r="J68" i="15"/>
  <c r="F74" i="15"/>
  <c r="J58" i="15"/>
  <c r="D46" i="15"/>
  <c r="D79" i="15" s="1"/>
  <c r="E33" i="2" s="1"/>
  <c r="L46" i="15"/>
  <c r="L79" i="15" s="1"/>
  <c r="M33" i="2" s="1"/>
  <c r="D95" i="15"/>
  <c r="L95" i="15"/>
  <c r="E6" i="2"/>
  <c r="M58" i="15"/>
  <c r="N40" i="2" s="1"/>
  <c r="D41" i="4"/>
  <c r="D42" i="4" s="1"/>
  <c r="D45" i="15"/>
  <c r="D76" i="15" s="1"/>
  <c r="L129" i="15"/>
  <c r="P14" i="2"/>
  <c r="R14" i="2" s="1"/>
  <c r="D90" i="15"/>
  <c r="K58" i="15"/>
  <c r="J34" i="2"/>
  <c r="G26" i="3"/>
  <c r="G21" i="1" s="1"/>
  <c r="L75" i="15"/>
  <c r="M38" i="2" s="1"/>
  <c r="I75" i="15"/>
  <c r="J38" i="2" s="1"/>
  <c r="H129" i="15"/>
  <c r="N75" i="15"/>
  <c r="O38" i="2" s="1"/>
  <c r="K31" i="3"/>
  <c r="K26" i="1" s="1"/>
  <c r="P19" i="2"/>
  <c r="R19" i="2" s="1"/>
  <c r="M46" i="15"/>
  <c r="M79" i="15" s="1"/>
  <c r="N33" i="2" s="1"/>
  <c r="K75" i="15"/>
  <c r="L38" i="2" s="1"/>
  <c r="M95" i="15"/>
  <c r="M6" i="2"/>
  <c r="D75" i="15"/>
  <c r="E38" i="2" s="1"/>
  <c r="L91" i="15"/>
  <c r="P24" i="2"/>
  <c r="R24" i="2" s="1"/>
  <c r="D10" i="6"/>
  <c r="D19" i="1"/>
  <c r="C46" i="15"/>
  <c r="C95" i="15"/>
  <c r="D10" i="2"/>
  <c r="J81" i="15"/>
  <c r="J53" i="15"/>
  <c r="J54" i="15" s="1"/>
  <c r="J45" i="15"/>
  <c r="K6" i="2"/>
  <c r="J91" i="15"/>
  <c r="F46" i="15"/>
  <c r="H74" i="15"/>
  <c r="I34" i="2"/>
  <c r="K28" i="3"/>
  <c r="K23" i="1" s="1"/>
  <c r="N95" i="15"/>
  <c r="J75" i="15"/>
  <c r="K38" i="2" s="1"/>
  <c r="E15" i="6"/>
  <c r="E16" i="6"/>
  <c r="H16" i="6" s="1"/>
  <c r="K9" i="3"/>
  <c r="K15" i="1" s="1"/>
  <c r="F24" i="1"/>
  <c r="G29" i="3"/>
  <c r="G24" i="1" s="1"/>
  <c r="D19" i="4"/>
  <c r="G41" i="4"/>
  <c r="G42" i="4" s="1"/>
  <c r="E95" i="15"/>
  <c r="E46" i="15"/>
  <c r="F10" i="2"/>
  <c r="Q20" i="2"/>
  <c r="S20" i="2"/>
  <c r="K95" i="15"/>
  <c r="K46" i="15"/>
  <c r="L10" i="2"/>
  <c r="F24" i="3"/>
  <c r="E19" i="1"/>
  <c r="L8" i="2"/>
  <c r="G46" i="15"/>
  <c r="G47" i="15" s="1"/>
  <c r="E81" i="15"/>
  <c r="E53" i="15"/>
  <c r="E54" i="15" s="1"/>
  <c r="J8" i="3"/>
  <c r="B26" i="12"/>
  <c r="C26" i="12" s="1"/>
  <c r="H10" i="3"/>
  <c r="E8" i="6"/>
  <c r="H8" i="6" s="1"/>
  <c r="L14" i="1"/>
  <c r="H14" i="1"/>
  <c r="P12" i="2"/>
  <c r="R12" i="2" s="1"/>
  <c r="H46" i="15"/>
  <c r="H47" i="15" s="1"/>
  <c r="E68" i="15"/>
  <c r="I45" i="15"/>
  <c r="J6" i="2"/>
  <c r="I91" i="15"/>
  <c r="F95" i="15"/>
  <c r="C68" i="15"/>
  <c r="G76" i="15"/>
  <c r="H8" i="2"/>
  <c r="P26" i="2"/>
  <c r="R26" i="2" s="1"/>
  <c r="E45" i="15"/>
  <c r="F6" i="2"/>
  <c r="E91" i="15"/>
  <c r="P22" i="2"/>
  <c r="R22" i="2" s="1"/>
  <c r="C80" i="15"/>
  <c r="C52" i="15"/>
  <c r="Q8" i="2"/>
  <c r="S8" i="2"/>
  <c r="O117" i="15"/>
  <c r="G95" i="15"/>
  <c r="P9" i="2"/>
  <c r="R9" i="2" s="1"/>
  <c r="H95" i="15"/>
  <c r="M81" i="15"/>
  <c r="M53" i="15"/>
  <c r="M54" i="15" s="1"/>
  <c r="E75" i="15"/>
  <c r="F38" i="2" s="1"/>
  <c r="G18" i="4"/>
  <c r="G19" i="4" s="1"/>
  <c r="K74" i="15"/>
  <c r="L34" i="2"/>
  <c r="C89" i="15"/>
  <c r="J74" i="15"/>
  <c r="K34" i="2"/>
  <c r="F23" i="1"/>
  <c r="G28" i="3"/>
  <c r="G23" i="1" s="1"/>
  <c r="P16" i="2"/>
  <c r="R16" i="2" s="1"/>
  <c r="E20" i="6"/>
  <c r="P15" i="2"/>
  <c r="R15" i="2" s="1"/>
  <c r="C86" i="15"/>
  <c r="M45" i="15"/>
  <c r="N6" i="2"/>
  <c r="M91" i="15"/>
  <c r="P25" i="2"/>
  <c r="R25" i="2" s="1"/>
  <c r="F45" i="15"/>
  <c r="G6" i="2"/>
  <c r="F91" i="15"/>
  <c r="G53" i="15"/>
  <c r="G54" i="15" s="1"/>
  <c r="G81" i="15"/>
  <c r="F18" i="1"/>
  <c r="G12" i="3"/>
  <c r="G18" i="1" s="1"/>
  <c r="B116" i="15"/>
  <c r="P11" i="2"/>
  <c r="R11" i="2" s="1"/>
  <c r="L74" i="15"/>
  <c r="M34" i="2"/>
  <c r="N74" i="15"/>
  <c r="O37" i="2" s="1"/>
  <c r="C135" i="15"/>
  <c r="E8" i="5"/>
  <c r="E18" i="5" s="1"/>
  <c r="D8" i="5"/>
  <c r="D8" i="6"/>
  <c r="D10" i="3"/>
  <c r="D14" i="1"/>
  <c r="F8" i="3"/>
  <c r="D8" i="7"/>
  <c r="H10" i="1" s="1"/>
  <c r="B138" i="15"/>
  <c r="F17" i="3"/>
  <c r="G17" i="3" s="1"/>
  <c r="B103" i="15"/>
  <c r="D103" i="15" s="1"/>
  <c r="C58" i="15"/>
  <c r="H76" i="15"/>
  <c r="I8" i="2"/>
  <c r="B153" i="15"/>
  <c r="H17" i="6"/>
  <c r="C45" i="15"/>
  <c r="D6" i="2"/>
  <c r="C91" i="15"/>
  <c r="N46" i="15"/>
  <c r="E74" i="15"/>
  <c r="K26" i="3"/>
  <c r="K21" i="1" s="1"/>
  <c r="B6" i="15"/>
  <c r="C2" i="2"/>
  <c r="C3" i="6"/>
  <c r="C11" i="1"/>
  <c r="B124" i="15"/>
  <c r="C74" i="15"/>
  <c r="D34" i="2"/>
  <c r="N45" i="15"/>
  <c r="H75" i="15"/>
  <c r="I38" i="2" s="1"/>
  <c r="P7" i="2"/>
  <c r="R7" i="2" s="1"/>
  <c r="I11" i="3"/>
  <c r="I17" i="1" s="1"/>
  <c r="I25" i="3"/>
  <c r="I16" i="1"/>
  <c r="G74" i="15"/>
  <c r="H34" i="2"/>
  <c r="G75" i="15"/>
  <c r="H38" i="2" s="1"/>
  <c r="H53" i="15"/>
  <c r="H54" i="15" s="1"/>
  <c r="H81" i="15"/>
  <c r="P13" i="2"/>
  <c r="R13" i="2" s="1"/>
  <c r="J95" i="15"/>
  <c r="J46" i="15"/>
  <c r="K10" i="2"/>
  <c r="F75" i="15"/>
  <c r="G38" i="2" s="1"/>
  <c r="C87" i="15"/>
  <c r="I46" i="15" l="1"/>
  <c r="I95" i="15"/>
  <c r="M8" i="2"/>
  <c r="M30" i="2"/>
  <c r="L83" i="15"/>
  <c r="M40" i="2"/>
  <c r="L90" i="15"/>
  <c r="M37" i="2"/>
  <c r="L88" i="15"/>
  <c r="K47" i="15"/>
  <c r="L21" i="2" s="1"/>
  <c r="L30" i="2"/>
  <c r="K83" i="15"/>
  <c r="L37" i="2"/>
  <c r="K88" i="15"/>
  <c r="L40" i="2"/>
  <c r="K90" i="15"/>
  <c r="J40" i="2"/>
  <c r="I90" i="15"/>
  <c r="K37" i="2"/>
  <c r="J88" i="15"/>
  <c r="K40" i="2"/>
  <c r="J90" i="15"/>
  <c r="J24" i="3"/>
  <c r="J19" i="1" s="1"/>
  <c r="E10" i="6"/>
  <c r="H10" i="6" s="1"/>
  <c r="H19" i="1"/>
  <c r="J37" i="2"/>
  <c r="I88" i="15"/>
  <c r="I40" i="2"/>
  <c r="H90" i="15"/>
  <c r="E18" i="6"/>
  <c r="H18" i="6" s="1"/>
  <c r="E20" i="1"/>
  <c r="E27" i="3"/>
  <c r="E22" i="1" s="1"/>
  <c r="B113" i="15"/>
  <c r="E113" i="15" s="1"/>
  <c r="I30" i="2"/>
  <c r="H83" i="15"/>
  <c r="I37" i="2"/>
  <c r="H88" i="15"/>
  <c r="G16" i="3"/>
  <c r="B118" i="15"/>
  <c r="L47" i="15"/>
  <c r="M21" i="2" s="1"/>
  <c r="H37" i="2"/>
  <c r="G88" i="15"/>
  <c r="E16" i="1"/>
  <c r="E11" i="3"/>
  <c r="E17" i="1" s="1"/>
  <c r="B115" i="15"/>
  <c r="F15" i="1"/>
  <c r="G9" i="3"/>
  <c r="G15" i="1" s="1"/>
  <c r="E8" i="2"/>
  <c r="E20" i="2"/>
  <c r="H30" i="2"/>
  <c r="G83" i="15"/>
  <c r="M20" i="2"/>
  <c r="E37" i="2"/>
  <c r="D88" i="15"/>
  <c r="G37" i="2"/>
  <c r="F88" i="15"/>
  <c r="G40" i="2"/>
  <c r="F90" i="15"/>
  <c r="F37" i="2"/>
  <c r="E88" i="15"/>
  <c r="D47" i="15"/>
  <c r="E21" i="2" s="1"/>
  <c r="N20" i="2"/>
  <c r="E30" i="2"/>
  <c r="D83" i="15"/>
  <c r="F14" i="1"/>
  <c r="B114" i="15"/>
  <c r="B140" i="15"/>
  <c r="G8" i="3"/>
  <c r="G14" i="1" s="1"/>
  <c r="B139" i="15"/>
  <c r="J10" i="3"/>
  <c r="H11" i="3"/>
  <c r="H25" i="3"/>
  <c r="H16" i="1"/>
  <c r="K77" i="15"/>
  <c r="M76" i="15"/>
  <c r="N30" i="2" s="1"/>
  <c r="M47" i="15"/>
  <c r="N8" i="2"/>
  <c r="I79" i="15"/>
  <c r="J33" i="2" s="1"/>
  <c r="J20" i="2"/>
  <c r="D37" i="2"/>
  <c r="C88" i="15"/>
  <c r="D25" i="3"/>
  <c r="D16" i="1"/>
  <c r="D11" i="3"/>
  <c r="F10" i="3"/>
  <c r="B163" i="15"/>
  <c r="B162" i="15"/>
  <c r="B164" i="15"/>
  <c r="E23" i="6"/>
  <c r="H20" i="6"/>
  <c r="J14" i="1"/>
  <c r="K8" i="3"/>
  <c r="K14" i="1" s="1"/>
  <c r="F19" i="1"/>
  <c r="B119" i="15"/>
  <c r="P10" i="2"/>
  <c r="R10" i="2" s="1"/>
  <c r="B177" i="15"/>
  <c r="B175" i="15"/>
  <c r="B176" i="15"/>
  <c r="H77" i="15"/>
  <c r="H48" i="15"/>
  <c r="I21" i="2"/>
  <c r="I47" i="15"/>
  <c r="I76" i="15"/>
  <c r="J8" i="2"/>
  <c r="J79" i="15"/>
  <c r="K33" i="2" s="1"/>
  <c r="K20" i="2"/>
  <c r="I27" i="3"/>
  <c r="I20" i="1"/>
  <c r="E124" i="15"/>
  <c r="O124" i="15"/>
  <c r="D40" i="2"/>
  <c r="B158" i="15"/>
  <c r="B156" i="15"/>
  <c r="B157" i="15"/>
  <c r="C90" i="15"/>
  <c r="B134" i="15"/>
  <c r="D134" i="15" s="1"/>
  <c r="C53" i="15"/>
  <c r="C81" i="15"/>
  <c r="S21" i="2"/>
  <c r="Q21" i="2"/>
  <c r="G48" i="15"/>
  <c r="G77" i="15"/>
  <c r="H21" i="2"/>
  <c r="H79" i="15"/>
  <c r="I33" i="2" s="1"/>
  <c r="I20" i="2"/>
  <c r="G24" i="3"/>
  <c r="G19" i="1" s="1"/>
  <c r="E79" i="15"/>
  <c r="F33" i="2" s="1"/>
  <c r="F20" i="2"/>
  <c r="J76" i="15"/>
  <c r="J47" i="15"/>
  <c r="K8" i="2"/>
  <c r="C79" i="15"/>
  <c r="D33" i="2" s="1"/>
  <c r="D20" i="2"/>
  <c r="N79" i="15"/>
  <c r="O33" i="2" s="1"/>
  <c r="O20" i="2"/>
  <c r="D18" i="5"/>
  <c r="B125" i="15"/>
  <c r="O116" i="15"/>
  <c r="F76" i="15"/>
  <c r="F47" i="15"/>
  <c r="G8" i="2"/>
  <c r="G79" i="15"/>
  <c r="H33" i="2" s="1"/>
  <c r="H20" i="2"/>
  <c r="K79" i="15"/>
  <c r="L33" i="2" s="1"/>
  <c r="L20" i="2"/>
  <c r="P6" i="2"/>
  <c r="R6" i="2" s="1"/>
  <c r="E32" i="5"/>
  <c r="E34" i="5" s="1"/>
  <c r="E36" i="5" s="1"/>
  <c r="B23" i="12" s="1"/>
  <c r="C23" i="12" s="1"/>
  <c r="N14" i="1"/>
  <c r="O14" i="1" s="1"/>
  <c r="L16" i="1"/>
  <c r="D12" i="7"/>
  <c r="D44" i="4"/>
  <c r="B21" i="12" s="1"/>
  <c r="C21" i="12" s="1"/>
  <c r="N76" i="15"/>
  <c r="O30" i="2" s="1"/>
  <c r="N47" i="15"/>
  <c r="O8" i="2"/>
  <c r="C47" i="15"/>
  <c r="C76" i="15"/>
  <c r="D8" i="2"/>
  <c r="B161" i="15"/>
  <c r="B159" i="15"/>
  <c r="B160" i="15"/>
  <c r="H15" i="6"/>
  <c r="E76" i="15"/>
  <c r="E47" i="15"/>
  <c r="F8" i="2"/>
  <c r="F79" i="15"/>
  <c r="G33" i="2" s="1"/>
  <c r="G20" i="2"/>
  <c r="D10" i="7"/>
  <c r="M10" i="1" s="1"/>
  <c r="B170" i="15" l="1"/>
  <c r="K48" i="15"/>
  <c r="O113" i="15"/>
  <c r="B168" i="15"/>
  <c r="B169" i="15"/>
  <c r="L48" i="15"/>
  <c r="L31" i="2"/>
  <c r="K84" i="15"/>
  <c r="K24" i="3"/>
  <c r="K19" i="1" s="1"/>
  <c r="L77" i="15"/>
  <c r="E30" i="3"/>
  <c r="E25" i="1" s="1"/>
  <c r="K30" i="2"/>
  <c r="J83" i="15"/>
  <c r="J30" i="2"/>
  <c r="I83" i="15"/>
  <c r="I31" i="2"/>
  <c r="H84" i="15"/>
  <c r="O118" i="15"/>
  <c r="D48" i="15"/>
  <c r="D49" i="15" s="1"/>
  <c r="D77" i="15"/>
  <c r="E31" i="2" s="1"/>
  <c r="H31" i="2"/>
  <c r="G84" i="15"/>
  <c r="O115" i="15"/>
  <c r="G30" i="2"/>
  <c r="F83" i="15"/>
  <c r="F30" i="2"/>
  <c r="E83" i="15"/>
  <c r="P8" i="2"/>
  <c r="R8" i="2" s="1"/>
  <c r="J77" i="15"/>
  <c r="J48" i="15"/>
  <c r="K21" i="2"/>
  <c r="G49" i="15"/>
  <c r="H23" i="2"/>
  <c r="H49" i="15"/>
  <c r="I23" i="2"/>
  <c r="F16" i="1"/>
  <c r="G10" i="3"/>
  <c r="G16" i="1" s="1"/>
  <c r="E9" i="6"/>
  <c r="H9" i="6" s="1"/>
  <c r="J17" i="1"/>
  <c r="H17" i="1"/>
  <c r="J11" i="3"/>
  <c r="E11" i="6"/>
  <c r="H11" i="6" s="1"/>
  <c r="J25" i="3"/>
  <c r="H20" i="1"/>
  <c r="H27" i="3"/>
  <c r="D9" i="7"/>
  <c r="D17" i="1"/>
  <c r="D9" i="6"/>
  <c r="F11" i="3"/>
  <c r="F17" i="1"/>
  <c r="B141" i="15"/>
  <c r="B142" i="15"/>
  <c r="B143" i="15"/>
  <c r="M48" i="15"/>
  <c r="M77" i="15"/>
  <c r="N31" i="2" s="1"/>
  <c r="N21" i="2"/>
  <c r="J16" i="1"/>
  <c r="K10" i="3"/>
  <c r="K16" i="1" s="1"/>
  <c r="O119" i="15"/>
  <c r="N16" i="1"/>
  <c r="O16" i="1" s="1"/>
  <c r="L17" i="1"/>
  <c r="N17" i="1" s="1"/>
  <c r="L20" i="1"/>
  <c r="L49" i="15"/>
  <c r="M23" i="2"/>
  <c r="D114" i="15"/>
  <c r="D27" i="3"/>
  <c r="D11" i="6"/>
  <c r="D20" i="1"/>
  <c r="F25" i="3"/>
  <c r="B120" i="15"/>
  <c r="B144" i="15"/>
  <c r="O125" i="15"/>
  <c r="M125" i="15"/>
  <c r="I125" i="15"/>
  <c r="E48" i="15"/>
  <c r="E77" i="15"/>
  <c r="F21" i="2"/>
  <c r="F48" i="15"/>
  <c r="F77" i="15"/>
  <c r="G21" i="2"/>
  <c r="P20" i="2"/>
  <c r="R20" i="2" s="1"/>
  <c r="C54" i="15"/>
  <c r="S23" i="2"/>
  <c r="Q23" i="2"/>
  <c r="D125" i="15"/>
  <c r="B167" i="15"/>
  <c r="B166" i="15"/>
  <c r="B165" i="15"/>
  <c r="H23" i="6"/>
  <c r="K49" i="15"/>
  <c r="L23" i="2"/>
  <c r="B135" i="15"/>
  <c r="D135" i="15" s="1"/>
  <c r="C77" i="15"/>
  <c r="C48" i="15"/>
  <c r="D21" i="2"/>
  <c r="D32" i="5"/>
  <c r="D34" i="5" s="1"/>
  <c r="B151" i="15"/>
  <c r="B152" i="15"/>
  <c r="B127" i="15"/>
  <c r="B150" i="15"/>
  <c r="D11" i="7"/>
  <c r="R10" i="1" s="1"/>
  <c r="O114" i="15"/>
  <c r="I22" i="1"/>
  <c r="I30" i="3"/>
  <c r="D30" i="2"/>
  <c r="C83" i="15"/>
  <c r="N48" i="15"/>
  <c r="N77" i="15"/>
  <c r="O31" i="2" s="1"/>
  <c r="O21" i="2"/>
  <c r="I77" i="15"/>
  <c r="I48" i="15"/>
  <c r="J21" i="2"/>
  <c r="E32" i="3" l="1"/>
  <c r="M31" i="2"/>
  <c r="L84" i="15"/>
  <c r="K31" i="2"/>
  <c r="J84" i="15"/>
  <c r="J31" i="2"/>
  <c r="I84" i="15"/>
  <c r="E23" i="2"/>
  <c r="D84" i="15"/>
  <c r="G31" i="2"/>
  <c r="F84" i="15"/>
  <c r="F31" i="2"/>
  <c r="E84" i="15"/>
  <c r="L78" i="15"/>
  <c r="M32" i="2" s="1"/>
  <c r="L67" i="15"/>
  <c r="M27" i="2"/>
  <c r="S27" i="2"/>
  <c r="Q27" i="2"/>
  <c r="I49" i="15"/>
  <c r="J23" i="2"/>
  <c r="C49" i="15"/>
  <c r="D23" i="2"/>
  <c r="G67" i="15"/>
  <c r="G78" i="15"/>
  <c r="H32" i="2" s="1"/>
  <c r="H27" i="2"/>
  <c r="D67" i="15"/>
  <c r="D78" i="15"/>
  <c r="E32" i="2" s="1"/>
  <c r="E27" i="2"/>
  <c r="E49" i="15"/>
  <c r="F23" i="2"/>
  <c r="N20" i="1"/>
  <c r="O20" i="1" s="1"/>
  <c r="L22" i="1"/>
  <c r="H78" i="15"/>
  <c r="I32" i="2" s="1"/>
  <c r="H67" i="15"/>
  <c r="I27" i="2"/>
  <c r="K78" i="15"/>
  <c r="L32" i="2" s="1"/>
  <c r="K67" i="15"/>
  <c r="L27" i="2"/>
  <c r="D30" i="3"/>
  <c r="F27" i="3"/>
  <c r="D22" i="1"/>
  <c r="E33" i="3"/>
  <c r="E28" i="1" s="1"/>
  <c r="E27" i="1"/>
  <c r="I25" i="1"/>
  <c r="I32" i="3"/>
  <c r="E114" i="15"/>
  <c r="J20" i="1"/>
  <c r="K25" i="3"/>
  <c r="K20" i="1" s="1"/>
  <c r="B171" i="15"/>
  <c r="B172" i="15"/>
  <c r="B173" i="15"/>
  <c r="D36" i="5"/>
  <c r="B22" i="12" s="1"/>
  <c r="C22" i="12" s="1"/>
  <c r="B130" i="15"/>
  <c r="J49" i="15"/>
  <c r="K23" i="2"/>
  <c r="D31" i="2"/>
  <c r="C84" i="15"/>
  <c r="E120" i="15"/>
  <c r="O120" i="15"/>
  <c r="F20" i="1"/>
  <c r="B145" i="15"/>
  <c r="B146" i="15"/>
  <c r="G25" i="3"/>
  <c r="G20" i="1" s="1"/>
  <c r="O127" i="15"/>
  <c r="N49" i="15"/>
  <c r="O23" i="2"/>
  <c r="E125" i="15"/>
  <c r="M49" i="15"/>
  <c r="N23" i="2"/>
  <c r="P21" i="2"/>
  <c r="R21" i="2" s="1"/>
  <c r="F49" i="15"/>
  <c r="G23" i="2"/>
  <c r="J27" i="3"/>
  <c r="H22" i="1"/>
  <c r="E26" i="6"/>
  <c r="H26" i="6" s="1"/>
  <c r="H30" i="3"/>
  <c r="J78" i="15" l="1"/>
  <c r="K32" i="2" s="1"/>
  <c r="J67" i="15"/>
  <c r="K27" i="2"/>
  <c r="I67" i="15"/>
  <c r="I78" i="15"/>
  <c r="J32" i="2" s="1"/>
  <c r="J27" i="2"/>
  <c r="F78" i="15"/>
  <c r="G32" i="2" s="1"/>
  <c r="F67" i="15"/>
  <c r="G27" i="2"/>
  <c r="M78" i="15"/>
  <c r="N32" i="2" s="1"/>
  <c r="M67" i="15"/>
  <c r="N27" i="2"/>
  <c r="D126" i="15"/>
  <c r="F22" i="1"/>
  <c r="G27" i="3"/>
  <c r="G22" i="1" s="1"/>
  <c r="N22" i="1"/>
  <c r="O22" i="1" s="1"/>
  <c r="L25" i="1"/>
  <c r="E42" i="2"/>
  <c r="E41" i="2"/>
  <c r="J22" i="1"/>
  <c r="K27" i="3"/>
  <c r="K22" i="1" s="1"/>
  <c r="H42" i="2"/>
  <c r="H41" i="2"/>
  <c r="M42" i="2"/>
  <c r="M41" i="2"/>
  <c r="D115" i="15"/>
  <c r="D32" i="3"/>
  <c r="D25" i="1"/>
  <c r="F30" i="3"/>
  <c r="I27" i="1"/>
  <c r="I33" i="3"/>
  <c r="I28" i="1" s="1"/>
  <c r="P23" i="2"/>
  <c r="R23" i="2" s="1"/>
  <c r="J30" i="3"/>
  <c r="H32" i="3"/>
  <c r="H25" i="1"/>
  <c r="N78" i="15"/>
  <c r="O32" i="2" s="1"/>
  <c r="N67" i="15"/>
  <c r="O27" i="2"/>
  <c r="O130" i="15"/>
  <c r="E130" i="15"/>
  <c r="I42" i="2"/>
  <c r="I41" i="2"/>
  <c r="L41" i="2"/>
  <c r="L42" i="2"/>
  <c r="E78" i="15"/>
  <c r="F32" i="2" s="1"/>
  <c r="E67" i="15"/>
  <c r="F27" i="2"/>
  <c r="C78" i="15"/>
  <c r="D32" i="2" s="1"/>
  <c r="C67" i="15"/>
  <c r="D27" i="2"/>
  <c r="G41" i="2" l="1"/>
  <c r="G42" i="2"/>
  <c r="F41" i="2"/>
  <c r="F42" i="2"/>
  <c r="O42" i="2"/>
  <c r="O41" i="2"/>
  <c r="J42" i="2"/>
  <c r="J41" i="2"/>
  <c r="F25" i="1"/>
  <c r="G30" i="3"/>
  <c r="G25" i="1" s="1"/>
  <c r="N41" i="2"/>
  <c r="N42" i="2"/>
  <c r="E115" i="15"/>
  <c r="E126" i="15"/>
  <c r="P27" i="2"/>
  <c r="R27" i="2" s="1"/>
  <c r="E13" i="6"/>
  <c r="H13" i="6" s="1"/>
  <c r="J32" i="3"/>
  <c r="H33" i="3"/>
  <c r="H27" i="1"/>
  <c r="D33" i="3"/>
  <c r="D13" i="6"/>
  <c r="D27" i="1"/>
  <c r="F32" i="3"/>
  <c r="B147" i="15"/>
  <c r="D7" i="7"/>
  <c r="C10" i="1" s="1"/>
  <c r="N25" i="1"/>
  <c r="O25" i="1" s="1"/>
  <c r="L27" i="1"/>
  <c r="K41" i="2"/>
  <c r="K42" i="2"/>
  <c r="D41" i="2"/>
  <c r="D42" i="2"/>
  <c r="B28" i="12"/>
  <c r="C28" i="12" s="1"/>
  <c r="J25" i="1"/>
  <c r="K30" i="3"/>
  <c r="K25" i="1" s="1"/>
  <c r="D116" i="15" l="1"/>
  <c r="J27" i="1"/>
  <c r="K32" i="3"/>
  <c r="K27" i="1" s="1"/>
  <c r="D127" i="15"/>
  <c r="F28" i="1"/>
  <c r="D12" i="6"/>
  <c r="D28" i="1"/>
  <c r="F33" i="3"/>
  <c r="N27" i="1"/>
  <c r="O27" i="1" s="1"/>
  <c r="L28" i="1"/>
  <c r="N28" i="1" s="1"/>
  <c r="F27" i="1"/>
  <c r="B148" i="15"/>
  <c r="B149" i="15"/>
  <c r="G32" i="3"/>
  <c r="G27" i="1" s="1"/>
  <c r="E12" i="6"/>
  <c r="H12" i="6" s="1"/>
  <c r="J33" i="3"/>
  <c r="J28" i="1"/>
  <c r="H28" i="1"/>
  <c r="E127" i="15" l="1"/>
  <c r="E116" i="15"/>
  <c r="D128" i="15" l="1"/>
  <c r="D117" i="15"/>
  <c r="E117" i="15" l="1"/>
  <c r="E128" i="15"/>
  <c r="D129" i="15" l="1"/>
  <c r="D118" i="15"/>
  <c r="E118" i="15" l="1"/>
  <c r="D119" i="15" s="1"/>
  <c r="E129" i="15"/>
  <c r="P124" i="15" s="1"/>
  <c r="M128" i="15" l="1"/>
  <c r="I128" i="15"/>
  <c r="M127" i="15"/>
  <c r="I127" i="15"/>
  <c r="F124" i="15"/>
  <c r="G124" i="15"/>
  <c r="J124" i="15"/>
  <c r="N124" i="15"/>
  <c r="L125" i="15"/>
  <c r="K124" i="15"/>
  <c r="N125" i="15"/>
  <c r="F125" i="15"/>
  <c r="H125" i="15"/>
  <c r="J125" i="15"/>
  <c r="G130" i="15"/>
  <c r="N126" i="15"/>
  <c r="N130" i="15"/>
  <c r="F126" i="15"/>
  <c r="F130" i="15"/>
  <c r="L126" i="15"/>
  <c r="H126" i="15"/>
  <c r="J130" i="15"/>
  <c r="K130" i="15"/>
  <c r="J126" i="15"/>
  <c r="N127" i="15"/>
  <c r="L127" i="15"/>
  <c r="F127" i="15"/>
  <c r="J127" i="15"/>
  <c r="H127" i="15"/>
  <c r="J128" i="15"/>
  <c r="N128" i="15"/>
  <c r="H128" i="15"/>
  <c r="L128" i="15"/>
  <c r="F128" i="15"/>
  <c r="F129" i="15"/>
  <c r="J129" i="15"/>
  <c r="I129" i="15"/>
  <c r="M129" i="15"/>
  <c r="N129" i="15"/>
  <c r="E119" i="15"/>
  <c r="B27" i="12" l="1"/>
  <c r="C27" i="12" s="1"/>
  <c r="C3" i="12" s="1"/>
  <c r="P113" i="15"/>
  <c r="H114" i="15" l="1"/>
  <c r="L114" i="15"/>
  <c r="L118" i="15"/>
  <c r="H118" i="15"/>
  <c r="I115" i="15"/>
  <c r="M115" i="15"/>
  <c r="I117" i="15"/>
  <c r="M117" i="15"/>
  <c r="M116" i="15"/>
  <c r="I116" i="15"/>
  <c r="I119" i="15"/>
  <c r="M119" i="15"/>
  <c r="K113" i="15"/>
  <c r="F113" i="15"/>
  <c r="J113" i="15"/>
  <c r="G113" i="15"/>
  <c r="N113" i="15"/>
  <c r="M114" i="15"/>
  <c r="J114" i="15"/>
  <c r="N114" i="15"/>
  <c r="F114" i="15"/>
  <c r="I114" i="15"/>
  <c r="N120" i="15"/>
  <c r="F120" i="15"/>
  <c r="G120" i="15"/>
  <c r="J120" i="15"/>
  <c r="K120" i="15"/>
  <c r="L115" i="15"/>
  <c r="J115" i="15"/>
  <c r="F115" i="15"/>
  <c r="N115" i="15"/>
  <c r="H115" i="15"/>
  <c r="J116" i="15"/>
  <c r="L116" i="15"/>
  <c r="F116" i="15"/>
  <c r="H116" i="15"/>
  <c r="N116" i="15"/>
  <c r="N117" i="15"/>
  <c r="H117" i="15"/>
  <c r="F117" i="15"/>
  <c r="L117" i="15"/>
  <c r="J117" i="15"/>
  <c r="F118" i="15"/>
  <c r="N118" i="15"/>
  <c r="J118" i="15"/>
  <c r="M118" i="15"/>
  <c r="I118" i="15"/>
  <c r="H119" i="15"/>
  <c r="N119" i="15"/>
  <c r="J119" i="15"/>
  <c r="F119" i="15"/>
  <c r="L119" i="15"/>
  <c r="C4" i="4"/>
  <c r="C4" i="3"/>
  <c r="C4" i="6"/>
  <c r="C4" i="5"/>
  <c r="C4" i="7"/>
  <c r="C2" i="1"/>
</calcChain>
</file>

<file path=xl/sharedStrings.xml><?xml version="1.0" encoding="utf-8"?>
<sst xmlns="http://schemas.openxmlformats.org/spreadsheetml/2006/main" count="1173" uniqueCount="623">
  <si>
    <t>Income Statement (management accounts)</t>
  </si>
  <si>
    <t>Year to date</t>
  </si>
  <si>
    <t>US dollars ($)</t>
  </si>
  <si>
    <t>Actual</t>
  </si>
  <si>
    <t>Budget</t>
  </si>
  <si>
    <t>Var $</t>
  </si>
  <si>
    <t>Var %</t>
  </si>
  <si>
    <t>Revenue</t>
  </si>
  <si>
    <t>Cost of sales</t>
  </si>
  <si>
    <t>Gross profit</t>
  </si>
  <si>
    <t xml:space="preserve">  Gross profit margin %</t>
  </si>
  <si>
    <t>Other income</t>
  </si>
  <si>
    <t>Operating expenses</t>
  </si>
  <si>
    <t xml:space="preserve">  Employee costs</t>
  </si>
  <si>
    <t xml:space="preserve">  Rent and occupancy</t>
  </si>
  <si>
    <t xml:space="preserve">  Marketing and advertising</t>
  </si>
  <si>
    <t xml:space="preserve">  Professional fees</t>
  </si>
  <si>
    <t xml:space="preserve">  Motor vehicle and travel</t>
  </si>
  <si>
    <t xml:space="preserve">  Utilities and telecoms</t>
  </si>
  <si>
    <t xml:space="preserve">  Repairs and maintenance</t>
  </si>
  <si>
    <t xml:space="preserve">  Insurance</t>
  </si>
  <si>
    <t xml:space="preserve">  Bank charges</t>
  </si>
  <si>
    <t xml:space="preserve">  Other operating expenses</t>
  </si>
  <si>
    <t>Total operating expenses</t>
  </si>
  <si>
    <t>EBITDA</t>
  </si>
  <si>
    <t>Depreciation and amortization</t>
  </si>
  <si>
    <t>Operating profit (EBIT)</t>
  </si>
  <si>
    <t>Finance income</t>
  </si>
  <si>
    <t>Finance costs</t>
  </si>
  <si>
    <t>Profit before tax</t>
  </si>
  <si>
    <t>Income tax expense</t>
  </si>
  <si>
    <t>Net profit for the period</t>
  </si>
  <si>
    <t xml:space="preserve">  Net profit margin %</t>
  </si>
  <si>
    <t>Variance sign: positive = favorable to profit, negative (red) = adverse. Margin variances are in percentage points.</t>
  </si>
  <si>
    <t>Management accounts: unaudited. Prepared for management use only.</t>
  </si>
  <si>
    <t>Balance Sheet (statement of financial position)</t>
  </si>
  <si>
    <t>Current</t>
  </si>
  <si>
    <t>Prior month</t>
  </si>
  <si>
    <t>Prior year-end</t>
  </si>
  <si>
    <t>Movement YTD</t>
  </si>
  <si>
    <t>ASSETS</t>
  </si>
  <si>
    <t>Non-current assets</t>
  </si>
  <si>
    <t xml:space="preserve">  Property, plant and equipment</t>
  </si>
  <si>
    <t xml:space="preserve">  Intangible assets</t>
  </si>
  <si>
    <t xml:space="preserve">  Other non-current assets</t>
  </si>
  <si>
    <t>Total non-current assets</t>
  </si>
  <si>
    <t>Current assets</t>
  </si>
  <si>
    <t xml:space="preserve">  Inventory</t>
  </si>
  <si>
    <t xml:space="preserve">  Trade receivables</t>
  </si>
  <si>
    <t xml:space="preserve">  Other receivables and prepayments</t>
  </si>
  <si>
    <t xml:space="preserve">  Cash and bank</t>
  </si>
  <si>
    <t>Total current assets</t>
  </si>
  <si>
    <t>TOTAL ASSETS</t>
  </si>
  <si>
    <t>EQUITY AND LIABILITIES</t>
  </si>
  <si>
    <t>Equity</t>
  </si>
  <si>
    <t xml:space="preserve">  Share capital</t>
  </si>
  <si>
    <t xml:space="preserve">  Retained earnings (prior years)</t>
  </si>
  <si>
    <t xml:space="preserve">  Dividends and drawings (current year)</t>
  </si>
  <si>
    <t xml:space="preserve">  Profit for the current year to date</t>
  </si>
  <si>
    <t>Total equity</t>
  </si>
  <si>
    <t>Non-current liabilities</t>
  </si>
  <si>
    <t xml:space="preserve">  Long-term borrowings</t>
  </si>
  <si>
    <t xml:space="preserve">  Shareholder loans</t>
  </si>
  <si>
    <t>Total non-current liabilities</t>
  </si>
  <si>
    <t>Current liabilities</t>
  </si>
  <si>
    <t xml:space="preserve">  Trade payables</t>
  </si>
  <si>
    <t xml:space="preserve">  Other payables and accruals</t>
  </si>
  <si>
    <t xml:space="preserve">  Sales tax payable / (receivable)</t>
  </si>
  <si>
    <t xml:space="preserve">  Payroll taxes payable (FICA, FUTA, SUTA)</t>
  </si>
  <si>
    <t xml:space="preserve">  Income tax payable / (receivable)</t>
  </si>
  <si>
    <t xml:space="preserve">  Short-term borrowings</t>
  </si>
  <si>
    <t xml:space="preserve">  Bank overdraft</t>
  </si>
  <si>
    <t>Total current liabilities</t>
  </si>
  <si>
    <t>Total liabilities</t>
  </si>
  <si>
    <t>TOTAL EQUITY AND LIABILITIES</t>
  </si>
  <si>
    <t>Check: assets less equity and liabilities (must be zero)</t>
  </si>
  <si>
    <t>Debit balances on sales tax / income tax control accounts show as negative liabilities (i.e. refunds due). Management presentation - net basis.</t>
  </si>
  <si>
    <t>Cash Flow Statement (indirect method)</t>
  </si>
  <si>
    <t>Cash flows from operating activities</t>
  </si>
  <si>
    <t xml:space="preserve">  Net profit for the period</t>
  </si>
  <si>
    <t xml:space="preserve">  Add back: depreciation and amortization</t>
  </si>
  <si>
    <t xml:space="preserve">  (Increase) / decrease in inventory</t>
  </si>
  <si>
    <t xml:space="preserve">  (Increase) / decrease in trade receivables</t>
  </si>
  <si>
    <t xml:space="preserve">  (Increase) / decrease in other receivables and prepayments</t>
  </si>
  <si>
    <t xml:space="preserve">  Increase / (decrease) in trade payables</t>
  </si>
  <si>
    <t xml:space="preserve">  Increase / (decrease) in other payables and accruals</t>
  </si>
  <si>
    <t xml:space="preserve">  Increase / (decrease) in sales tax payable</t>
  </si>
  <si>
    <t xml:space="preserve">  Increase / (decrease) in payroll taxes payable</t>
  </si>
  <si>
    <t xml:space="preserve">  Increase / (decrease) in income tax payable</t>
  </si>
  <si>
    <t>Net cash from operating activities</t>
  </si>
  <si>
    <t>Cash flows from investing activities</t>
  </si>
  <si>
    <t xml:space="preserve">  Purchase of property, plant, equipment and intangibles (net of disposals)</t>
  </si>
  <si>
    <t>Net cash from investing activities</t>
  </si>
  <si>
    <t>Cash flows from financing activities</t>
  </si>
  <si>
    <t xml:space="preserve">  Short-term borrowings raised / (repaid)</t>
  </si>
  <si>
    <t xml:space="preserve">  Long-term borrowings raised / (repaid)</t>
  </si>
  <si>
    <t xml:space="preserve">  Shareholder loans advanced / (repaid)</t>
  </si>
  <si>
    <t xml:space="preserve">  Share capital issued</t>
  </si>
  <si>
    <t xml:space="preserve">  Dividends, drawings and other equity movements</t>
  </si>
  <si>
    <t>Net cash from financing activities</t>
  </si>
  <si>
    <t>Net increase / (decrease) in cash and cash equivalents</t>
  </si>
  <si>
    <t>Opening cash and cash equivalents (net of overdraft)</t>
  </si>
  <si>
    <t>Closing cash and cash equivalents</t>
  </si>
  <si>
    <t>Per balance sheet (cash less overdraft)</t>
  </si>
  <si>
    <t>Difference (must be zero)</t>
  </si>
  <si>
    <t>Derived from movements in the trial balance. Interest and tax are shown within operating activities. Capital expenditure is net of disposals (profit/loss on disposal is not separated).</t>
  </si>
  <si>
    <t>KPI dashboard</t>
  </si>
  <si>
    <t>Key performance indicator</t>
  </si>
  <si>
    <t>Month</t>
  </si>
  <si>
    <t>YTD / at period end</t>
  </si>
  <si>
    <t>Target (edit)</t>
  </si>
  <si>
    <t>Better when</t>
  </si>
  <si>
    <t>Status</t>
  </si>
  <si>
    <t>How it is calculated</t>
  </si>
  <si>
    <t>Profitability</t>
  </si>
  <si>
    <t>Revenue vs budget</t>
  </si>
  <si>
    <t>Higher</t>
  </si>
  <si>
    <t>Actual revenue / budget revenue</t>
  </si>
  <si>
    <t>Gross profit margin</t>
  </si>
  <si>
    <t>Gross profit / revenue</t>
  </si>
  <si>
    <t>Operating expenses as % of revenue</t>
  </si>
  <si>
    <t>Lower</t>
  </si>
  <si>
    <t>Total operating expenses / revenue</t>
  </si>
  <si>
    <t>EBITDA margin</t>
  </si>
  <si>
    <t>EBITDA / revenue</t>
  </si>
  <si>
    <t>Net profit margin</t>
  </si>
  <si>
    <t>Net profit / revenue</t>
  </si>
  <si>
    <t>Net profit vs budget</t>
  </si>
  <si>
    <t>Actual net profit / budget net profit</t>
  </si>
  <si>
    <t>Liquidity (at period end)</t>
  </si>
  <si>
    <t>Current ratio</t>
  </si>
  <si>
    <t>Current assets / current liabilities</t>
  </si>
  <si>
    <t>Quick ratio</t>
  </si>
  <si>
    <t>(Current assets - inventory) / current liabilities</t>
  </si>
  <si>
    <t>Net cash and bank ($)</t>
  </si>
  <si>
    <t>Cash and bank less overdraft</t>
  </si>
  <si>
    <t>Months of operating cost cover</t>
  </si>
  <si>
    <t>Net cash / average monthly (cost of sales + operating expenses) year to date</t>
  </si>
  <si>
    <t>Working capital (days)</t>
  </si>
  <si>
    <t>Receivable days</t>
  </si>
  <si>
    <t>Trade receivables / (YTD revenue incl. sales tax) x days YTD</t>
  </si>
  <si>
    <t>Inventory days</t>
  </si>
  <si>
    <t>Inventory / YTD cost of sales x days YTD</t>
  </si>
  <si>
    <t>Payable days (on cost of sales)</t>
  </si>
  <si>
    <t>Trade payables / (YTD cost of sales incl. sales tax) x days YTD. Approximation: payables also include opex suppliers.</t>
  </si>
  <si>
    <t>Cash conversion cycle (days)</t>
  </si>
  <si>
    <t>Receivable days + inventory days - payable days</t>
  </si>
  <si>
    <t>Gearing and cover</t>
  </si>
  <si>
    <t>Debt-to-equity</t>
  </si>
  <si>
    <t>(Short + long-term borrowings + overdraft) / total equity. Shareholder loans excluded.</t>
  </si>
  <si>
    <t>Interest cover</t>
  </si>
  <si>
    <t>YTD operating profit (EBIT) / YTD finance costs</t>
  </si>
  <si>
    <t>Targets in yellow are generic starting points - set them to suit the company's industry and size. Status compares the YTD / period-end figure with the target.</t>
  </si>
  <si>
    <t>Commentary and compliance checklist</t>
  </si>
  <si>
    <t>The middle column is a draft written from the numbers. Use it as a starting point and write the final commentary in the yellow column.</t>
  </si>
  <si>
    <t>Topic</t>
  </si>
  <si>
    <t>Draft from the numbers (automatic)</t>
  </si>
  <si>
    <t>Accountant's commentary (edit)</t>
  </si>
  <si>
    <t>Headline</t>
  </si>
  <si>
    <t>Dummy: replace with the controller's view of the month.</t>
  </si>
  <si>
    <t>Gross margin</t>
  </si>
  <si>
    <t>Operating costs</t>
  </si>
  <si>
    <t>Cash and working capital</t>
  </si>
  <si>
    <t>Balance sheet and funding</t>
  </si>
  <si>
    <t>Risks and issues</t>
  </si>
  <si>
    <t>Manual - write your own.</t>
  </si>
  <si>
    <t>Dummy: inventory days are rising as Q4 stock builds. Watch slow lines and clearance risk.</t>
  </si>
  <si>
    <t>Actions for next month</t>
  </si>
  <si>
    <t>Dummy: review freight contracts, hold marketing to budget in Q4, chase overdue receivables.</t>
  </si>
  <si>
    <t>Tax and compliance notes</t>
  </si>
  <si>
    <t>Estimated tax, sales tax, payroll deposits and other deadlines due.</t>
  </si>
  <si>
    <t>Why this matters: monthly management accounts make year-end close smoother, keep estimated tax payments accurate and reduce surprises from lenders and tax authorities.</t>
  </si>
  <si>
    <t>Month-end close and compliance checklist</t>
  </si>
  <si>
    <t>Item</t>
  </si>
  <si>
    <t>Reference / what to check</t>
  </si>
  <si>
    <t>Bank reconciliations completed</t>
  </si>
  <si>
    <t>All bank accounts reconciled to statements at month end</t>
  </si>
  <si>
    <t>Receivables reconciled to age analysis</t>
  </si>
  <si>
    <t>Control account agrees to age analysis; doubtful debts considered</t>
  </si>
  <si>
    <t>Payables reconciled to supplier statements</t>
  </si>
  <si>
    <t>Control account agrees to supplier statements</t>
  </si>
  <si>
    <t>Inventory reconciled / counted</t>
  </si>
  <si>
    <t>Stock records agree to the general ledger</t>
  </si>
  <si>
    <t>Payroll reconciled</t>
  </si>
  <si>
    <t>Payroll report agrees to the ledger</t>
  </si>
  <si>
    <t>Payroll tax deposits made</t>
  </si>
  <si>
    <t>Federal and state payroll taxes: see key dates below</t>
  </si>
  <si>
    <t>Sales tax control reconciled</t>
  </si>
  <si>
    <t>Control account agrees to state sales tax returns</t>
  </si>
  <si>
    <t>Sales tax returns filed and paid</t>
  </si>
  <si>
    <t>Only in filing months: see key dates below</t>
  </si>
  <si>
    <t>Loans and finance agreements reconciled</t>
  </si>
  <si>
    <t>Balances agree to lender statements</t>
  </si>
  <si>
    <t>Fixed asset register updated</t>
  </si>
  <si>
    <t>Additions, disposals and depreciation posted</t>
  </si>
  <si>
    <t>IRS and state tax notices reviewed</t>
  </si>
  <si>
    <t>Check for outstanding returns, penalties, interest</t>
  </si>
  <si>
    <t>Estimated tax payment reviewed</t>
  </si>
  <si>
    <t>Quarterly federal estimate: see key dates below</t>
  </si>
  <si>
    <t>Management accounts reviewed by accountant</t>
  </si>
  <si>
    <t>Reasonableness, variances, commentary signed off</t>
  </si>
  <si>
    <t>US federal key dates for this reporting period (calculated from Setup)</t>
  </si>
  <si>
    <t>Notes</t>
  </si>
  <si>
    <t>Date</t>
  </si>
  <si>
    <t>Is the reporting month a sales tax period end?</t>
  </si>
  <si>
    <t>Based on the filing frequency in Setup.</t>
  </si>
  <si>
    <t>Sales tax return due (placeholder)</t>
  </si>
  <si>
    <t>Set here as the 20th of the following month. Due dates vary by state: check each state you file in.</t>
  </si>
  <si>
    <t>Form 941 for the quarter</t>
  </si>
  <si>
    <t>Last day of the month after the quarter ends (IRS).</t>
  </si>
  <si>
    <t>Federal payroll tax deposit (monthly schedule)</t>
  </si>
  <si>
    <t>15th of the following month for monthly depositors. Semiweekly depositors pay sooner (IRS).</t>
  </si>
  <si>
    <t>Next federal estimated tax payment</t>
  </si>
  <si>
    <t>15th day of the 4th, 6th, 9th and 12th months of the tax year for corporations (IRS).</t>
  </si>
  <si>
    <t>Form 1120 due</t>
  </si>
  <si>
    <t>15th day of the 4th month after year-end (IRS). June year-ends differ.</t>
  </si>
  <si>
    <t>Form 1120 extended due date (Form 7004)</t>
  </si>
  <si>
    <t>Six months after the original due date. An extension to file is not an extension to pay.</t>
  </si>
  <si>
    <t>Always confirm dates against the IRS and state calendars. If a due date falls on a weekend or legal holiday, it generally moves to the next business day.</t>
  </si>
  <si>
    <t>Setup</t>
  </si>
  <si>
    <t>Complete the yellow cells. Everything else in the workbook is driven from here.</t>
  </si>
  <si>
    <t>Company name</t>
  </si>
  <si>
    <t>COSKUN, Inc.</t>
  </si>
  <si>
    <t>Appears on every statement.</t>
  </si>
  <si>
    <t>00-0000000 (dummy)</t>
  </si>
  <si>
    <t>Optional.</t>
  </si>
  <si>
    <t>Financial year-end date</t>
  </si>
  <si>
    <t>Last day of your financial year, for example 31 Dec 2026.</t>
  </si>
  <si>
    <t>Reporting month (set by the Month slicer)</t>
  </si>
  <si>
    <t>Pick the month on the Month slicer in any report page. 1 = first month of the financial year.</t>
  </si>
  <si>
    <t>Gross up days for sales tax?</t>
  </si>
  <si>
    <t>No</t>
  </si>
  <si>
    <t>Yes adds sales tax to revenue and costs in receivable and payable days. Leave No if your ledgers exclude it.</t>
  </si>
  <si>
    <t>Average sales tax rate</t>
  </si>
  <si>
    <t>Only used when the line above is Yes. Rates vary by state.</t>
  </si>
  <si>
    <t>Prepared by</t>
  </si>
  <si>
    <t>Staff accountant (dummy)</t>
  </si>
  <si>
    <t>Clerk / bookkeeper.</t>
  </si>
  <si>
    <t>Reviewed by</t>
  </si>
  <si>
    <t>Controller (dummy)</t>
  </si>
  <si>
    <t>Accountant / partner who reviewed the pack.</t>
  </si>
  <si>
    <t>Date prepared</t>
  </si>
  <si>
    <t>Sales tax filing frequency</t>
  </si>
  <si>
    <t>Quarterly</t>
  </si>
  <si>
    <t>Monthly or Quarterly. Used for the key dates on the Commentary tab. Check each state's rules.</t>
  </si>
  <si>
    <t>Calculated (do not edit)</t>
  </si>
  <si>
    <t>Financial year start</t>
  </si>
  <si>
    <t>Reporting period end</t>
  </si>
  <si>
    <t>Reporting period label</t>
  </si>
  <si>
    <t>Days in year to date</t>
  </si>
  <si>
    <t>Financial year label</t>
  </si>
  <si>
    <t>Sales tax gross-up used for receivable and payable days</t>
  </si>
  <si>
    <t>Month calendar</t>
  </si>
  <si>
    <t>Month no.</t>
  </si>
  <si>
    <t>Month end</t>
  </si>
  <si>
    <t>Trial balance - year-to-date balances</t>
  </si>
  <si>
    <t>Debits positive (+), credits negative (-). Opening column = prior year-end closing balances (balance sheet accounts only). Month columns = YEAR-TO-DATE closing balances for that month (not the month's movement). Leave future months blank.</t>
  </si>
  <si>
    <t>Code</t>
  </si>
  <si>
    <t>Account name</t>
  </si>
  <si>
    <t>Report line (choose from list)</t>
  </si>
  <si>
    <t>Type</t>
  </si>
  <si>
    <t>Opening (prior year-end)</t>
  </si>
  <si>
    <t>Unmapped flag</t>
  </si>
  <si>
    <t>EXAMPLE ROW (ignored): Trade receivables control</t>
  </si>
  <si>
    <t>Trade receivables</t>
  </si>
  <si>
    <t>BS</t>
  </si>
  <si>
    <t>Property, plant and equipment - cost</t>
  </si>
  <si>
    <t>Property, plant and equipment</t>
  </si>
  <si>
    <t>Property, plant and equipment - accumulated depreciation</t>
  </si>
  <si>
    <t>Intangible assets (net)</t>
  </si>
  <si>
    <t>Intangible assets</t>
  </si>
  <si>
    <t>Rental and utility deposits</t>
  </si>
  <si>
    <t>Other non-current assets</t>
  </si>
  <si>
    <t>Inventory - merchandise</t>
  </si>
  <si>
    <t>Inventory</t>
  </si>
  <si>
    <t>Trade receivables control</t>
  </si>
  <si>
    <t>Prepayments</t>
  </si>
  <si>
    <t>Other receivables and prepayments</t>
  </si>
  <si>
    <t>Staff and sundry receivables</t>
  </si>
  <si>
    <t>Bank - current account</t>
  </si>
  <si>
    <t>Cash and bank</t>
  </si>
  <si>
    <t>Bank - money market account</t>
  </si>
  <si>
    <t>Petty cash</t>
  </si>
  <si>
    <t>Trade payables control</t>
  </si>
  <si>
    <t>Trade payables</t>
  </si>
  <si>
    <t>Accruals</t>
  </si>
  <si>
    <t>Other payables and accruals</t>
  </si>
  <si>
    <t>PTO and bonus accrual</t>
  </si>
  <si>
    <t>Sales tax payable</t>
  </si>
  <si>
    <t>Sales tax payable / (receivable)</t>
  </si>
  <si>
    <t>Federal income tax withheld</t>
  </si>
  <si>
    <t>Payroll taxes payable</t>
  </si>
  <si>
    <t>FICA payable</t>
  </si>
  <si>
    <t>FUTA and SUTA payable</t>
  </si>
  <si>
    <t>Income tax payable / (receivable)</t>
  </si>
  <si>
    <t>Short-term loan</t>
  </si>
  <si>
    <t>Short-term borrowings</t>
  </si>
  <si>
    <t>Bank overdraft</t>
  </si>
  <si>
    <t>Long-term loan</t>
  </si>
  <si>
    <t>Long-term borrowings</t>
  </si>
  <si>
    <t>Shareholder loan</t>
  </si>
  <si>
    <t>Shareholder loans</t>
  </si>
  <si>
    <t>Share capital</t>
  </si>
  <si>
    <t>Retained earnings - prior years</t>
  </si>
  <si>
    <t>Retained earnings (prior years)</t>
  </si>
  <si>
    <t>Dividends</t>
  </si>
  <si>
    <t>Dividends and drawings</t>
  </si>
  <si>
    <t>Sales - goods</t>
  </si>
  <si>
    <t>Sales - services</t>
  </si>
  <si>
    <t>Sundry income</t>
  </si>
  <si>
    <t>Interest received</t>
  </si>
  <si>
    <t>Cost of sales - goods</t>
  </si>
  <si>
    <t>Direct labor and subcontractors</t>
  </si>
  <si>
    <t>Freight and import duties</t>
  </si>
  <si>
    <t>Salaries and wages</t>
  </si>
  <si>
    <t>Employee costs</t>
  </si>
  <si>
    <t>Employer payroll taxes</t>
  </si>
  <si>
    <t>Staff training and welfare</t>
  </si>
  <si>
    <t>Rent - premises</t>
  </si>
  <si>
    <t>Rent and occupancy</t>
  </si>
  <si>
    <t>Security and cleaning</t>
  </si>
  <si>
    <t>Advertising and promotion</t>
  </si>
  <si>
    <t>Marketing and advertising</t>
  </si>
  <si>
    <t>Website and digital marketing</t>
  </si>
  <si>
    <t>Accounting and bookkeeping fees</t>
  </si>
  <si>
    <t>Professional fees</t>
  </si>
  <si>
    <t>Legal fees</t>
  </si>
  <si>
    <t>Consulting fees</t>
  </si>
  <si>
    <t>Fuel</t>
  </si>
  <si>
    <t>Motor vehicle and travel</t>
  </si>
  <si>
    <t>Vehicle maintenance and licenses</t>
  </si>
  <si>
    <t>Travel and accommodation</t>
  </si>
  <si>
    <t>Electricity and water</t>
  </si>
  <si>
    <t>Utilities and telecoms</t>
  </si>
  <si>
    <t>Telephone and internet</t>
  </si>
  <si>
    <t>Repairs and maintenance</t>
  </si>
  <si>
    <t>Insurance</t>
  </si>
  <si>
    <t>Bank charges</t>
  </si>
  <si>
    <t>Stationery and printing</t>
  </si>
  <si>
    <t>Other operating expenses</t>
  </si>
  <si>
    <t>Software subscriptions</t>
  </si>
  <si>
    <t>Licenses and memberships</t>
  </si>
  <si>
    <t>General expenses</t>
  </si>
  <si>
    <t>Depreciation</t>
  </si>
  <si>
    <t>Amortization</t>
  </si>
  <si>
    <t>Interest paid</t>
  </si>
  <si>
    <t>IRS interest and penalties</t>
  </si>
  <si>
    <t>Total (must be zero in every column)</t>
  </si>
  <si>
    <t>Budget - monthly, by report line</t>
  </si>
  <si>
    <t>Enter the budget for each month as POSITIVE numbers for both income and expenses (e.g. rent budget $34,000 = 34000). Excludes sales tax.</t>
  </si>
  <si>
    <t>Report line</t>
  </si>
  <si>
    <t>Full year</t>
  </si>
  <si>
    <t>Income, costs and tax (positive numbers)</t>
  </si>
  <si>
    <t>Budgeted net profit</t>
  </si>
  <si>
    <t>Tip: tax budget is usually about 25% of budgeted profit before tax (21% federal plus state) (check your own position).</t>
  </si>
  <si>
    <t>Checks</t>
  </si>
  <si>
    <t>Overall status</t>
  </si>
  <si>
    <t>Check</t>
  </si>
  <si>
    <t>Value</t>
  </si>
  <si>
    <t>Result</t>
  </si>
  <si>
    <t>What to do if it fails</t>
  </si>
  <si>
    <t>Trial balance: opening column sums to zero</t>
  </si>
  <si>
    <t>Debits must equal credits. Re-export the trial balance for that month, or check for missing accounts / sign errors.</t>
  </si>
  <si>
    <t>Trial balance: month 1 sums to zero</t>
  </si>
  <si>
    <t>Trial balance: month 2 sums to zero</t>
  </si>
  <si>
    <t>Trial balance: month 3 sums to zero</t>
  </si>
  <si>
    <t>Trial balance: month 4 sums to zero</t>
  </si>
  <si>
    <t>Trial balance: month 5 sums to zero</t>
  </si>
  <si>
    <t>Trial balance: month 6 sums to zero</t>
  </si>
  <si>
    <t>Trial balance: month 7 sums to zero</t>
  </si>
  <si>
    <t>Trial balance: month 8 sums to zero</t>
  </si>
  <si>
    <t>Trial balance: month 9 sums to zero</t>
  </si>
  <si>
    <t>Trial balance: month 10 sums to zero</t>
  </si>
  <si>
    <t>Trial balance: month 11 sums to zero</t>
  </si>
  <si>
    <t>Trial balance: month 12 sums to zero</t>
  </si>
  <si>
    <t>Accounts with balances but no valid report line</t>
  </si>
  <si>
    <t>Map every account that has a balance to a report line (Trial Balance tab, column C).</t>
  </si>
  <si>
    <t>Opening balances on income statement accounts (must be zero)</t>
  </si>
  <si>
    <t>Opening column is for balance sheet accounts only. Retained earnings should already include last year's profit.</t>
  </si>
  <si>
    <t>Balance sheet balances (selected month)</t>
  </si>
  <si>
    <t>Check mapping of equity accounts and that the trial balance for the month balances.</t>
  </si>
  <si>
    <t>Cash flow reconciles to balance sheet - month</t>
  </si>
  <si>
    <t>Check that cash and overdraft accounts are mapped to 'Cash and bank' / 'Bank overdraft'.</t>
  </si>
  <si>
    <t>Cash flow reconciles to balance sheet - year to date</t>
  </si>
  <si>
    <t>As above.</t>
  </si>
  <si>
    <t>Reporting month has trial balance data</t>
  </si>
  <si>
    <t>Enter the year-to-date trial balance for the reporting month, or pick another month on the Month slicer.</t>
  </si>
  <si>
    <t>Budget loaded</t>
  </si>
  <si>
    <t>Variance columns need a budget (Budget tab).</t>
  </si>
  <si>
    <t>Calculation engine - do not edit</t>
  </si>
  <si>
    <t>All statements read from this sheet. Blocks: A raw year-to-date balances (Dr+/Cr-); B P&amp;L year-to-date (presentation sign); C P&amp;L monthly; D budget monthly; E budget year-to-date; F cash-flow effect by balance-sheet line.</t>
  </si>
  <si>
    <t>Opening</t>
  </si>
  <si>
    <t>A. Raw year-to-date balances (Dr +, Cr -)</t>
  </si>
  <si>
    <t>Stmt</t>
  </si>
  <si>
    <t>Sign</t>
  </si>
  <si>
    <t>IS</t>
  </si>
  <si>
    <t>Net profit year-to-date</t>
  </si>
  <si>
    <t>Net cash and cash equivalents (cash less overdraft), raw</t>
  </si>
  <si>
    <t>Net profit for the month</t>
  </si>
  <si>
    <t>B. Income statement year-to-date (presentation sign)</t>
  </si>
  <si>
    <t>C. Income statement - month</t>
  </si>
  <si>
    <t>D. Budget - month</t>
  </si>
  <si>
    <t>E. Budget - year-to-date</t>
  </si>
  <si>
    <t>F. Cash-flow effect by balance-sheet line, month (increase in asset = outflow)</t>
  </si>
  <si>
    <t>Report line mapping</t>
  </si>
  <si>
    <t>Every trial balance account is mapped to one of these report lines. Do not rename lines here - the statements are built on these names.</t>
  </si>
  <si>
    <t>Statement</t>
  </si>
  <si>
    <t>Section</t>
  </si>
  <si>
    <t>Presentation sign</t>
  </si>
  <si>
    <t>Order</t>
  </si>
  <si>
    <t>Income</t>
  </si>
  <si>
    <t>Finance</t>
  </si>
  <si>
    <t>Tax</t>
  </si>
  <si>
    <t>Presentation sign: +1 = debit-natural (assets, expenses); -1 = credit-natural (income, liabilities, equity).</t>
  </si>
  <si>
    <t>Lists behind the slicers. The Vis column tells the formulas which items are switched on.</t>
  </si>
  <si>
    <t>N</t>
  </si>
  <si>
    <t>Vis</t>
  </si>
  <si>
    <t>View</t>
  </si>
  <si>
    <t>YTD</t>
  </si>
  <si>
    <t>Metric</t>
  </si>
  <si>
    <t>Net profit</t>
  </si>
  <si>
    <t>Cost line</t>
  </si>
  <si>
    <t>Analytics: monthly series behind the Dashboard and Monthly Trends. No inputs. Whole dollars. #N/A is deliberate: it leaves a gap on line charts for months not yet reported.</t>
  </si>
  <si>
    <t>Month number</t>
  </si>
  <si>
    <t>Selected view</t>
  </si>
  <si>
    <t>Selected metric</t>
  </si>
  <si>
    <t>View label</t>
  </si>
  <si>
    <t>Cost selection</t>
  </si>
  <si>
    <t>Reported month flag</t>
  </si>
  <si>
    <t>Actual by month</t>
  </si>
  <si>
    <t>Budget by month</t>
  </si>
  <si>
    <t>EBIT</t>
  </si>
  <si>
    <t>Balance sheet and cash</t>
  </si>
  <si>
    <t>Net cash and bank</t>
  </si>
  <si>
    <t>Borrowings (short and long term)</t>
  </si>
  <si>
    <t>Net debt</t>
  </si>
  <si>
    <t>Total assets</t>
  </si>
  <si>
    <t>Operating cash flow</t>
  </si>
  <si>
    <t>Investing cash flow</t>
  </si>
  <si>
    <t>Financing cash flow</t>
  </si>
  <si>
    <t>Days year to date</t>
  </si>
  <si>
    <t>Payable days</t>
  </si>
  <si>
    <t>Cash conversion cycle</t>
  </si>
  <si>
    <t>Net margin</t>
  </si>
  <si>
    <t>Opex % revenue</t>
  </si>
  <si>
    <t>Budget gross margin</t>
  </si>
  <si>
    <t>Budget EBITDA margin</t>
  </si>
  <si>
    <t>Line chart series: #N/A for months not reported</t>
  </si>
  <si>
    <t>LGM</t>
  </si>
  <si>
    <t>LEM</t>
  </si>
  <si>
    <t>LDSO</t>
  </si>
  <si>
    <t>LDIO</t>
  </si>
  <si>
    <t>LDPO</t>
  </si>
  <si>
    <t>LCCC</t>
  </si>
  <si>
    <t>LCash</t>
  </si>
  <si>
    <t>LND</t>
  </si>
  <si>
    <t>Selected metric: actual</t>
  </si>
  <si>
    <t>Selected metric: budget</t>
  </si>
  <si>
    <t>Cumulative revenue: actual</t>
  </si>
  <si>
    <t>Cumulative revenue: budget</t>
  </si>
  <si>
    <t>Selected cost lines: actual</t>
  </si>
  <si>
    <t>Selected cost lines: budget</t>
  </si>
  <si>
    <t>Cost lines, selected view</t>
  </si>
  <si>
    <t>Var</t>
  </si>
  <si>
    <t>On</t>
  </si>
  <si>
    <t>Waterfall EBITDA</t>
  </si>
  <si>
    <t>Step</t>
  </si>
  <si>
    <t>Start</t>
  </si>
  <si>
    <t>End</t>
  </si>
  <si>
    <t>Base+</t>
  </si>
  <si>
    <t>Total+</t>
  </si>
  <si>
    <t>Up+</t>
  </si>
  <si>
    <t>Down+</t>
  </si>
  <si>
    <t>Base-</t>
  </si>
  <si>
    <t>Total-</t>
  </si>
  <si>
    <t>Up-</t>
  </si>
  <si>
    <t>Down-</t>
  </si>
  <si>
    <t>Label y</t>
  </si>
  <si>
    <t>Label</t>
  </si>
  <si>
    <t>Floor</t>
  </si>
  <si>
    <t>T</t>
  </si>
  <si>
    <t>D</t>
  </si>
  <si>
    <t>Employee</t>
  </si>
  <si>
    <t>Marketing</t>
  </si>
  <si>
    <t>Other opex</t>
  </si>
  <si>
    <t>Waterfall CASH</t>
  </si>
  <si>
    <t>Opening cash</t>
  </si>
  <si>
    <t>Profit</t>
  </si>
  <si>
    <t>D&amp;A</t>
  </si>
  <si>
    <t>Working capital</t>
  </si>
  <si>
    <t>Investing</t>
  </si>
  <si>
    <t>Financing</t>
  </si>
  <si>
    <t>Closing cash</t>
  </si>
  <si>
    <t>Full-year landing: EBITDA</t>
  </si>
  <si>
    <t>Scenario</t>
  </si>
  <si>
    <t>Closed</t>
  </si>
  <si>
    <t>Open</t>
  </si>
  <si>
    <t>Total</t>
  </si>
  <si>
    <t>Outlook</t>
  </si>
  <si>
    <t>Text</t>
  </si>
  <si>
    <t>k00_v</t>
  </si>
  <si>
    <t>k00_g</t>
  </si>
  <si>
    <t>k00_b</t>
  </si>
  <si>
    <t>k01_v</t>
  </si>
  <si>
    <t>k01_g</t>
  </si>
  <si>
    <t>k01_b</t>
  </si>
  <si>
    <t>k02_v</t>
  </si>
  <si>
    <t>k02_g</t>
  </si>
  <si>
    <t>k02_b</t>
  </si>
  <si>
    <t>k03_v</t>
  </si>
  <si>
    <t>k03_g</t>
  </si>
  <si>
    <t>k03_b</t>
  </si>
  <si>
    <t>k04_v</t>
  </si>
  <si>
    <t>k04_g</t>
  </si>
  <si>
    <t>k04_b</t>
  </si>
  <si>
    <t>k05_v</t>
  </si>
  <si>
    <t>k05_g</t>
  </si>
  <si>
    <t>k05_b</t>
  </si>
  <si>
    <t>k10_v</t>
  </si>
  <si>
    <t>k10_g</t>
  </si>
  <si>
    <t>k10_b</t>
  </si>
  <si>
    <t>k11_v</t>
  </si>
  <si>
    <t>k11_g</t>
  </si>
  <si>
    <t>k11_b</t>
  </si>
  <si>
    <t>k12_v</t>
  </si>
  <si>
    <t>k12_g</t>
  </si>
  <si>
    <t>k12_b</t>
  </si>
  <si>
    <t>k13_v</t>
  </si>
  <si>
    <t>k13_g</t>
  </si>
  <si>
    <t>k13_b</t>
  </si>
  <si>
    <t>k14_v</t>
  </si>
  <si>
    <t>k14_g</t>
  </si>
  <si>
    <t>k14_b</t>
  </si>
  <si>
    <t>k15_v</t>
  </si>
  <si>
    <t>k15_g</t>
  </si>
  <si>
    <t>k15_b</t>
  </si>
  <si>
    <t>t_sel</t>
  </si>
  <si>
    <t>t_eb</t>
  </si>
  <si>
    <t>t_cash</t>
  </si>
  <si>
    <t>t_cost</t>
  </si>
  <si>
    <t>t_mg</t>
  </si>
  <si>
    <t>t_wc</t>
  </si>
  <si>
    <t>t_nd</t>
  </si>
  <si>
    <t>t_bs</t>
  </si>
  <si>
    <t>t_land</t>
  </si>
  <si>
    <t>t_cum</t>
  </si>
  <si>
    <t>t_stack</t>
  </si>
  <si>
    <t>t_selc</t>
  </si>
  <si>
    <t>t_cf</t>
  </si>
  <si>
    <t>What the numbers say</t>
  </si>
  <si>
    <t>Cash</t>
  </si>
  <si>
    <t>MONTH</t>
  </si>
  <si>
    <t>YEAR TO DATE</t>
  </si>
  <si>
    <t>FULL YEAR: ACTUAL + REMAINING BUDGET</t>
  </si>
  <si>
    <t>12-MONTH TREND</t>
  </si>
  <si>
    <t>$k</t>
  </si>
  <si>
    <t>Jan to Dec</t>
  </si>
  <si>
    <t>Gross margin %</t>
  </si>
  <si>
    <t>Net profit margin %</t>
  </si>
  <si>
    <t>Performance and bridges</t>
  </si>
  <si>
    <t>Costs, margins and working capital</t>
  </si>
  <si>
    <t>Balance sheet and outlook</t>
  </si>
  <si>
    <t>Dummy data. Unaudited management accounts for management use only.</t>
  </si>
  <si>
    <t>Income statement by month, $</t>
  </si>
  <si>
    <t>$</t>
  </si>
  <si>
    <t>YTD budget</t>
  </si>
  <si>
    <t>Full-yr budget</t>
  </si>
  <si>
    <t>Key ratios by month</t>
  </si>
  <si>
    <t>Ratio</t>
  </si>
  <si>
    <t>Trend</t>
  </si>
  <si>
    <t>Opex % of revenue</t>
  </si>
  <si>
    <t>Net debt ($)</t>
  </si>
  <si>
    <t>Operating cash flow ($)</t>
  </si>
  <si>
    <t>Free cash flow ($)</t>
  </si>
  <si>
    <t>Trends</t>
  </si>
  <si>
    <t>Analytics YTD revenue agrees to Income Statement</t>
  </si>
  <si>
    <t>Check the reporting month and Analytics tab.</t>
  </si>
  <si>
    <t>EBITDA bridge foots to actual</t>
  </si>
  <si>
    <t>Check the variance columns on the Income Statement.</t>
  </si>
  <si>
    <t>Monthly cash flows agree to Cash Flow YTD</t>
  </si>
  <si>
    <t>Check that every balance sheet line is mapped.</t>
  </si>
  <si>
    <t>COSKUN, Inc.: management accounts pack</t>
  </si>
  <si>
    <t>Open the Dashboard</t>
  </si>
  <si>
    <t>All numbers are dummy</t>
  </si>
  <si>
    <t>Data</t>
  </si>
  <si>
    <t>Company figures, accounts and commentary in this file are invented examples for COSKUN, Inc., in US dollars.</t>
  </si>
  <si>
    <t>How to use it</t>
  </si>
  <si>
    <t>1. Setup</t>
  </si>
  <si>
    <t>Enter the company name, year-end, sales tax details and names.</t>
  </si>
  <si>
    <t>2. Trial Balance</t>
  </si>
  <si>
    <t>Rename accounts or use the blank rows (up to 250). Map every account to a report line. Enter opening balances for balance sheet accounts.</t>
  </si>
  <si>
    <t>3. Each month</t>
  </si>
  <si>
    <t>Paste the year-to-date trial balance into that month's column. Debits positive, credits negative.</t>
  </si>
  <si>
    <t>4. Budget</t>
  </si>
  <si>
    <t>Enter the monthly budget by report line as positive numbers.</t>
  </si>
  <si>
    <t>5. Month slicer</t>
  </si>
  <si>
    <t>Click the month in the sidebar of any report page. Every statement, KPI and chart moves to that month.</t>
  </si>
  <si>
    <t>6. Checks</t>
  </si>
  <si>
    <t>Confirm the overall status reads OK before issuing the pack.</t>
  </si>
  <si>
    <t>7. Review and issue</t>
  </si>
  <si>
    <t>Review the statements, write the commentary and tick the checklist on the Commentary tab.</t>
  </si>
  <si>
    <t>Slicers</t>
  </si>
  <si>
    <t>Sets the reporting month for the whole workbook. Keep one month on: if several are on, the first is used.</t>
  </si>
  <si>
    <t>Switches the Dashboard cards and bridges between the month and year to date.</t>
  </si>
  <si>
    <t>Picks what the monthly chart shows.</t>
  </si>
  <si>
    <t>Picks which operating cost lines appear in the cost charts.</t>
  </si>
  <si>
    <t>Good to know</t>
  </si>
  <si>
    <t>Colors</t>
  </si>
  <si>
    <t>Blue on yellow = input. Black = formula. Red = adverse. Costs on statements are positive; variances are positive when favorable.</t>
  </si>
  <si>
    <t>Protection</t>
  </si>
  <si>
    <t>Sheets are not protected, because locked sheets stop slicers working. Take care not to overwrite formulas.</t>
  </si>
  <si>
    <t>Full-year outlook</t>
  </si>
  <si>
    <t>Actual to date plus the budget for the remaining months. It is not a forecast.</t>
  </si>
  <si>
    <t>US terms</t>
  </si>
  <si>
    <t>Tax dates and terms are general federal examples. Sales tax and state rules vary, so confirm them with your tax adviser.</t>
  </si>
  <si>
    <t>Before you rely on the numbers</t>
  </si>
  <si>
    <t>Management accounts are only as good as the bookkeeping underneath. Reconcile bank, receivables, payables, sales tax, payroll and loans first. This is a management report: unaudited, not reviewed, and not a set of financial statements.</t>
  </si>
  <si>
    <t>Credit</t>
  </si>
  <si>
    <t>Source template</t>
  </si>
  <si>
    <t>Adapted from the Management Accounts Template by LBA Accounting (llba.co.za).</t>
  </si>
  <si>
    <t>Licence and disclaimer</t>
  </si>
  <si>
    <t>Free to use and share with attribution to LBA Accounting (llba.co.za). Please do not sell it or remove this notice. Provided as-is for general information; it is not professional advice, and you remain responsible for the accuracy of your records and reports. (c) 2026 LBA Accounting.</t>
  </si>
  <si>
    <t>Company 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</si>
</sst>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164" formatCode="#,##0,;\(#,##0,\);&quot;–&quot;"/>
    <numFmt numFmtId="165" formatCode="\+#,##0,;\-#,##0,;&quot;–&quot;"/>
    <numFmt numFmtId="166" formatCode="\+0.0%;\-0.0%;&quot;–&quot;"/>
    <numFmt numFmtId="167" formatCode="0.0%;\(0.0%\);&quot;–&quot;"/>
    <numFmt numFmtId="168" formatCode="\+0.0&quot;pp&quot;;\-0.0&quot;pp&quot;;&quot;–&quot;"/>
    <numFmt numFmtId="169" formatCode="#,##0;\(#,##0\);&quot;–&quot;"/>
    <numFmt numFmtId="170" formatCode="\+#,##0;\-#,##0;&quot;–&quot;"/>
    <numFmt numFmtId="171" formatCode="0.0;\-0.0;&quot;–&quot;"/>
    <numFmt numFmtId="172" formatCode="0.00&quot;x&quot;;\-0.00&quot;x&quot;;&quot;–&quot;"/>
    <numFmt numFmtId="173" formatCode="#,##0;\(#,##0\);\-"/>
    <numFmt numFmtId="174" formatCode="0.0%;\(0.0%\);\-"/>
    <numFmt numFmtId="175" formatCode="dd\ mmm\ yyyy"/>
    <numFmt numFmtId="176" formatCode="#,##0.00;\(#,##0.00\);\-"/>
    <numFmt numFmtId="177" formatCode="0.00\x;\(0.00&quot;x)&quot;;\-"/>
    <numFmt numFmtId="178" formatCode="0.0;\(0.0\);\-"/>
    <numFmt numFmtId="179" formatCode="0;\(0\);\-"/>
    <numFmt numFmtId="180" formatCode="0.0%"/>
    <numFmt numFmtId="181" formatCode="#,##0;\(#,##0\);&quot;-&quot;"/>
    <numFmt numFmtId="182" formatCode="0.0"/>
  </numFmts>
  <fonts count="28" x14ac:knownFonts="1">
    <font>
      <sz val="11"/>
      <color theme="1"/>
      <name val="Calibri"/>
      <family val="2"/>
      <scheme val="minor"/>
    </font>
    <font>
      <sz val="9"/>
      <color rgb="FF1F2937"/>
      <name val="Segoe UI"/>
      <family val="2"/>
    </font>
    <font>
      <b/>
      <sz val="17"/>
      <color rgb="FF10243E"/>
      <name val="Segoe UI"/>
      <family val="2"/>
    </font>
    <font>
      <sz val="9"/>
      <color rgb="FF6B7280"/>
      <name val="Segoe UI"/>
      <family val="2"/>
    </font>
    <font>
      <b/>
      <sz val="10.5"/>
      <color rgb="FF10243E"/>
      <name val="Segoe UI"/>
      <family val="2"/>
    </font>
    <font>
      <b/>
      <sz val="10"/>
      <color rgb="FF0E8A8A"/>
      <name val="Segoe UI"/>
      <family val="2"/>
    </font>
    <font>
      <sz val="9.5"/>
      <color rgb="FF1F2937"/>
      <name val="Segoe UI"/>
      <family val="2"/>
    </font>
    <font>
      <b/>
      <sz val="8.5"/>
      <color rgb="FFFFFFFF"/>
      <name val="Segoe UI"/>
      <family val="2"/>
    </font>
    <font>
      <b/>
      <sz val="8"/>
      <color rgb="FFFFFFFF"/>
      <name val="Segoe UI"/>
      <family val="2"/>
    </font>
    <font>
      <b/>
      <sz val="9"/>
      <color rgb="FF1F2937"/>
      <name val="Segoe UI"/>
      <family val="2"/>
    </font>
    <font>
      <i/>
      <sz val="8"/>
      <color rgb="FF6B7280"/>
      <name val="Segoe UI"/>
      <family val="2"/>
    </font>
    <font>
      <b/>
      <sz val="11"/>
      <color rgb="FF0E8A8A"/>
      <name val="Segoe UI"/>
      <family val="2"/>
    </font>
    <font>
      <i/>
      <sz val="9"/>
      <color rgb="FF6B7280"/>
      <name val="Segoe UI"/>
      <family val="2"/>
    </font>
    <font>
      <b/>
      <sz val="9"/>
      <color rgb="FF6B7280"/>
      <name val="Segoe UI"/>
      <family val="2"/>
    </font>
    <font>
      <sz val="10"/>
      <color rgb="FF1F2937"/>
      <name val="Segoe UI"/>
      <family val="2"/>
    </font>
    <font>
      <b/>
      <sz val="10"/>
      <color rgb="FFFFFFFF"/>
      <name val="Segoe UI"/>
      <family val="2"/>
    </font>
    <font>
      <b/>
      <sz val="10"/>
      <color rgb="FF1F2937"/>
      <name val="Segoe UI"/>
      <family val="2"/>
    </font>
    <font>
      <i/>
      <sz val="10"/>
      <color rgb="FF1F2937"/>
      <name val="Segoe UI"/>
      <family val="2"/>
    </font>
    <font>
      <b/>
      <sz val="10"/>
      <color rgb="FF0E8A8A"/>
      <name val="Segoe UI"/>
      <family val="2"/>
    </font>
    <font>
      <i/>
      <sz val="10"/>
      <color rgb="FF6B7280"/>
      <name val="Segoe UI"/>
      <family val="2"/>
    </font>
    <font>
      <sz val="10"/>
      <color rgb="FF0000FF"/>
      <name val="Segoe UI"/>
      <family val="2"/>
    </font>
    <font>
      <i/>
      <sz val="10"/>
      <color rgb="FF0E8A8A"/>
      <name val="Segoe UI"/>
      <family val="2"/>
    </font>
    <font>
      <b/>
      <sz val="16"/>
      <color rgb="FF10243E"/>
      <name val="Segoe UI"/>
      <family val="2"/>
    </font>
    <font>
      <u/>
      <sz val="9"/>
      <color rgb="FF0E8A8A"/>
      <name val="Segoe UI"/>
      <family val="2"/>
    </font>
    <font>
      <b/>
      <sz val="14"/>
      <color rgb="FF10243E"/>
      <name val="Segoe UI"/>
      <family val="2"/>
    </font>
    <font>
      <sz val="10"/>
      <color rgb="FF6B7280"/>
      <name val="Segoe UI"/>
      <family val="2"/>
    </font>
    <font>
      <b/>
      <sz val="9"/>
      <color rgb="FF10243E"/>
      <name val="Segoe UI"/>
      <family val="2"/>
    </font>
    <font>
      <b/>
      <sz val="9"/>
      <color rgb="FFFFFFFF"/>
      <name val="Segoe UI"/>
      <family val="2"/>
    </font>
  </fonts>
  <fills count="8">
    <fill>
      <patternFill patternType="none"/>
    </fill>
    <fill>
      <patternFill patternType="gray125"/>
    </fill>
    <fill>
      <patternFill patternType="solid">
        <fgColor rgb="FF10243E"/>
        <bgColor indexed="64"/>
      </patternFill>
    </fill>
    <fill>
      <patternFill patternType="solid">
        <fgColor rgb="FFF3F5F9"/>
        <bgColor indexed="64"/>
      </patternFill>
    </fill>
    <fill>
      <patternFill patternType="solid">
        <fgColor rgb="FFFFFFFF"/>
        <bgColor indexed="64"/>
      </patternFill>
    </fill>
    <fill>
      <patternFill patternType="solid">
        <fgColor rgb="FF0E8A8A"/>
        <bgColor indexed="64"/>
      </patternFill>
    </fill>
    <fill>
      <patternFill patternType="solid">
        <fgColor rgb="FFEEF2F7"/>
        <bgColor indexed="64"/>
      </patternFill>
    </fill>
    <fill>
      <patternFill patternType="solid">
        <fgColor rgb="FFFFF8DC"/>
        <bgColor indexed="64"/>
      </patternFill>
    </fill>
  </fills>
  <borders count="7">
    <border>
      <left/>
      <right/>
      <top/>
      <bottom/>
      <diagonal/>
    </border>
    <border>
      <left/>
      <right/>
      <top style="medium">
        <color rgb="FF0E8A8A"/>
      </top>
      <bottom/>
      <diagonal/>
    </border>
    <border>
      <left/>
      <right/>
      <top/>
      <bottom style="thin">
        <color rgb="FFE3E7ED"/>
      </bottom>
      <diagonal/>
    </border>
    <border>
      <left/>
      <right/>
      <top style="thin">
        <color rgb="FF10243E"/>
      </top>
      <bottom style="thin">
        <color rgb="FFE3E7ED"/>
      </bottom>
      <diagonal/>
    </border>
    <border>
      <left/>
      <right/>
      <top style="thin">
        <color rgb="FF10243E"/>
      </top>
      <bottom style="thin">
        <color rgb="FF10243E"/>
      </bottom>
      <diagonal/>
    </border>
    <border>
      <left/>
      <right/>
      <top style="thin">
        <color rgb="FF10243E"/>
      </top>
      <bottom/>
      <diagonal/>
    </border>
    <border>
      <left/>
      <right/>
      <top/>
      <bottom style="thin">
        <color rgb="FF10243E"/>
      </bottom>
      <diagonal/>
    </border>
  </borders>
  <cellStyleXfs count="1">
    <xf numFmtId="0" fontId="0" fillId="0" borderId="0"/>
  </cellStyleXfs>
  <cellXfs count="139">
    <xf numFmtId="0" fontId="0" fillId="0" borderId="0" xfId="0"/>
    <xf numFmtId="0" fontId="1" fillId="2" borderId="0" xfId="0" applyFont="1" applyFill="1" applyAlignment="1">
      <alignment vertical="center"/>
    </xf>
    <xf numFmtId="0" fontId="1" fillId="3" borderId="0" xfId="0" applyFont="1" applyFill="1" applyAlignment="1">
      <alignment vertical="center"/>
    </xf>
    <xf numFmtId="0" fontId="2" fillId="4" borderId="0" xfId="0" applyFont="1" applyFill="1" applyAlignment="1"/>
    <xf numFmtId="0" fontId="1" fillId="4" borderId="0" xfId="0" applyFont="1" applyFill="1" applyAlignment="1">
      <alignment vertical="center"/>
    </xf>
    <xf numFmtId="0" fontId="3" fillId="4" borderId="0" xfId="0" applyFont="1" applyFill="1" applyAlignment="1">
      <alignment vertical="top"/>
    </xf>
    <xf numFmtId="0" fontId="4" fillId="3" borderId="0" xfId="0" applyFont="1" applyFill="1" applyAlignment="1"/>
    <xf numFmtId="0" fontId="7" fillId="5" borderId="0" xfId="0" applyFont="1" applyFill="1" applyAlignment="1">
      <alignment horizontal="center" vertical="center"/>
    </xf>
    <xf numFmtId="0" fontId="8" fillId="2" borderId="0" xfId="0" applyFont="1" applyFill="1" applyAlignment="1">
      <alignment horizontal="left" vertical="center" indent="1"/>
    </xf>
    <xf numFmtId="0" fontId="8" fillId="2" borderId="0" xfId="0" applyFont="1" applyFill="1" applyAlignment="1">
      <alignment horizontal="center" vertical="center" wrapText="1"/>
    </xf>
    <xf numFmtId="0" fontId="1" fillId="4" borderId="2" xfId="0" applyFont="1" applyFill="1" applyBorder="1" applyAlignment="1">
      <alignment horizontal="left" vertical="center" indent="1"/>
    </xf>
    <xf numFmtId="164" fontId="1" fillId="4" borderId="2" xfId="0" applyNumberFormat="1" applyFont="1" applyFill="1" applyBorder="1" applyAlignment="1">
      <alignment horizontal="right" vertical="center"/>
    </xf>
    <xf numFmtId="165" fontId="1" fillId="4" borderId="2" xfId="0" applyNumberFormat="1" applyFont="1" applyFill="1" applyBorder="1" applyAlignment="1">
      <alignment horizontal="right" vertical="center"/>
    </xf>
    <xf numFmtId="166" fontId="1" fillId="4" borderId="2" xfId="0" applyNumberFormat="1" applyFont="1" applyFill="1" applyBorder="1" applyAlignment="1">
      <alignment horizontal="right" vertical="center"/>
    </xf>
    <xf numFmtId="0" fontId="9" fillId="6" borderId="2" xfId="0" applyFont="1" applyFill="1" applyBorder="1" applyAlignment="1">
      <alignment horizontal="left" vertical="center" indent="1"/>
    </xf>
    <xf numFmtId="164" fontId="9" fillId="6" borderId="2" xfId="0" applyNumberFormat="1" applyFont="1" applyFill="1" applyBorder="1" applyAlignment="1">
      <alignment horizontal="right" vertical="center"/>
    </xf>
    <xf numFmtId="165" fontId="9" fillId="6" borderId="2" xfId="0" applyNumberFormat="1" applyFont="1" applyFill="1" applyBorder="1" applyAlignment="1">
      <alignment horizontal="right" vertical="center"/>
    </xf>
    <xf numFmtId="166" fontId="9" fillId="6" borderId="2" xfId="0" applyNumberFormat="1" applyFont="1" applyFill="1" applyBorder="1" applyAlignment="1">
      <alignment horizontal="right" vertical="center"/>
    </xf>
    <xf numFmtId="0" fontId="3" fillId="4" borderId="2" xfId="0" applyFont="1" applyFill="1" applyBorder="1" applyAlignment="1">
      <alignment horizontal="left" vertical="center" indent="1"/>
    </xf>
    <xf numFmtId="167" fontId="1" fillId="4" borderId="2" xfId="0" applyNumberFormat="1" applyFont="1" applyFill="1" applyBorder="1" applyAlignment="1">
      <alignment horizontal="right" vertical="center"/>
    </xf>
    <xf numFmtId="168" fontId="1" fillId="4" borderId="2" xfId="0" applyNumberFormat="1" applyFont="1" applyFill="1" applyBorder="1" applyAlignment="1">
      <alignment horizontal="right" vertical="center"/>
    </xf>
    <xf numFmtId="0" fontId="10" fillId="3" borderId="0" xfId="0" applyFont="1" applyFill="1" applyAlignment="1">
      <alignment vertical="center"/>
    </xf>
    <xf numFmtId="0" fontId="1" fillId="4" borderId="2" xfId="0" applyFont="1" applyFill="1" applyBorder="1" applyAlignment="1">
      <alignment horizontal="left" vertical="center" indent="2"/>
    </xf>
    <xf numFmtId="169" fontId="1" fillId="4" borderId="2" xfId="0" applyNumberFormat="1" applyFont="1" applyFill="1" applyBorder="1" applyAlignment="1">
      <alignment horizontal="right" vertical="center"/>
    </xf>
    <xf numFmtId="170" fontId="1" fillId="4" borderId="2" xfId="0" applyNumberFormat="1" applyFont="1" applyFill="1" applyBorder="1" applyAlignment="1">
      <alignment horizontal="right" vertical="center"/>
    </xf>
    <xf numFmtId="169" fontId="9" fillId="6" borderId="2" xfId="0" applyNumberFormat="1" applyFont="1" applyFill="1" applyBorder="1" applyAlignment="1">
      <alignment horizontal="right" vertical="center"/>
    </xf>
    <xf numFmtId="170" fontId="9" fillId="6" borderId="2" xfId="0" applyNumberFormat="1" applyFont="1" applyFill="1" applyBorder="1" applyAlignment="1">
      <alignment horizontal="right" vertical="center"/>
    </xf>
    <xf numFmtId="171" fontId="1" fillId="4" borderId="2" xfId="0" applyNumberFormat="1" applyFont="1" applyFill="1" applyBorder="1" applyAlignment="1">
      <alignment horizontal="right" vertical="center"/>
    </xf>
    <xf numFmtId="172" fontId="1" fillId="4" borderId="2" xfId="0" applyNumberFormat="1" applyFont="1" applyFill="1" applyBorder="1" applyAlignment="1">
      <alignment horizontal="right" vertical="center"/>
    </xf>
    <xf numFmtId="0" fontId="2" fillId="4" borderId="0" xfId="0" applyFont="1" applyFill="1" applyAlignment="1">
      <alignment vertical="center"/>
    </xf>
    <xf numFmtId="0" fontId="11" fillId="4" borderId="0" xfId="0" applyFont="1" applyFill="1" applyAlignment="1">
      <alignment vertical="center"/>
    </xf>
    <xf numFmtId="0" fontId="12" fillId="4" borderId="0" xfId="0" applyFont="1" applyFill="1" applyAlignment="1">
      <alignment vertical="center"/>
    </xf>
    <xf numFmtId="0" fontId="13" fillId="4" borderId="0" xfId="0" applyFont="1" applyFill="1" applyAlignment="1">
      <alignment vertical="center"/>
    </xf>
    <xf numFmtId="0" fontId="14" fillId="4" borderId="2" xfId="0" applyFont="1" applyFill="1" applyBorder="1" applyAlignment="1">
      <alignment vertical="center"/>
    </xf>
    <xf numFmtId="0" fontId="15" fillId="2" borderId="2" xfId="0" applyFont="1" applyFill="1" applyBorder="1" applyAlignment="1">
      <alignment horizontal="left" vertical="center" wrapText="1"/>
    </xf>
    <xf numFmtId="0" fontId="15" fillId="2" borderId="2" xfId="0" applyFont="1" applyFill="1" applyBorder="1" applyAlignment="1">
      <alignment horizontal="center" vertical="center" wrapText="1"/>
    </xf>
    <xf numFmtId="173" fontId="14" fillId="4" borderId="2" xfId="0" applyNumberFormat="1" applyFont="1" applyFill="1" applyBorder="1" applyAlignment="1">
      <alignment vertical="center"/>
    </xf>
    <xf numFmtId="174" fontId="14" fillId="4" borderId="2" xfId="0" applyNumberFormat="1" applyFont="1" applyFill="1" applyBorder="1" applyAlignment="1">
      <alignment vertical="center"/>
    </xf>
    <xf numFmtId="0" fontId="16" fillId="4" borderId="2" xfId="0" applyFont="1" applyFill="1" applyBorder="1" applyAlignment="1">
      <alignment vertical="center"/>
    </xf>
    <xf numFmtId="173" fontId="16" fillId="4" borderId="3" xfId="0" applyNumberFormat="1" applyFont="1" applyFill="1" applyBorder="1" applyAlignment="1">
      <alignment vertical="center"/>
    </xf>
    <xf numFmtId="174" fontId="16" fillId="4" borderId="3" xfId="0" applyNumberFormat="1" applyFont="1" applyFill="1" applyBorder="1" applyAlignment="1">
      <alignment vertical="center"/>
    </xf>
    <xf numFmtId="0" fontId="17" fillId="4" borderId="2" xfId="0" applyFont="1" applyFill="1" applyBorder="1" applyAlignment="1">
      <alignment vertical="center"/>
    </xf>
    <xf numFmtId="174" fontId="17" fillId="4" borderId="2" xfId="0" applyNumberFormat="1" applyFont="1" applyFill="1" applyBorder="1" applyAlignment="1">
      <alignment vertical="center"/>
    </xf>
    <xf numFmtId="0" fontId="18" fillId="4" borderId="2" xfId="0" applyFont="1" applyFill="1" applyBorder="1" applyAlignment="1">
      <alignment vertical="center"/>
    </xf>
    <xf numFmtId="173" fontId="16" fillId="4" borderId="4" xfId="0" applyNumberFormat="1" applyFont="1" applyFill="1" applyBorder="1" applyAlignment="1">
      <alignment vertical="center"/>
    </xf>
    <xf numFmtId="174" fontId="16" fillId="4" borderId="4" xfId="0" applyNumberFormat="1" applyFont="1" applyFill="1" applyBorder="1" applyAlignment="1">
      <alignment vertical="center"/>
    </xf>
    <xf numFmtId="0" fontId="19" fillId="4" borderId="2" xfId="0" applyFont="1" applyFill="1" applyBorder="1" applyAlignment="1">
      <alignment vertical="center"/>
    </xf>
    <xf numFmtId="0" fontId="19" fillId="0" borderId="0" xfId="0" applyFont="1" applyAlignment="1">
      <alignment horizontal="center" vertical="center"/>
    </xf>
    <xf numFmtId="0" fontId="15" fillId="2" borderId="2" xfId="0" applyFont="1" applyFill="1" applyBorder="1" applyAlignment="1">
      <alignment horizontal="center" vertical="center"/>
    </xf>
    <xf numFmtId="175" fontId="15" fillId="2" borderId="2" xfId="0" applyNumberFormat="1" applyFont="1" applyFill="1" applyBorder="1" applyAlignment="1">
      <alignment horizontal="center" vertical="center"/>
    </xf>
    <xf numFmtId="0" fontId="15" fillId="5" borderId="2" xfId="0" applyFont="1" applyFill="1" applyBorder="1" applyAlignment="1">
      <alignment vertical="center"/>
    </xf>
    <xf numFmtId="0" fontId="14" fillId="5" borderId="2" xfId="0" applyFont="1" applyFill="1" applyBorder="1" applyAlignment="1">
      <alignment vertical="center"/>
    </xf>
    <xf numFmtId="0" fontId="16" fillId="4" borderId="3" xfId="0" applyFont="1" applyFill="1" applyBorder="1" applyAlignment="1">
      <alignment vertical="center"/>
    </xf>
    <xf numFmtId="0" fontId="16" fillId="4" borderId="4" xfId="0" applyFont="1" applyFill="1" applyBorder="1" applyAlignment="1">
      <alignment vertical="center"/>
    </xf>
    <xf numFmtId="176" fontId="17" fillId="4" borderId="2" xfId="0" applyNumberFormat="1" applyFont="1" applyFill="1" applyBorder="1" applyAlignment="1">
      <alignment vertical="center"/>
    </xf>
    <xf numFmtId="173" fontId="16" fillId="4" borderId="2" xfId="0" applyNumberFormat="1" applyFont="1" applyFill="1" applyBorder="1" applyAlignment="1">
      <alignment vertical="center"/>
    </xf>
    <xf numFmtId="173" fontId="17" fillId="4" borderId="2" xfId="0" applyNumberFormat="1" applyFont="1" applyFill="1" applyBorder="1" applyAlignment="1">
      <alignment vertical="center"/>
    </xf>
    <xf numFmtId="174" fontId="14" fillId="4" borderId="2" xfId="0" applyNumberFormat="1" applyFont="1" applyFill="1" applyBorder="1" applyAlignment="1">
      <alignment horizontal="right" vertical="center"/>
    </xf>
    <xf numFmtId="174" fontId="16" fillId="4" borderId="2" xfId="0" applyNumberFormat="1" applyFont="1" applyFill="1" applyBorder="1" applyAlignment="1">
      <alignment horizontal="right" vertical="center"/>
    </xf>
    <xf numFmtId="174" fontId="20" fillId="7" borderId="2" xfId="0" applyNumberFormat="1" applyFont="1" applyFill="1" applyBorder="1" applyAlignment="1">
      <alignment horizontal="right" vertical="center"/>
    </xf>
    <xf numFmtId="0" fontId="20" fillId="7" borderId="2" xfId="0" applyFont="1" applyFill="1" applyBorder="1" applyAlignment="1">
      <alignment horizontal="center" vertical="center"/>
    </xf>
    <xf numFmtId="0" fontId="14" fillId="4" borderId="2" xfId="0" applyFont="1" applyFill="1" applyBorder="1" applyAlignment="1">
      <alignment horizontal="center" vertical="center"/>
    </xf>
    <xf numFmtId="0" fontId="19" fillId="4" borderId="2" xfId="0" applyFont="1" applyFill="1" applyBorder="1" applyAlignment="1">
      <alignment vertical="center" wrapText="1"/>
    </xf>
    <xf numFmtId="177" fontId="14" fillId="4" borderId="2" xfId="0" applyNumberFormat="1" applyFont="1" applyFill="1" applyBorder="1" applyAlignment="1">
      <alignment horizontal="right" vertical="center"/>
    </xf>
    <xf numFmtId="177" fontId="16" fillId="4" borderId="2" xfId="0" applyNumberFormat="1" applyFont="1" applyFill="1" applyBorder="1" applyAlignment="1">
      <alignment horizontal="right" vertical="center"/>
    </xf>
    <xf numFmtId="177" fontId="20" fillId="7" borderId="2" xfId="0" applyNumberFormat="1" applyFont="1" applyFill="1" applyBorder="1" applyAlignment="1">
      <alignment horizontal="right" vertical="center"/>
    </xf>
    <xf numFmtId="173" fontId="14" fillId="4" borderId="2" xfId="0" applyNumberFormat="1" applyFont="1" applyFill="1" applyBorder="1" applyAlignment="1">
      <alignment horizontal="right" vertical="center"/>
    </xf>
    <xf numFmtId="173" fontId="16" fillId="4" borderId="2" xfId="0" applyNumberFormat="1" applyFont="1" applyFill="1" applyBorder="1" applyAlignment="1">
      <alignment horizontal="right" vertical="center"/>
    </xf>
    <xf numFmtId="173" fontId="20" fillId="7" borderId="2" xfId="0" applyNumberFormat="1" applyFont="1" applyFill="1" applyBorder="1" applyAlignment="1">
      <alignment horizontal="right" vertical="center"/>
    </xf>
    <xf numFmtId="178" fontId="14" fillId="4" borderId="2" xfId="0" applyNumberFormat="1" applyFont="1" applyFill="1" applyBorder="1" applyAlignment="1">
      <alignment horizontal="right" vertical="center"/>
    </xf>
    <xf numFmtId="178" fontId="16" fillId="4" borderId="2" xfId="0" applyNumberFormat="1" applyFont="1" applyFill="1" applyBorder="1" applyAlignment="1">
      <alignment horizontal="right" vertical="center"/>
    </xf>
    <xf numFmtId="178" fontId="20" fillId="7" borderId="2" xfId="0" applyNumberFormat="1" applyFont="1" applyFill="1" applyBorder="1" applyAlignment="1">
      <alignment horizontal="right" vertical="center"/>
    </xf>
    <xf numFmtId="179" fontId="14" fillId="4" borderId="2" xfId="0" applyNumberFormat="1" applyFont="1" applyFill="1" applyBorder="1" applyAlignment="1">
      <alignment horizontal="right" vertical="center"/>
    </xf>
    <xf numFmtId="179" fontId="16" fillId="4" borderId="2" xfId="0" applyNumberFormat="1" applyFont="1" applyFill="1" applyBorder="1" applyAlignment="1">
      <alignment horizontal="right" vertical="center"/>
    </xf>
    <xf numFmtId="179" fontId="20" fillId="7" borderId="2" xfId="0" applyNumberFormat="1" applyFont="1" applyFill="1" applyBorder="1" applyAlignment="1">
      <alignment horizontal="right" vertical="center"/>
    </xf>
    <xf numFmtId="0" fontId="16" fillId="4" borderId="2" xfId="0" applyFont="1" applyFill="1" applyBorder="1" applyAlignment="1">
      <alignment vertical="top"/>
    </xf>
    <xf numFmtId="0" fontId="14" fillId="4" borderId="2" xfId="0" applyFont="1" applyFill="1" applyBorder="1" applyAlignment="1">
      <alignment vertical="top" wrapText="1"/>
    </xf>
    <xf numFmtId="0" fontId="20" fillId="7" borderId="2" xfId="0" applyFont="1" applyFill="1" applyBorder="1" applyAlignment="1">
      <alignment vertical="top" wrapText="1"/>
    </xf>
    <xf numFmtId="0" fontId="19" fillId="4" borderId="2" xfId="0" applyFont="1" applyFill="1" applyBorder="1" applyAlignment="1">
      <alignment vertical="top" wrapText="1"/>
    </xf>
    <xf numFmtId="0" fontId="16" fillId="4" borderId="2" xfId="0" applyFont="1" applyFill="1" applyBorder="1" applyAlignment="1">
      <alignment horizontal="center" vertical="center"/>
    </xf>
    <xf numFmtId="175" fontId="16" fillId="4" borderId="2" xfId="0" applyNumberFormat="1" applyFont="1" applyFill="1" applyBorder="1" applyAlignment="1">
      <alignment horizontal="center" vertical="center"/>
    </xf>
    <xf numFmtId="0" fontId="22" fillId="0" borderId="0" xfId="0" applyFont="1" applyAlignment="1">
      <alignment vertical="center"/>
    </xf>
    <xf numFmtId="0" fontId="23" fillId="0" borderId="0" xfId="0" applyFont="1" applyAlignment="1">
      <alignment vertical="center"/>
    </xf>
    <xf numFmtId="0" fontId="11" fillId="0" borderId="0" xfId="0" applyFont="1" applyAlignment="1">
      <alignment vertical="center"/>
    </xf>
    <xf numFmtId="0" fontId="9" fillId="0" borderId="0" xfId="0" applyFont="1" applyAlignment="1">
      <alignment vertical="top"/>
    </xf>
    <xf numFmtId="0" fontId="1" fillId="0" borderId="0" xfId="0" applyFont="1" applyAlignment="1">
      <alignment vertical="top" wrapText="1"/>
    </xf>
    <xf numFmtId="0" fontId="24" fillId="0" borderId="0" xfId="0" applyFont="1" applyAlignment="1">
      <alignment vertical="center"/>
    </xf>
    <xf numFmtId="0" fontId="19" fillId="0" borderId="0" xfId="0" applyFont="1" applyAlignment="1">
      <alignment vertical="center"/>
    </xf>
    <xf numFmtId="0" fontId="16" fillId="0" borderId="0" xfId="0" applyFont="1" applyAlignment="1">
      <alignment vertical="center"/>
    </xf>
    <xf numFmtId="0" fontId="20" fillId="7" borderId="0" xfId="0" applyFont="1" applyFill="1" applyAlignment="1">
      <alignment horizontal="left" vertical="center"/>
    </xf>
    <xf numFmtId="175" fontId="20" fillId="7" borderId="0" xfId="0" applyNumberFormat="1" applyFont="1" applyFill="1" applyAlignment="1">
      <alignment horizontal="left" vertical="center"/>
    </xf>
    <xf numFmtId="0" fontId="16" fillId="6" borderId="0" xfId="0" applyFont="1" applyFill="1" applyAlignment="1">
      <alignment horizontal="left" vertical="center"/>
    </xf>
    <xf numFmtId="180" fontId="20" fillId="7" borderId="0" xfId="0" applyNumberFormat="1" applyFont="1" applyFill="1" applyAlignment="1">
      <alignment horizontal="left" vertical="center"/>
    </xf>
    <xf numFmtId="0" fontId="18" fillId="0" borderId="0" xfId="0" applyFont="1" applyAlignment="1">
      <alignment vertical="center"/>
    </xf>
    <xf numFmtId="0" fontId="14" fillId="0" borderId="0" xfId="0" applyFont="1" applyAlignment="1">
      <alignment vertical="center"/>
    </xf>
    <xf numFmtId="175" fontId="14" fillId="0" borderId="0" xfId="0" applyNumberFormat="1" applyFont="1" applyAlignment="1">
      <alignment horizontal="left" vertical="center"/>
    </xf>
    <xf numFmtId="0" fontId="14" fillId="0" borderId="0" xfId="0" applyFont="1" applyAlignment="1">
      <alignment horizontal="left" vertical="center"/>
    </xf>
    <xf numFmtId="1" fontId="14" fillId="0" borderId="0" xfId="0" applyNumberFormat="1" applyFont="1" applyAlignment="1">
      <alignment horizontal="left" vertical="center"/>
    </xf>
    <xf numFmtId="180" fontId="14" fillId="0" borderId="0" xfId="0" applyNumberFormat="1" applyFont="1" applyAlignment="1">
      <alignment horizontal="left" vertical="center"/>
    </xf>
    <xf numFmtId="0" fontId="15" fillId="2" borderId="0" xfId="0" applyFont="1" applyFill="1" applyAlignment="1">
      <alignment horizontal="left" vertical="center" wrapText="1"/>
    </xf>
    <xf numFmtId="0" fontId="15" fillId="2" borderId="0" xfId="0" applyFont="1" applyFill="1" applyAlignment="1">
      <alignment horizontal="center" vertical="center" wrapText="1"/>
    </xf>
    <xf numFmtId="0" fontId="14" fillId="0" borderId="0" xfId="0" applyFont="1" applyAlignment="1">
      <alignment horizontal="center" vertical="center"/>
    </xf>
    <xf numFmtId="17" fontId="14" fillId="0" borderId="0" xfId="0" applyNumberFormat="1" applyFont="1" applyAlignment="1">
      <alignment horizontal="center" vertical="center"/>
    </xf>
    <xf numFmtId="17" fontId="15" fillId="2" borderId="0" xfId="0" applyNumberFormat="1" applyFont="1" applyFill="1" applyAlignment="1">
      <alignment horizontal="center" vertical="center"/>
    </xf>
    <xf numFmtId="0" fontId="19" fillId="6" borderId="0" xfId="0" applyFont="1" applyFill="1" applyAlignment="1">
      <alignment vertical="center"/>
    </xf>
    <xf numFmtId="173" fontId="19" fillId="6" borderId="0" xfId="0" applyNumberFormat="1" applyFont="1" applyFill="1" applyAlignment="1">
      <alignment vertical="center"/>
    </xf>
    <xf numFmtId="0" fontId="20" fillId="7" borderId="0" xfId="0" applyFont="1" applyFill="1" applyAlignment="1">
      <alignment vertical="center"/>
    </xf>
    <xf numFmtId="173" fontId="20" fillId="7" borderId="0" xfId="0" applyNumberFormat="1" applyFont="1" applyFill="1" applyAlignment="1">
      <alignment vertical="center"/>
    </xf>
    <xf numFmtId="0" fontId="25" fillId="0" borderId="0" xfId="0" applyFont="1" applyAlignment="1">
      <alignment horizontal="center" vertical="center"/>
    </xf>
    <xf numFmtId="0" fontId="16" fillId="0" borderId="5" xfId="0" applyFont="1" applyBorder="1" applyAlignment="1">
      <alignment vertical="center"/>
    </xf>
    <xf numFmtId="0" fontId="14" fillId="0" borderId="5" xfId="0" applyFont="1" applyBorder="1" applyAlignment="1">
      <alignment vertical="center"/>
    </xf>
    <xf numFmtId="173" fontId="16" fillId="0" borderId="5" xfId="0" applyNumberFormat="1" applyFont="1" applyBorder="1" applyAlignment="1">
      <alignment vertical="center"/>
    </xf>
    <xf numFmtId="0" fontId="16" fillId="0" borderId="0" xfId="0" applyFont="1" applyAlignment="1">
      <alignment horizontal="center" vertical="center"/>
    </xf>
    <xf numFmtId="0" fontId="15" fillId="2" borderId="0" xfId="0" applyFont="1" applyFill="1" applyAlignment="1">
      <alignment horizontal="center" vertical="center"/>
    </xf>
    <xf numFmtId="173" fontId="16" fillId="0" borderId="0" xfId="0" applyNumberFormat="1" applyFont="1" applyAlignment="1">
      <alignment vertical="center"/>
    </xf>
    <xf numFmtId="0" fontId="16" fillId="0" borderId="4" xfId="0" applyFont="1" applyBorder="1" applyAlignment="1">
      <alignment vertical="center"/>
    </xf>
    <xf numFmtId="173" fontId="16" fillId="0" borderId="4" xfId="0" applyNumberFormat="1" applyFont="1" applyBorder="1" applyAlignment="1">
      <alignment vertical="center"/>
    </xf>
    <xf numFmtId="176" fontId="14" fillId="0" borderId="0" xfId="0" applyNumberFormat="1" applyFont="1" applyAlignment="1">
      <alignment horizontal="right" vertical="center"/>
    </xf>
    <xf numFmtId="0" fontId="19" fillId="0" borderId="0" xfId="0" applyFont="1" applyAlignment="1">
      <alignment vertical="center" wrapText="1"/>
    </xf>
    <xf numFmtId="0" fontId="17" fillId="0" borderId="0" xfId="0" applyFont="1" applyAlignment="1">
      <alignment vertical="center"/>
    </xf>
    <xf numFmtId="17" fontId="16" fillId="0" borderId="0" xfId="0" applyNumberFormat="1" applyFont="1" applyAlignment="1">
      <alignment horizontal="center" vertical="center"/>
    </xf>
    <xf numFmtId="173" fontId="14" fillId="0" borderId="0" xfId="0" applyNumberFormat="1" applyFont="1" applyAlignment="1">
      <alignment vertical="center"/>
    </xf>
    <xf numFmtId="0" fontId="26" fillId="0" borderId="0" xfId="0" applyFont="1" applyAlignment="1">
      <alignment vertical="center"/>
    </xf>
    <xf numFmtId="0" fontId="1" fillId="0" borderId="0" xfId="0" applyFont="1" applyAlignment="1">
      <alignment vertical="center"/>
    </xf>
    <xf numFmtId="0" fontId="27" fillId="2" borderId="0" xfId="0" applyFont="1" applyFill="1" applyAlignment="1">
      <alignment vertical="center"/>
    </xf>
    <xf numFmtId="0" fontId="26" fillId="0" borderId="6" xfId="0" applyFont="1" applyBorder="1" applyAlignment="1">
      <alignment vertical="center"/>
    </xf>
    <xf numFmtId="181" fontId="1" fillId="0" borderId="0" xfId="0" applyNumberFormat="1" applyFont="1" applyAlignment="1">
      <alignment vertical="center"/>
    </xf>
    <xf numFmtId="182" fontId="1" fillId="0" borderId="0" xfId="0" applyNumberFormat="1" applyFont="1" applyAlignment="1">
      <alignment vertical="center"/>
    </xf>
    <xf numFmtId="2" fontId="1" fillId="0" borderId="0" xfId="0" applyNumberFormat="1" applyFont="1" applyAlignment="1">
      <alignment vertical="center"/>
    </xf>
    <xf numFmtId="180" fontId="1" fillId="0" borderId="0" xfId="0" applyNumberFormat="1" applyFont="1" applyAlignment="1">
      <alignment vertical="center"/>
    </xf>
    <xf numFmtId="0" fontId="1" fillId="4" borderId="2" xfId="0" applyFont="1" applyFill="1" applyBorder="1" applyAlignment="1">
      <alignment horizontal="left" vertical="center" indent="1"/>
    </xf>
    <xf numFmtId="0" fontId="9" fillId="6" borderId="2" xfId="0" applyFont="1" applyFill="1" applyBorder="1" applyAlignment="1">
      <alignment horizontal="left" vertical="center" indent="1"/>
    </xf>
    <xf numFmtId="0" fontId="8" fillId="2" borderId="0" xfId="0" applyFont="1" applyFill="1" applyAlignment="1">
      <alignment horizontal="center" vertical="center" wrapText="1"/>
    </xf>
    <xf numFmtId="0" fontId="5" fillId="4" borderId="1" xfId="0" applyFont="1" applyFill="1" applyBorder="1" applyAlignment="1">
      <alignment horizontal="left" vertical="center" indent="1"/>
    </xf>
    <xf numFmtId="0" fontId="6" fillId="4" borderId="0" xfId="0" applyFont="1" applyFill="1" applyAlignment="1">
      <alignment vertical="top" wrapText="1" indent="1"/>
    </xf>
    <xf numFmtId="0" fontId="7" fillId="5" borderId="0" xfId="0" applyFont="1" applyFill="1" applyAlignment="1">
      <alignment horizontal="center" vertical="center"/>
    </xf>
    <xf numFmtId="0" fontId="15" fillId="5" borderId="2" xfId="0" applyFont="1" applyFill="1" applyBorder="1" applyAlignment="1">
      <alignment horizontal="center" vertical="center"/>
    </xf>
    <xf numFmtId="0" fontId="21" fillId="4" borderId="2" xfId="0" applyFont="1" applyFill="1" applyBorder="1" applyAlignment="1">
      <alignment vertical="center" wrapText="1"/>
    </xf>
    <xf numFmtId="0" fontId="19" fillId="4" borderId="2" xfId="0" applyFont="1" applyFill="1" applyBorder="1" applyAlignment="1">
      <alignment vertical="center" wrapText="1"/>
    </xf>
  </cellXfs>
  <cellStyles count="1">
    <cellStyle name="Normal" xfId="0" builtinId="0"/>
  </cellStyles>
  <dxfs count="41">
    <dxf>
      <font>
        <color rgb="FFC8372D"/>
      </font>
      <fill>
        <patternFill>
          <bgColor rgb="FFFBE3E0"/>
        </patternFill>
      </fill>
    </dxf>
    <dxf>
      <font>
        <color rgb="FF1E8E5A"/>
      </font>
      <fill>
        <patternFill>
          <bgColor rgb="FFDDF3E6"/>
        </patternFill>
      </fill>
    </dxf>
    <dxf>
      <font>
        <color rgb="FF8A6500"/>
      </font>
      <fill>
        <patternFill>
          <bgColor rgb="FFFFF3CF"/>
        </patternFill>
      </fill>
    </dxf>
    <dxf>
      <font>
        <color rgb="FFC8372D"/>
      </font>
    </dxf>
    <dxf>
      <font>
        <color rgb="FF1E8E5A"/>
      </font>
    </dxf>
    <dxf>
      <font>
        <color rgb="FF8A6500"/>
      </font>
      <fill>
        <patternFill>
          <bgColor rgb="FFFFF3CF"/>
        </patternFill>
      </fill>
    </dxf>
    <dxf>
      <font>
        <color rgb="FFC8372D"/>
      </font>
      <fill>
        <patternFill>
          <bgColor rgb="FFFBE3E0"/>
        </patternFill>
      </fill>
    </dxf>
    <dxf>
      <font>
        <color rgb="FF1E8E5A"/>
      </font>
      <fill>
        <patternFill>
          <bgColor rgb="FFDDF3E6"/>
        </patternFill>
      </fill>
    </dxf>
    <dxf>
      <font>
        <color rgb="FF8A6500"/>
      </font>
      <fill>
        <patternFill>
          <bgColor rgb="FFFFF3CF"/>
        </patternFill>
      </fill>
    </dxf>
    <dxf>
      <font>
        <color rgb="FF1E8E5A"/>
      </font>
      <fill>
        <patternFill>
          <bgColor rgb="FFDDF3E6"/>
        </patternFill>
      </fill>
    </dxf>
    <dxf>
      <font>
        <color rgb="FF1E8E5A"/>
      </font>
    </dxf>
    <dxf>
      <font>
        <color rgb="FFC8372D"/>
      </font>
    </dxf>
    <dxf>
      <font>
        <color rgb="FF1E8E5A"/>
      </font>
    </dxf>
    <dxf>
      <font>
        <color rgb="FFC8372D"/>
      </font>
      <fill>
        <patternFill>
          <bgColor rgb="FFFBE3E0"/>
        </patternFill>
      </fill>
    </dxf>
    <dxf>
      <font>
        <color rgb="FF1E8E5A"/>
      </font>
      <fill>
        <patternFill>
          <bgColor rgb="FFDDF3E6"/>
        </patternFill>
      </fill>
    </dxf>
    <dxf>
      <font>
        <color rgb="FF1E8E5A"/>
      </font>
    </dxf>
    <dxf>
      <font>
        <color rgb="FFC8372D"/>
      </font>
    </dxf>
    <dxf>
      <font>
        <color rgb="FF1E8E5A"/>
      </font>
    </dxf>
    <dxf>
      <font>
        <color rgb="FFC8372D"/>
      </font>
    </dxf>
    <dxf>
      <font>
        <color rgb="FF1E8E5A"/>
      </font>
    </dxf>
    <dxf>
      <font>
        <color rgb="FFC8372D"/>
      </font>
    </dxf>
    <dxf>
      <font>
        <color rgb="FF1E8E5A"/>
      </font>
    </dxf>
    <dxf>
      <font>
        <color rgb="FFC8372D"/>
      </font>
    </dxf>
    <dxf>
      <font>
        <color rgb="FF1E8E5A"/>
      </font>
    </dxf>
    <dxf>
      <font>
        <color rgb="FFC8372D"/>
      </font>
    </dxf>
    <dxf>
      <font>
        <color rgb="FF1E8E5A"/>
      </font>
    </dxf>
    <dxf>
      <font>
        <color rgb="FFC8372D"/>
      </font>
    </dxf>
    <dxf>
      <font>
        <color rgb="FFC8372D"/>
      </font>
    </dxf>
    <dxf>
      <font>
        <color rgb="FF1E8E5A"/>
      </font>
    </dxf>
    <dxf>
      <font>
        <color rgb="FFC8372D"/>
      </font>
    </dxf>
    <dxf>
      <font>
        <color rgb="FF1E8E5A"/>
      </font>
    </dxf>
    <dxf>
      <font>
        <color rgb="FFC8372D"/>
      </font>
    </dxf>
    <dxf>
      <font>
        <color rgb="FF1E8E5A"/>
      </font>
    </dxf>
    <dxf>
      <font>
        <color rgb="FFC8372D"/>
      </font>
    </dxf>
    <dxf>
      <font>
        <color rgb="FF1E8E5A"/>
      </font>
    </dxf>
    <dxf>
      <font>
        <color rgb="FFC8372D"/>
      </font>
    </dxf>
    <dxf>
      <font>
        <color rgb="FF1E8E5A"/>
      </font>
    </dxf>
    <dxf>
      <font>
        <color rgb="FFC8372D"/>
      </font>
    </dxf>
    <dxf>
      <font>
        <color rgb="FF1E8E5A"/>
      </font>
    </dxf>
    <dxf>
      <font>
        <b/>
        <i val="0"/>
        <color rgb="FFC9D6E3"/>
      </font>
      <fill>
        <patternFill>
          <bgColor rgb="FF10243E"/>
        </patternFill>
      </fill>
    </dxf>
    <dxf>
      <font>
        <color rgb="FFC9D6E3"/>
      </font>
      <fill>
        <patternFill>
          <bgColor rgb="FF10243E"/>
        </patternFill>
      </fill>
    </dxf>
  </dxfs>
  <tableStyles count="2" defaultTableStyle="TableStyleMedium9" defaultPivotStyle="PivotStyleLight16">
    <tableStyle name="Invisible" pivot="0" table="0" count="0" xr9:uid="{6DA0D09F-B220-4398-BD5C-CABC9E5E3BDD}"/>
    <tableStyle name="RailSlicer" pivot="0" table="0" count="10" xr9:uid="{E90815C8-0DEB-43CB-8239-432CD5848B95}">
      <tableStyleElement type="wholeTable" dxfId="40"/>
      <tableStyleElement type="headerRow" dxfId="39"/>
    </tableStyle>
  </tableStyles>
  <extLst>
    <ext xmlns:x14="http://schemas.microsoft.com/office/spreadsheetml/2009/9/main" uri="{46F421CA-312F-682f-3DD2-61675219B42D}">
      <x14:dxfs count="8">
        <dxf>
          <font>
            <color rgb="FFFFFFFF"/>
          </font>
          <fill>
            <patternFill>
              <bgColor rgb="FF12A3A3"/>
            </patternFill>
          </fill>
        </dxf>
        <dxf>
          <font>
            <color rgb="FFFFFFFF"/>
          </font>
          <fill>
            <patternFill>
              <bgColor rgb="FF2A4A73"/>
            </patternFill>
          </fill>
        </dxf>
        <dxf>
          <font>
            <color rgb="FFFFFFFF"/>
          </font>
          <fill>
            <patternFill>
              <bgColor rgb="FF12A3A3"/>
            </patternFill>
          </fill>
        </dxf>
        <dxf>
          <font>
            <color rgb="FFFFFFFF"/>
          </font>
          <fill>
            <patternFill>
              <bgColor rgb="FF2A4A73"/>
            </patternFill>
          </fill>
        </dxf>
        <dxf>
          <font>
            <color rgb="FFFFFFFF"/>
          </font>
          <fill>
            <patternFill>
              <bgColor rgb="FF0E8A8A"/>
            </patternFill>
          </fill>
        </dxf>
        <dxf>
          <font>
            <color rgb="FFFFFFFF"/>
          </font>
          <fill>
            <patternFill>
              <bgColor rgb="FF0E8A8A"/>
            </patternFill>
          </fill>
        </dxf>
        <dxf>
          <font>
            <color rgb="FF6B7280"/>
          </font>
          <fill>
            <patternFill>
              <bgColor rgb="FF1B3556"/>
            </patternFill>
          </fill>
        </dxf>
        <dxf>
          <font>
            <color rgb="FFC9D6E3"/>
          </font>
          <fill>
            <patternFill>
              <bgColor rgb="FF1B3556"/>
            </patternFill>
          </fill>
        </dxf>
      </x14:dxfs>
    </ext>
    <ext xmlns:x14="http://schemas.microsoft.com/office/spreadsheetml/2009/9/main" uri="{EB79DEF2-80B8-43e5-95BD-54CBDDF9020C}">
      <x14:slicerStyles defaultSlicerStyle="SlicerStyleLight1">
        <x14:slicerStyle name="Rail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7/relationships/slicerCache" Target="slicerCaches/slicerCache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1.xml"/><Relationship Id="rId2" Type="http://schemas.openxmlformats.org/officeDocument/2006/relationships/worksheet" Target="worksheets/sheet2.xml"/><Relationship Id="rId16" Type="http://schemas.openxmlformats.org/officeDocument/2006/relationships/worksheet" Target="worksheets/sheet16.xml"/><Relationship Id="rId20" Type="http://schemas.microsoft.com/office/2007/relationships/slicerCache" Target="slicerCaches/slicerCache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microsoft.com/office/2007/relationships/slicerCache" Target="slicerCaches/slicerCache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Analytics!$B$174</c:f>
          <c:strCache>
            <c:ptCount val="1"/>
            <c:pt idx="0">
              <c:v>Revenue by month, $k: actual vs budget</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clustered"/>
        <c:varyColors val="0"/>
        <c:ser>
          <c:idx val="0"/>
          <c:order val="0"/>
          <c:tx>
            <c:v>Actual</c:v>
          </c:tx>
          <c:spPr>
            <a:solidFill>
              <a:srgbClr val="10243E"/>
            </a:solidFill>
            <a:ln>
              <a:solidFill>
                <a:srgbClr val="10243E"/>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Analytics!$C$91:$N$91</c:f>
              <c:numCache>
                <c:formatCode>#,##0;\(#,##0\);"-"</c:formatCode>
                <c:ptCount val="12"/>
                <c:pt idx="0">
                  <c:v>1591543</c:v>
                </c:pt>
                <c:pt idx="1">
                  <c:v>1574867</c:v>
                </c:pt>
                <c:pt idx="2">
                  <c:v>1713781</c:v>
                </c:pt>
                <c:pt idx="3">
                  <c:v>1763614</c:v>
                </c:pt>
                <c:pt idx="4">
                  <c:v>1817445</c:v>
                </c:pt>
                <c:pt idx="5">
                  <c:v>1802093</c:v>
                </c:pt>
                <c:pt idx="6">
                  <c:v>1803935</c:v>
                </c:pt>
                <c:pt idx="7">
                  <c:v>1861913</c:v>
                </c:pt>
                <c:pt idx="8">
                  <c:v>1941121</c:v>
                </c:pt>
                <c:pt idx="9">
                  <c:v>2023647</c:v>
                </c:pt>
                <c:pt idx="10">
                  <c:v>0</c:v>
                </c:pt>
                <c:pt idx="11">
                  <c:v>0</c:v>
                </c:pt>
              </c:numCache>
            </c:numRef>
          </c:val>
          <c:extLst>
            <c:ext xmlns:c16="http://schemas.microsoft.com/office/drawing/2014/chart" uri="{C3380CC4-5D6E-409C-BE32-E72D297353CC}">
              <c16:uniqueId val="{00000000-1629-41F9-9EFC-3396CC314EE4}"/>
            </c:ext>
          </c:extLst>
        </c:ser>
        <c:dLbls>
          <c:showLegendKey val="0"/>
          <c:showVal val="0"/>
          <c:showCatName val="0"/>
          <c:showSerName val="0"/>
          <c:showPercent val="0"/>
          <c:showBubbleSize val="0"/>
        </c:dLbls>
        <c:gapWidth val="55"/>
        <c:axId val="50010001"/>
        <c:axId val="50010002"/>
      </c:barChart>
      <c:lineChart>
        <c:grouping val="standard"/>
        <c:varyColors val="0"/>
        <c:ser>
          <c:idx val="1"/>
          <c:order val="1"/>
          <c:tx>
            <c:v>Budget</c:v>
          </c:tx>
          <c:spPr>
            <a:ln>
              <a:noFill/>
            </a:ln>
          </c:spPr>
          <c:marker>
            <c:symbol val="dash"/>
            <c:size val="10"/>
            <c:spPr>
              <a:solidFill>
                <a:srgbClr val="E0A100"/>
              </a:solidFill>
              <a:ln>
                <a:solidFill>
                  <a:srgbClr val="E0A100"/>
                </a:solidFill>
              </a:ln>
            </c:spPr>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Analytics!$C$92:$N$92</c:f>
              <c:numCache>
                <c:formatCode>#,##0;\(#,##0\);"-"</c:formatCode>
                <c:ptCount val="12"/>
                <c:pt idx="0">
                  <c:v>1637600</c:v>
                </c:pt>
                <c:pt idx="1">
                  <c:v>1608400</c:v>
                </c:pt>
                <c:pt idx="2">
                  <c:v>1758400</c:v>
                </c:pt>
                <c:pt idx="3">
                  <c:v>1801400</c:v>
                </c:pt>
                <c:pt idx="4">
                  <c:v>1844600</c:v>
                </c:pt>
                <c:pt idx="5">
                  <c:v>1870100</c:v>
                </c:pt>
                <c:pt idx="6">
                  <c:v>1822700</c:v>
                </c:pt>
                <c:pt idx="7">
                  <c:v>1848100</c:v>
                </c:pt>
                <c:pt idx="8">
                  <c:v>1910400</c:v>
                </c:pt>
                <c:pt idx="9">
                  <c:v>1991600</c:v>
                </c:pt>
                <c:pt idx="10">
                  <c:v>2110400</c:v>
                </c:pt>
                <c:pt idx="11">
                  <c:v>2230000</c:v>
                </c:pt>
              </c:numCache>
            </c:numRef>
          </c:val>
          <c:smooth val="0"/>
          <c:extLst>
            <c:ext xmlns:c16="http://schemas.microsoft.com/office/drawing/2014/chart" uri="{C3380CC4-5D6E-409C-BE32-E72D297353CC}">
              <c16:uniqueId val="{00000001-1629-41F9-9EFC-3396CC314EE4}"/>
            </c:ext>
          </c:extLst>
        </c:ser>
        <c:dLbls>
          <c:showLegendKey val="0"/>
          <c:showVal val="0"/>
          <c:showCatName val="0"/>
          <c:showSerName val="0"/>
          <c:showPercent val="0"/>
          <c:showBubbleSize val="0"/>
        </c:dLbls>
        <c:marker val="1"/>
        <c:smooth val="0"/>
        <c:axId val="50010001"/>
        <c:axId val="50010002"/>
      </c:lineChart>
      <c:catAx>
        <c:axId val="5001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10002"/>
        <c:crosses val="autoZero"/>
        <c:auto val="1"/>
        <c:lblAlgn val="ctr"/>
        <c:lblOffset val="100"/>
        <c:noMultiLvlLbl val="0"/>
      </c:catAx>
      <c:valAx>
        <c:axId val="5001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1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Analytics!$B$175</c:f>
          <c:strCache>
            <c:ptCount val="1"/>
            <c:pt idx="0">
              <c:v>EBITDA bridge, budget to actual, $k: YTD October 2026 (axis truncated)</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stacked"/>
        <c:varyColors val="0"/>
        <c:ser>
          <c:idx val="0"/>
          <c:order val="0"/>
          <c:tx>
            <c:v>F</c:v>
          </c:tx>
          <c:spPr>
            <a:noFill/>
            <a:ln>
              <a:no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Analytics!$F$113:$F$120</c:f>
              <c:numCache>
                <c:formatCode>#,##0;\(#,##0\);"-"</c:formatCode>
                <c:ptCount val="8"/>
                <c:pt idx="0">
                  <c:v>0</c:v>
                </c:pt>
                <c:pt idx="1">
                  <c:v>532546.5</c:v>
                </c:pt>
                <c:pt idx="2">
                  <c:v>532546.5</c:v>
                </c:pt>
                <c:pt idx="3">
                  <c:v>554433.5</c:v>
                </c:pt>
                <c:pt idx="4">
                  <c:v>554433.5</c:v>
                </c:pt>
                <c:pt idx="5">
                  <c:v>464657.5</c:v>
                </c:pt>
                <c:pt idx="6">
                  <c:v>439132.5</c:v>
                </c:pt>
                <c:pt idx="7">
                  <c:v>0</c:v>
                </c:pt>
              </c:numCache>
            </c:numRef>
          </c:val>
          <c:extLst>
            <c:ext xmlns:c16="http://schemas.microsoft.com/office/drawing/2014/chart" uri="{C3380CC4-5D6E-409C-BE32-E72D297353CC}">
              <c16:uniqueId val="{00000000-DCE3-4F11-9ED2-BED990461E85}"/>
            </c:ext>
          </c:extLst>
        </c:ser>
        <c:ser>
          <c:idx val="1"/>
          <c:order val="1"/>
          <c:tx>
            <c:v>G</c:v>
          </c:tx>
          <c:spPr>
            <a:solidFill>
              <a:srgbClr val="10243E"/>
            </a:solidFill>
            <a:ln>
              <a:solidFill>
                <a:srgbClr val="10243E"/>
              </a:solid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Analytics!$G$113:$G$120</c:f>
              <c:numCache>
                <c:formatCode>#,##0;\(#,##0\);"-"</c:formatCode>
                <c:ptCount val="8"/>
                <c:pt idx="0">
                  <c:v>731887.5</c:v>
                </c:pt>
                <c:pt idx="1">
                  <c:v>0</c:v>
                </c:pt>
                <c:pt idx="2">
                  <c:v>0</c:v>
                </c:pt>
                <c:pt idx="3">
                  <c:v>0</c:v>
                </c:pt>
                <c:pt idx="4">
                  <c:v>0</c:v>
                </c:pt>
                <c:pt idx="5">
                  <c:v>0</c:v>
                </c:pt>
                <c:pt idx="6">
                  <c:v>0</c:v>
                </c:pt>
                <c:pt idx="7">
                  <c:v>439132.5</c:v>
                </c:pt>
              </c:numCache>
            </c:numRef>
          </c:val>
          <c:extLst>
            <c:ext xmlns:c16="http://schemas.microsoft.com/office/drawing/2014/chart" uri="{C3380CC4-5D6E-409C-BE32-E72D297353CC}">
              <c16:uniqueId val="{00000001-DCE3-4F11-9ED2-BED990461E85}"/>
            </c:ext>
          </c:extLst>
        </c:ser>
        <c:ser>
          <c:idx val="2"/>
          <c:order val="2"/>
          <c:tx>
            <c:v>H</c:v>
          </c:tx>
          <c:spPr>
            <a:solidFill>
              <a:srgbClr val="1E8E5A"/>
            </a:solidFill>
            <a:ln>
              <a:solidFill>
                <a:srgbClr val="1E8E5A"/>
              </a:solid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Analytics!$H$113:$H$120</c:f>
              <c:numCache>
                <c:formatCode>#,##0;\(#,##0\);"-"</c:formatCode>
                <c:ptCount val="8"/>
                <c:pt idx="0">
                  <c:v>0</c:v>
                </c:pt>
                <c:pt idx="1">
                  <c:v>0</c:v>
                </c:pt>
                <c:pt idx="2">
                  <c:v>22890</c:v>
                </c:pt>
                <c:pt idx="3">
                  <c:v>0</c:v>
                </c:pt>
                <c:pt idx="4">
                  <c:v>18496</c:v>
                </c:pt>
                <c:pt idx="5">
                  <c:v>0</c:v>
                </c:pt>
                <c:pt idx="6">
                  <c:v>0</c:v>
                </c:pt>
                <c:pt idx="7">
                  <c:v>0</c:v>
                </c:pt>
              </c:numCache>
            </c:numRef>
          </c:val>
          <c:extLst>
            <c:ext xmlns:c16="http://schemas.microsoft.com/office/drawing/2014/chart" uri="{C3380CC4-5D6E-409C-BE32-E72D297353CC}">
              <c16:uniqueId val="{00000002-DCE3-4F11-9ED2-BED990461E85}"/>
            </c:ext>
          </c:extLst>
        </c:ser>
        <c:ser>
          <c:idx val="3"/>
          <c:order val="3"/>
          <c:tx>
            <c:v>I</c:v>
          </c:tx>
          <c:spPr>
            <a:solidFill>
              <a:srgbClr val="C8372D"/>
            </a:solidFill>
            <a:ln>
              <a:solidFill>
                <a:srgbClr val="C8372D"/>
              </a:solid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Analytics!$I$113:$I$120</c:f>
              <c:numCache>
                <c:formatCode>#,##0;\(#,##0\);"-"</c:formatCode>
                <c:ptCount val="8"/>
                <c:pt idx="0">
                  <c:v>0</c:v>
                </c:pt>
                <c:pt idx="1">
                  <c:v>199341</c:v>
                </c:pt>
                <c:pt idx="2">
                  <c:v>0</c:v>
                </c:pt>
                <c:pt idx="3">
                  <c:v>1003</c:v>
                </c:pt>
                <c:pt idx="4">
                  <c:v>0</c:v>
                </c:pt>
                <c:pt idx="5">
                  <c:v>108272</c:v>
                </c:pt>
                <c:pt idx="6">
                  <c:v>25525</c:v>
                </c:pt>
                <c:pt idx="7">
                  <c:v>0</c:v>
                </c:pt>
              </c:numCache>
            </c:numRef>
          </c:val>
          <c:extLst>
            <c:ext xmlns:c16="http://schemas.microsoft.com/office/drawing/2014/chart" uri="{C3380CC4-5D6E-409C-BE32-E72D297353CC}">
              <c16:uniqueId val="{00000003-DCE3-4F11-9ED2-BED990461E85}"/>
            </c:ext>
          </c:extLst>
        </c:ser>
        <c:ser>
          <c:idx val="4"/>
          <c:order val="4"/>
          <c:tx>
            <c:v>J</c:v>
          </c:tx>
          <c:spPr>
            <a:noFill/>
            <a:ln>
              <a:no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Analytics!$J$113:$J$120</c:f>
              <c:numCache>
                <c:formatCode>#,##0;\(#,##0\);"-"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4-DCE3-4F11-9ED2-BED990461E85}"/>
            </c:ext>
          </c:extLst>
        </c:ser>
        <c:ser>
          <c:idx val="5"/>
          <c:order val="5"/>
          <c:tx>
            <c:v>K</c:v>
          </c:tx>
          <c:spPr>
            <a:solidFill>
              <a:srgbClr val="10243E"/>
            </a:solidFill>
            <a:ln>
              <a:solidFill>
                <a:srgbClr val="10243E"/>
              </a:solid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Analytics!$K$113:$K$120</c:f>
              <c:numCache>
                <c:formatCode>#,##0;\(#,##0\);"-"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5-DCE3-4F11-9ED2-BED990461E85}"/>
            </c:ext>
          </c:extLst>
        </c:ser>
        <c:ser>
          <c:idx val="6"/>
          <c:order val="6"/>
          <c:tx>
            <c:v>L</c:v>
          </c:tx>
          <c:spPr>
            <a:solidFill>
              <a:srgbClr val="1E8E5A"/>
            </a:solidFill>
            <a:ln>
              <a:solidFill>
                <a:srgbClr val="1E8E5A"/>
              </a:solid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Analytics!$L$113:$L$120</c:f>
              <c:numCache>
                <c:formatCode>#,##0;\(#,##0\);"-"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6-DCE3-4F11-9ED2-BED990461E85}"/>
            </c:ext>
          </c:extLst>
        </c:ser>
        <c:ser>
          <c:idx val="7"/>
          <c:order val="7"/>
          <c:tx>
            <c:v>M</c:v>
          </c:tx>
          <c:spPr>
            <a:solidFill>
              <a:srgbClr val="C8372D"/>
            </a:solidFill>
            <a:ln>
              <a:solidFill>
                <a:srgbClr val="C8372D"/>
              </a:solidFill>
            </a:ln>
          </c:spPr>
          <c:invertIfNegative val="0"/>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Analytics!$M$113:$M$120</c:f>
              <c:numCache>
                <c:formatCode>#,##0;\(#,##0\);"-"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7-DCE3-4F11-9ED2-BED990461E85}"/>
            </c:ext>
          </c:extLst>
        </c:ser>
        <c:dLbls>
          <c:showLegendKey val="0"/>
          <c:showVal val="0"/>
          <c:showCatName val="0"/>
          <c:showSerName val="0"/>
          <c:showPercent val="0"/>
          <c:showBubbleSize val="0"/>
        </c:dLbls>
        <c:gapWidth val="45"/>
        <c:overlap val="100"/>
        <c:axId val="50020001"/>
        <c:axId val="50020002"/>
      </c:barChart>
      <c:lineChart>
        <c:grouping val="standard"/>
        <c:varyColors val="0"/>
        <c:ser>
          <c:idx val="8"/>
          <c:order val="8"/>
          <c:tx>
            <c:v>lbl</c:v>
          </c:tx>
          <c:spPr>
            <a:ln>
              <a:noFill/>
            </a:ln>
          </c:spPr>
          <c:marker>
            <c:symbol val="none"/>
          </c:marker>
          <c:dLbls>
            <c:dLbl>
              <c:idx val="0"/>
              <c:tx>
                <c:strRef>
                  <c:f>Analytics!$O$113</c:f>
                  <c:strCache>
                    <c:ptCount val="1"/>
                    <c:pt idx="0">
                      <c:v>2,579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{ADE7C10C-B6FD-4729-9D60-19B564462D36}</c15:txfldGUID>
                      <c15:f>Analytics!$O$113</c15:f>
                      <c15:dlblFieldTableCache>
                        <c:ptCount val="1"/>
                        <c:pt idx="0">
                          <c:v>2,579</c:v>
                        </c:pt>
                      </c15:dlblFieldTableCache>
                    </c15:dlblFTEntry>
                  </c15:dlblFieldTable>
                  <c15:showDataLabelsRange val="0"/>
                </c:ext>
                <c:ext xmlns:c16="http://schemas.microsoft.com/office/drawing/2014/chart" uri="{C3380CC4-5D6E-409C-BE32-E72D297353CC}">
                  <c16:uniqueId val="{00000008-DCE3-4F11-9ED2-BED990461E85}"/>
                </c:ext>
              </c:extLst>
            </c:dLbl>
            <c:dLbl>
              <c:idx val="1"/>
              <c:tx>
                <c:strRef>
                  <c:f>Analytics!$O$114</c:f>
                  <c:strCache>
                    <c:ptCount val="1"/>
                    <c:pt idx="0">
                      <c:v>-199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{552D8E83-B9DC-4447-A06D-75F8502D7D7D}</c15:txfldGUID>
                      <c15:f>Analytics!$O$114</c15:f>
                      <c15:dlblFieldTableCache>
                        <c:ptCount val="1"/>
                        <c:pt idx="0">
                          <c:v>-199</c:v>
                        </c:pt>
                      </c15:dlblFieldTableCache>
                    </c15:dlblFTEntry>
                  </c15:dlblFieldTable>
                  <c15:showDataLabelsRange val="0"/>
                </c:ext>
                <c:ext xmlns:c16="http://schemas.microsoft.com/office/drawing/2014/chart" uri="{C3380CC4-5D6E-409C-BE32-E72D297353CC}">
                  <c16:uniqueId val="{00000009-DCE3-4F11-9ED2-BED990461E85}"/>
                </c:ext>
              </c:extLst>
            </c:dLbl>
            <c:dLbl>
              <c:idx val="2"/>
              <c:tx>
                <c:strRef>
                  <c:f>Analytics!$O$115</c:f>
                  <c:strCache>
                    <c:ptCount val="1"/>
                    <c:pt idx="0">
                      <c:v>+23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{2A22872C-1535-45E2-99CB-A7E47CD5E7D4}</c15:txfldGUID>
                      <c15:f>Analytics!$O$115</c15:f>
                      <c15:dlblFieldTableCache>
                        <c:ptCount val="1"/>
                        <c:pt idx="0">
                          <c:v>+23</c:v>
                        </c:pt>
                      </c15:dlblFieldTableCache>
                    </c15:dlblFTEntry>
                  </c15:dlblFieldTable>
                  <c15:showDataLabelsRange val="0"/>
                </c:ext>
                <c:ext xmlns:c16="http://schemas.microsoft.com/office/drawing/2014/chart" uri="{C3380CC4-5D6E-409C-BE32-E72D297353CC}">
                  <c16:uniqueId val="{0000000A-DCE3-4F11-9ED2-BED990461E85}"/>
                </c:ext>
              </c:extLst>
            </c:dLbl>
            <c:dLbl>
              <c:idx val="3"/>
              <c:tx>
                <c:strRef>
                  <c:f>Analytics!$O$116</c:f>
                  <c:strCache>
                    <c:ptCount val="1"/>
                    <c:pt idx="0">
                      <c:v>-1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{075BAE50-CCDD-426F-86A6-2BA3ED7A8534}</c15:txfldGUID>
                      <c15:f>Analytics!$O$116</c15:f>
                      <c15:dlblFieldTableCache>
                        <c:ptCount val="1"/>
                        <c:pt idx="0">
                          <c:v>-1</c:v>
                        </c:pt>
                      </c15:dlblFieldTableCache>
                    </c15:dlblFTEntry>
                  </c15:dlblFieldTable>
                  <c15:showDataLabelsRange val="0"/>
                </c:ext>
                <c:ext xmlns:c16="http://schemas.microsoft.com/office/drawing/2014/chart" uri="{C3380CC4-5D6E-409C-BE32-E72D297353CC}">
                  <c16:uniqueId val="{0000000B-DCE3-4F11-9ED2-BED990461E85}"/>
                </c:ext>
              </c:extLst>
            </c:dLbl>
            <c:dLbl>
              <c:idx val="4"/>
              <c:tx>
                <c:strRef>
                  <c:f>Analytics!$O$117</c:f>
                  <c:strCache>
                    <c:ptCount val="1"/>
                    <c:pt idx="0">
                      <c:v>+18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{29140016-469B-437A-8164-C3CAC8748077}</c15:txfldGUID>
                      <c15:f>Analytics!$O$117</c15:f>
                      <c15:dlblFieldTableCache>
                        <c:ptCount val="1"/>
                        <c:pt idx="0">
                          <c:v>+18</c:v>
                        </c:pt>
                      </c15:dlblFieldTableCache>
                    </c15:dlblFTEntry>
                  </c15:dlblFieldTable>
                  <c15:showDataLabelsRange val="0"/>
                </c:ext>
                <c:ext xmlns:c16="http://schemas.microsoft.com/office/drawing/2014/chart" uri="{C3380CC4-5D6E-409C-BE32-E72D297353CC}">
                  <c16:uniqueId val="{0000000C-DCE3-4F11-9ED2-BED990461E85}"/>
                </c:ext>
              </c:extLst>
            </c:dLbl>
            <c:dLbl>
              <c:idx val="5"/>
              <c:tx>
                <c:strRef>
                  <c:f>Analytics!$O$118</c:f>
                  <c:strCache>
                    <c:ptCount val="1"/>
                    <c:pt idx="0">
                      <c:v>-108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{B0A32F74-EB59-4A51-B3DF-D2D8629BC270}</c15:txfldGUID>
                      <c15:f>Analytics!$O$118</c15:f>
                      <c15:dlblFieldTableCache>
                        <c:ptCount val="1"/>
                        <c:pt idx="0">
                          <c:v>-108</c:v>
                        </c:pt>
                      </c15:dlblFieldTableCache>
                    </c15:dlblFTEntry>
                  </c15:dlblFieldTable>
                  <c15:showDataLabelsRange val="0"/>
                </c:ext>
                <c:ext xmlns:c16="http://schemas.microsoft.com/office/drawing/2014/chart" uri="{C3380CC4-5D6E-409C-BE32-E72D297353CC}">
                  <c16:uniqueId val="{0000000D-DCE3-4F11-9ED2-BED990461E85}"/>
                </c:ext>
              </c:extLst>
            </c:dLbl>
            <c:dLbl>
              <c:idx val="6"/>
              <c:tx>
                <c:strRef>
                  <c:f>Analytics!$O$119</c:f>
                  <c:strCache>
                    <c:ptCount val="1"/>
                    <c:pt idx="0">
                      <c:v>-26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{C21A523C-8650-4ADB-A2C8-8313E5C634DF}</c15:txfldGUID>
                      <c15:f>Analytics!$O$119</c15:f>
                      <c15:dlblFieldTableCache>
                        <c:ptCount val="1"/>
                        <c:pt idx="0">
                          <c:v>-26</c:v>
                        </c:pt>
                      </c15:dlblFieldTableCache>
                    </c15:dlblFTEntry>
                  </c15:dlblFieldTable>
                  <c15:showDataLabelsRange val="0"/>
                </c:ext>
                <c:ext xmlns:c16="http://schemas.microsoft.com/office/drawing/2014/chart" uri="{C3380CC4-5D6E-409C-BE32-E72D297353CC}">
                  <c16:uniqueId val="{0000000E-DCE3-4F11-9ED2-BED990461E85}"/>
                </c:ext>
              </c:extLst>
            </c:dLbl>
            <c:dLbl>
              <c:idx val="7"/>
              <c:tx>
                <c:strRef>
                  <c:f>Analytics!$O$120</c:f>
                  <c:strCache>
                    <c:ptCount val="1"/>
                    <c:pt idx="0">
                      <c:v>2,286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{B12D3B04-3959-46F5-A9AB-F73D0A31D204}</c15:txfldGUID>
                      <c15:f>Analytics!$O$120</c15:f>
                      <c15:dlblFieldTableCache>
                        <c:ptCount val="1"/>
                        <c:pt idx="0">
                          <c:v>2,286</c:v>
                        </c:pt>
                      </c15:dlblFieldTableCache>
                    </c15:dlblFTEntry>
                  </c15:dlblFieldTable>
                  <c15:showDataLabelsRange val="0"/>
                </c:ext>
                <c:ext xmlns:c16="http://schemas.microsoft.com/office/drawing/2014/chart" uri="{C3380CC4-5D6E-409C-BE32-E72D297353CC}">
                  <c16:uniqueId val="{0000000F-DCE3-4F11-9ED2-BED990461E85}"/>
                </c:ext>
              </c:extLst>
            </c:dLbl>
            <c:spPr>
              <a:noFill/>
              <a:ln>
                <a:noFill/>
              </a:ln>
              <a:effectLst/>
            </c:spPr>
            <c:txPr>
              <a:bodyPr/>
              <a:lstStyle/>
              <a:p>
                <a:pPr>
                  <a:defRPr sz="800" b="1" baseline="0">
                    <a:solidFill>
                      <a:srgbClr val="1F2937"/>
                    </a:solidFill>
                    <a:latin typeface="Segoe UI"/>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Analytics!$A$113:$A$120</c:f>
              <c:strCache>
                <c:ptCount val="8"/>
                <c:pt idx="0">
                  <c:v>Budget</c:v>
                </c:pt>
                <c:pt idx="1">
                  <c:v>Revenue</c:v>
                </c:pt>
                <c:pt idx="2">
                  <c:v>Cost of sales</c:v>
                </c:pt>
                <c:pt idx="3">
                  <c:v>Other income</c:v>
                </c:pt>
                <c:pt idx="4">
                  <c:v>Employee</c:v>
                </c:pt>
                <c:pt idx="5">
                  <c:v>Marketing</c:v>
                </c:pt>
                <c:pt idx="6">
                  <c:v>Other opex</c:v>
                </c:pt>
                <c:pt idx="7">
                  <c:v>Actual</c:v>
                </c:pt>
              </c:strCache>
            </c:strRef>
          </c:cat>
          <c:val>
            <c:numRef>
              <c:f>Analytics!$N$113:$N$120</c:f>
              <c:numCache>
                <c:formatCode>#,##0;\(#,##0\);"-"</c:formatCode>
                <c:ptCount val="8"/>
                <c:pt idx="0">
                  <c:v>731887.5</c:v>
                </c:pt>
                <c:pt idx="1">
                  <c:v>731887.5</c:v>
                </c:pt>
                <c:pt idx="2">
                  <c:v>555436.5</c:v>
                </c:pt>
                <c:pt idx="3">
                  <c:v>555436.5</c:v>
                </c:pt>
                <c:pt idx="4">
                  <c:v>572929.5</c:v>
                </c:pt>
                <c:pt idx="5">
                  <c:v>572929.5</c:v>
                </c:pt>
                <c:pt idx="6">
                  <c:v>464657.5</c:v>
                </c:pt>
                <c:pt idx="7">
                  <c:v>439132.5</c:v>
                </c:pt>
              </c:numCache>
            </c:numRef>
          </c:val>
          <c:smooth val="0"/>
          <c:extLst>
            <c:ext xmlns:c16="http://schemas.microsoft.com/office/drawing/2014/chart" uri="{C3380CC4-5D6E-409C-BE32-E72D297353CC}">
              <c16:uniqueId val="{00000010-DCE3-4F11-9ED2-BED990461E85}"/>
            </c:ext>
          </c:extLst>
        </c:ser>
        <c:dLbls>
          <c:showLegendKey val="0"/>
          <c:showVal val="0"/>
          <c:showCatName val="0"/>
          <c:showSerName val="0"/>
          <c:showPercent val="0"/>
          <c:showBubbleSize val="0"/>
        </c:dLbls>
        <c:marker val="1"/>
        <c:smooth val="0"/>
        <c:axId val="50020001"/>
        <c:axId val="50020002"/>
      </c:lineChart>
      <c:catAx>
        <c:axId val="50020001"/>
        <c:scaling>
          <c:orientation val="minMax"/>
        </c:scaling>
        <c:delete val="0"/>
        <c:axPos val="b"/>
        <c:numFmt formatCode="General" sourceLinked="0"/>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20002"/>
        <c:crosses val="autoZero"/>
        <c:auto val="1"/>
        <c:lblAlgn val="ctr"/>
        <c:lblOffset val="100"/>
        <c:noMultiLvlLbl val="0"/>
      </c:catAx>
      <c:valAx>
        <c:axId val="50020002"/>
        <c:scaling>
          <c:orientation val="minMax"/>
        </c:scaling>
        <c:delete val="1"/>
        <c:axPos val="l"/>
        <c:numFmt formatCode="#,##0;\(#,##0\);&quot;-&quot;" sourceLinked="1"/>
        <c:majorTickMark val="out"/>
        <c:minorTickMark val="none"/>
        <c:tickLblPos val="nextTo"/>
        <c:crossAx val="50020001"/>
        <c:crosses val="autoZero"/>
        <c:crossBetween val="between"/>
      </c:valAx>
      <c:spPr>
        <a:noFill/>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Analytics!$B$176</c:f>
          <c:strCache>
            <c:ptCount val="1"/>
            <c:pt idx="0">
              <c:v>Cash bridge, $k: YTD October 2026 (axis truncated)</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stacked"/>
        <c:varyColors val="0"/>
        <c:ser>
          <c:idx val="0"/>
          <c:order val="0"/>
          <c:tx>
            <c:v>F</c:v>
          </c:tx>
          <c:spPr>
            <a:noFill/>
            <a:ln>
              <a:no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Analytics!$F$124:$F$130</c:f>
              <c:numCache>
                <c:formatCode>#,##0;\(#,##0\);"-"</c:formatCode>
                <c:ptCount val="7"/>
                <c:pt idx="0">
                  <c:v>0</c:v>
                </c:pt>
                <c:pt idx="1">
                  <c:v>2572500</c:v>
                </c:pt>
                <c:pt idx="2">
                  <c:v>3880656</c:v>
                </c:pt>
                <c:pt idx="3">
                  <c:v>3417964</c:v>
                </c:pt>
                <c:pt idx="4">
                  <c:v>2832964</c:v>
                </c:pt>
                <c:pt idx="5">
                  <c:v>1922964</c:v>
                </c:pt>
                <c:pt idx="6">
                  <c:v>0</c:v>
                </c:pt>
              </c:numCache>
            </c:numRef>
          </c:val>
          <c:extLst>
            <c:ext xmlns:c16="http://schemas.microsoft.com/office/drawing/2014/chart" uri="{C3380CC4-5D6E-409C-BE32-E72D297353CC}">
              <c16:uniqueId val="{00000000-4D27-4FB0-9BCD-5E6B594205C2}"/>
            </c:ext>
          </c:extLst>
        </c:ser>
        <c:ser>
          <c:idx val="1"/>
          <c:order val="1"/>
          <c:tx>
            <c:v>G</c:v>
          </c:tx>
          <c:spPr>
            <a:solidFill>
              <a:srgbClr val="10243E"/>
            </a:solidFill>
            <a:ln>
              <a:solidFill>
                <a:srgbClr val="10243E"/>
              </a:solid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Analytics!$G$124:$G$130</c:f>
              <c:numCache>
                <c:formatCode>#,##0;\(#,##0\);"-"</c:formatCode>
                <c:ptCount val="7"/>
                <c:pt idx="0">
                  <c:v>2572500</c:v>
                </c:pt>
                <c:pt idx="1">
                  <c:v>0</c:v>
                </c:pt>
                <c:pt idx="2">
                  <c:v>0</c:v>
                </c:pt>
                <c:pt idx="3">
                  <c:v>0</c:v>
                </c:pt>
                <c:pt idx="4">
                  <c:v>0</c:v>
                </c:pt>
                <c:pt idx="5">
                  <c:v>0</c:v>
                </c:pt>
                <c:pt idx="6">
                  <c:v>1922964</c:v>
                </c:pt>
              </c:numCache>
            </c:numRef>
          </c:val>
          <c:extLst>
            <c:ext xmlns:c16="http://schemas.microsoft.com/office/drawing/2014/chart" uri="{C3380CC4-5D6E-409C-BE32-E72D297353CC}">
              <c16:uniqueId val="{00000001-4D27-4FB0-9BCD-5E6B594205C2}"/>
            </c:ext>
          </c:extLst>
        </c:ser>
        <c:ser>
          <c:idx val="2"/>
          <c:order val="2"/>
          <c:tx>
            <c:v>H</c:v>
          </c:tx>
          <c:spPr>
            <a:solidFill>
              <a:srgbClr val="1E8E5A"/>
            </a:solidFill>
            <a:ln>
              <a:solidFill>
                <a:srgbClr val="1E8E5A"/>
              </a:solid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Analytics!$H$124:$H$130</c:f>
              <c:numCache>
                <c:formatCode>#,##0;\(#,##0\);"-"</c:formatCode>
                <c:ptCount val="7"/>
                <c:pt idx="0">
                  <c:v>0</c:v>
                </c:pt>
                <c:pt idx="1">
                  <c:v>1308156</c:v>
                </c:pt>
                <c:pt idx="2">
                  <c:v>437188</c:v>
                </c:pt>
                <c:pt idx="3">
                  <c:v>0</c:v>
                </c:pt>
                <c:pt idx="4">
                  <c:v>0</c:v>
                </c:pt>
                <c:pt idx="5">
                  <c:v>0</c:v>
                </c:pt>
                <c:pt idx="6">
                  <c:v>0</c:v>
                </c:pt>
              </c:numCache>
            </c:numRef>
          </c:val>
          <c:extLst>
            <c:ext xmlns:c16="http://schemas.microsoft.com/office/drawing/2014/chart" uri="{C3380CC4-5D6E-409C-BE32-E72D297353CC}">
              <c16:uniqueId val="{00000002-4D27-4FB0-9BCD-5E6B594205C2}"/>
            </c:ext>
          </c:extLst>
        </c:ser>
        <c:ser>
          <c:idx val="3"/>
          <c:order val="3"/>
          <c:tx>
            <c:v>I</c:v>
          </c:tx>
          <c:spPr>
            <a:solidFill>
              <a:srgbClr val="C8372D"/>
            </a:solidFill>
            <a:ln>
              <a:solidFill>
                <a:srgbClr val="C8372D"/>
              </a:solid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Analytics!$I$124:$I$130</c:f>
              <c:numCache>
                <c:formatCode>#,##0;\(#,##0\);"-"</c:formatCode>
                <c:ptCount val="7"/>
                <c:pt idx="0">
                  <c:v>0</c:v>
                </c:pt>
                <c:pt idx="1">
                  <c:v>0</c:v>
                </c:pt>
                <c:pt idx="2">
                  <c:v>0</c:v>
                </c:pt>
                <c:pt idx="3">
                  <c:v>899880</c:v>
                </c:pt>
                <c:pt idx="4">
                  <c:v>585000</c:v>
                </c:pt>
                <c:pt idx="5">
                  <c:v>910000</c:v>
                </c:pt>
                <c:pt idx="6">
                  <c:v>0</c:v>
                </c:pt>
              </c:numCache>
            </c:numRef>
          </c:val>
          <c:extLst>
            <c:ext xmlns:c16="http://schemas.microsoft.com/office/drawing/2014/chart" uri="{C3380CC4-5D6E-409C-BE32-E72D297353CC}">
              <c16:uniqueId val="{00000003-4D27-4FB0-9BCD-5E6B594205C2}"/>
            </c:ext>
          </c:extLst>
        </c:ser>
        <c:ser>
          <c:idx val="4"/>
          <c:order val="4"/>
          <c:tx>
            <c:v>J</c:v>
          </c:tx>
          <c:spPr>
            <a:noFill/>
            <a:ln>
              <a:no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Analytics!$J$124:$J$130</c:f>
              <c:numCache>
                <c:formatCode>#,##0;\(#,##0\);"-"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4-4D27-4FB0-9BCD-5E6B594205C2}"/>
            </c:ext>
          </c:extLst>
        </c:ser>
        <c:ser>
          <c:idx val="5"/>
          <c:order val="5"/>
          <c:tx>
            <c:v>K</c:v>
          </c:tx>
          <c:spPr>
            <a:solidFill>
              <a:srgbClr val="10243E"/>
            </a:solidFill>
            <a:ln>
              <a:solidFill>
                <a:srgbClr val="10243E"/>
              </a:solid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Analytics!$K$124:$K$130</c:f>
              <c:numCache>
                <c:formatCode>#,##0;\(#,##0\);"-"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5-4D27-4FB0-9BCD-5E6B594205C2}"/>
            </c:ext>
          </c:extLst>
        </c:ser>
        <c:ser>
          <c:idx val="6"/>
          <c:order val="6"/>
          <c:tx>
            <c:v>L</c:v>
          </c:tx>
          <c:spPr>
            <a:solidFill>
              <a:srgbClr val="1E8E5A"/>
            </a:solidFill>
            <a:ln>
              <a:solidFill>
                <a:srgbClr val="1E8E5A"/>
              </a:solid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Analytics!$L$124:$L$130</c:f>
              <c:numCache>
                <c:formatCode>#,##0;\(#,##0\);"-"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6-4D27-4FB0-9BCD-5E6B594205C2}"/>
            </c:ext>
          </c:extLst>
        </c:ser>
        <c:ser>
          <c:idx val="7"/>
          <c:order val="7"/>
          <c:tx>
            <c:v>M</c:v>
          </c:tx>
          <c:spPr>
            <a:solidFill>
              <a:srgbClr val="C8372D"/>
            </a:solidFill>
            <a:ln>
              <a:solidFill>
                <a:srgbClr val="C8372D"/>
              </a:solidFill>
            </a:ln>
          </c:spPr>
          <c:invertIfNegative val="0"/>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Analytics!$M$124:$M$130</c:f>
              <c:numCache>
                <c:formatCode>#,##0;\(#,##0\);"-"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7-4D27-4FB0-9BCD-5E6B594205C2}"/>
            </c:ext>
          </c:extLst>
        </c:ser>
        <c:dLbls>
          <c:showLegendKey val="0"/>
          <c:showVal val="0"/>
          <c:showCatName val="0"/>
          <c:showSerName val="0"/>
          <c:showPercent val="0"/>
          <c:showBubbleSize val="0"/>
        </c:dLbls>
        <c:gapWidth val="45"/>
        <c:overlap val="100"/>
        <c:axId val="50030001"/>
        <c:axId val="50030002"/>
      </c:barChart>
      <c:lineChart>
        <c:grouping val="standard"/>
        <c:varyColors val="0"/>
        <c:ser>
          <c:idx val="8"/>
          <c:order val="8"/>
          <c:tx>
            <c:v>lbl</c:v>
          </c:tx>
          <c:spPr>
            <a:ln>
              <a:noFill/>
            </a:ln>
          </c:spPr>
          <c:marker>
            <c:symbol val="none"/>
          </c:marker>
          <c:dLbls>
            <c:dLbl>
              <c:idx val="0"/>
              <c:tx>
                <c:strRef>
                  <c:f>Analytics!$O$124</c:f>
                  <c:strCache>
                    <c:ptCount val="1"/>
                    <c:pt idx="0">
                      <c:v>2,573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{5EC4DE75-A928-4B0C-8D4D-A8509DCE7BE4}</c15:txfldGUID>
                      <c15:f>Analytics!$O$124</c15:f>
                      <c15:dlblFieldTableCache>
                        <c:ptCount val="1"/>
                        <c:pt idx="0">
                          <c:v>2,573</c:v>
                        </c:pt>
                      </c15:dlblFieldTableCache>
                    </c15:dlblFTEntry>
                  </c15:dlblFieldTable>
                  <c15:showDataLabelsRange val="0"/>
                </c:ext>
                <c:ext xmlns:c16="http://schemas.microsoft.com/office/drawing/2014/chart" uri="{C3380CC4-5D6E-409C-BE32-E72D297353CC}">
                  <c16:uniqueId val="{00000008-4D27-4FB0-9BCD-5E6B594205C2}"/>
                </c:ext>
              </c:extLst>
            </c:dLbl>
            <c:dLbl>
              <c:idx val="1"/>
              <c:tx>
                <c:strRef>
                  <c:f>Analytics!$O$125</c:f>
                  <c:strCache>
                    <c:ptCount val="1"/>
                    <c:pt idx="0">
                      <c:v>+1,308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{735D0F72-F3BF-471B-AE61-D29A87B0EE63}</c15:txfldGUID>
                      <c15:f>Analytics!$O$125</c15:f>
                      <c15:dlblFieldTableCache>
                        <c:ptCount val="1"/>
                        <c:pt idx="0">
                          <c:v>+1,308</c:v>
                        </c:pt>
                      </c15:dlblFieldTableCache>
                    </c15:dlblFTEntry>
                  </c15:dlblFieldTable>
                  <c15:showDataLabelsRange val="0"/>
                </c:ext>
                <c:ext xmlns:c16="http://schemas.microsoft.com/office/drawing/2014/chart" uri="{C3380CC4-5D6E-409C-BE32-E72D297353CC}">
                  <c16:uniqueId val="{00000009-4D27-4FB0-9BCD-5E6B594205C2}"/>
                </c:ext>
              </c:extLst>
            </c:dLbl>
            <c:dLbl>
              <c:idx val="2"/>
              <c:tx>
                <c:strRef>
                  <c:f>Analytics!$O$126</c:f>
                  <c:strCache>
                    <c:ptCount val="1"/>
                    <c:pt idx="0">
                      <c:v>+437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{66B2E272-9899-4585-B4CE-399A6849BB58}</c15:txfldGUID>
                      <c15:f>Analytics!$O$126</c15:f>
                      <c15:dlblFieldTableCache>
                        <c:ptCount val="1"/>
                        <c:pt idx="0">
                          <c:v>+437</c:v>
                        </c:pt>
                      </c15:dlblFieldTableCache>
                    </c15:dlblFTEntry>
                  </c15:dlblFieldTable>
                  <c15:showDataLabelsRange val="0"/>
                </c:ext>
                <c:ext xmlns:c16="http://schemas.microsoft.com/office/drawing/2014/chart" uri="{C3380CC4-5D6E-409C-BE32-E72D297353CC}">
                  <c16:uniqueId val="{0000000A-4D27-4FB0-9BCD-5E6B594205C2}"/>
                </c:ext>
              </c:extLst>
            </c:dLbl>
            <c:dLbl>
              <c:idx val="3"/>
              <c:tx>
                <c:strRef>
                  <c:f>Analytics!$O$127</c:f>
                  <c:strCache>
                    <c:ptCount val="1"/>
                    <c:pt idx="0">
                      <c:v>-900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{827E5F01-EB4D-46FA-8BE7-59F83531E32A}</c15:txfldGUID>
                      <c15:f>Analytics!$O$127</c15:f>
                      <c15:dlblFieldTableCache>
                        <c:ptCount val="1"/>
                        <c:pt idx="0">
                          <c:v>-900</c:v>
                        </c:pt>
                      </c15:dlblFieldTableCache>
                    </c15:dlblFTEntry>
                  </c15:dlblFieldTable>
                  <c15:showDataLabelsRange val="0"/>
                </c:ext>
                <c:ext xmlns:c16="http://schemas.microsoft.com/office/drawing/2014/chart" uri="{C3380CC4-5D6E-409C-BE32-E72D297353CC}">
                  <c16:uniqueId val="{0000000B-4D27-4FB0-9BCD-5E6B594205C2}"/>
                </c:ext>
              </c:extLst>
            </c:dLbl>
            <c:dLbl>
              <c:idx val="4"/>
              <c:tx>
                <c:strRef>
                  <c:f>Analytics!$O$128</c:f>
                  <c:strCache>
                    <c:ptCount val="1"/>
                    <c:pt idx="0">
                      <c:v>-585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{E760B589-304E-401A-8D58-35B8D56B1444}</c15:txfldGUID>
                      <c15:f>Analytics!$O$128</c15:f>
                      <c15:dlblFieldTableCache>
                        <c:ptCount val="1"/>
                        <c:pt idx="0">
                          <c:v>-585</c:v>
                        </c:pt>
                      </c15:dlblFieldTableCache>
                    </c15:dlblFTEntry>
                  </c15:dlblFieldTable>
                  <c15:showDataLabelsRange val="0"/>
                </c:ext>
                <c:ext xmlns:c16="http://schemas.microsoft.com/office/drawing/2014/chart" uri="{C3380CC4-5D6E-409C-BE32-E72D297353CC}">
                  <c16:uniqueId val="{0000000C-4D27-4FB0-9BCD-5E6B594205C2}"/>
                </c:ext>
              </c:extLst>
            </c:dLbl>
            <c:dLbl>
              <c:idx val="5"/>
              <c:tx>
                <c:strRef>
                  <c:f>Analytics!$O$129</c:f>
                  <c:strCache>
                    <c:ptCount val="1"/>
                    <c:pt idx="0">
                      <c:v>-910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{8C35335A-3B1B-4F15-9933-766EAF84333B}</c15:txfldGUID>
                      <c15:f>Analytics!$O$129</c15:f>
                      <c15:dlblFieldTableCache>
                        <c:ptCount val="1"/>
                        <c:pt idx="0">
                          <c:v>-910</c:v>
                        </c:pt>
                      </c15:dlblFieldTableCache>
                    </c15:dlblFTEntry>
                  </c15:dlblFieldTable>
                  <c15:showDataLabelsRange val="0"/>
                </c:ext>
                <c:ext xmlns:c16="http://schemas.microsoft.com/office/drawing/2014/chart" uri="{C3380CC4-5D6E-409C-BE32-E72D297353CC}">
                  <c16:uniqueId val="{0000000D-4D27-4FB0-9BCD-5E6B594205C2}"/>
                </c:ext>
              </c:extLst>
            </c:dLbl>
            <c:dLbl>
              <c:idx val="6"/>
              <c:tx>
                <c:strRef>
                  <c:f>Analytics!$O$130</c:f>
                  <c:strCache>
                    <c:ptCount val="1"/>
                    <c:pt idx="0">
                      <c:v>1,923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{7CD7CB6E-F3BA-440C-AF07-D8623A30967C}</c15:txfldGUID>
                      <c15:f>Analytics!$O$130</c15:f>
                      <c15:dlblFieldTableCache>
                        <c:ptCount val="1"/>
                        <c:pt idx="0">
                          <c:v>1,923</c:v>
                        </c:pt>
                      </c15:dlblFieldTableCache>
                    </c15:dlblFTEntry>
                  </c15:dlblFieldTable>
                  <c15:showDataLabelsRange val="0"/>
                </c:ext>
                <c:ext xmlns:c16="http://schemas.microsoft.com/office/drawing/2014/chart" uri="{C3380CC4-5D6E-409C-BE32-E72D297353CC}">
                  <c16:uniqueId val="{0000000E-4D27-4FB0-9BCD-5E6B594205C2}"/>
                </c:ext>
              </c:extLst>
            </c:dLbl>
            <c:spPr>
              <a:noFill/>
              <a:ln>
                <a:noFill/>
              </a:ln>
              <a:effectLst/>
            </c:spPr>
            <c:txPr>
              <a:bodyPr/>
              <a:lstStyle/>
              <a:p>
                <a:pPr>
                  <a:defRPr sz="800" b="1" baseline="0">
                    <a:solidFill>
                      <a:srgbClr val="1F2937"/>
                    </a:solidFill>
                    <a:latin typeface="Segoe UI"/>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Analytics!$A$124:$A$130</c:f>
              <c:strCache>
                <c:ptCount val="7"/>
                <c:pt idx="0">
                  <c:v>Opening cash</c:v>
                </c:pt>
                <c:pt idx="1">
                  <c:v>Profit</c:v>
                </c:pt>
                <c:pt idx="2">
                  <c:v>D&amp;A</c:v>
                </c:pt>
                <c:pt idx="3">
                  <c:v>Working capital</c:v>
                </c:pt>
                <c:pt idx="4">
                  <c:v>Investing</c:v>
                </c:pt>
                <c:pt idx="5">
                  <c:v>Financing</c:v>
                </c:pt>
                <c:pt idx="6">
                  <c:v>Closing cash</c:v>
                </c:pt>
              </c:strCache>
            </c:strRef>
          </c:cat>
          <c:val>
            <c:numRef>
              <c:f>Analytics!$N$124:$N$130</c:f>
              <c:numCache>
                <c:formatCode>#,##0;\(#,##0\);"-"</c:formatCode>
                <c:ptCount val="7"/>
                <c:pt idx="0">
                  <c:v>2572500</c:v>
                </c:pt>
                <c:pt idx="1">
                  <c:v>3880656</c:v>
                </c:pt>
                <c:pt idx="2">
                  <c:v>4317844</c:v>
                </c:pt>
                <c:pt idx="3">
                  <c:v>4317844</c:v>
                </c:pt>
                <c:pt idx="4">
                  <c:v>3417964</c:v>
                </c:pt>
                <c:pt idx="5">
                  <c:v>2832964</c:v>
                </c:pt>
                <c:pt idx="6">
                  <c:v>1922964</c:v>
                </c:pt>
              </c:numCache>
            </c:numRef>
          </c:val>
          <c:smooth val="0"/>
          <c:extLst>
            <c:ext xmlns:c16="http://schemas.microsoft.com/office/drawing/2014/chart" uri="{C3380CC4-5D6E-409C-BE32-E72D297353CC}">
              <c16:uniqueId val="{0000000F-4D27-4FB0-9BCD-5E6B594205C2}"/>
            </c:ext>
          </c:extLst>
        </c:ser>
        <c:dLbls>
          <c:showLegendKey val="0"/>
          <c:showVal val="0"/>
          <c:showCatName val="0"/>
          <c:showSerName val="0"/>
          <c:showPercent val="0"/>
          <c:showBubbleSize val="0"/>
        </c:dLbls>
        <c:marker val="1"/>
        <c:smooth val="0"/>
        <c:axId val="50030001"/>
        <c:axId val="50030002"/>
      </c:lineChart>
      <c:catAx>
        <c:axId val="50030001"/>
        <c:scaling>
          <c:orientation val="minMax"/>
        </c:scaling>
        <c:delete val="0"/>
        <c:axPos val="b"/>
        <c:numFmt formatCode="General" sourceLinked="0"/>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30002"/>
        <c:crosses val="autoZero"/>
        <c:auto val="1"/>
        <c:lblAlgn val="ctr"/>
        <c:lblOffset val="100"/>
        <c:noMultiLvlLbl val="0"/>
      </c:catAx>
      <c:valAx>
        <c:axId val="50030002"/>
        <c:scaling>
          <c:orientation val="minMax"/>
        </c:scaling>
        <c:delete val="1"/>
        <c:axPos val="l"/>
        <c:numFmt formatCode="#,##0;\(#,##0\);&quot;-&quot;" sourceLinked="1"/>
        <c:majorTickMark val="out"/>
        <c:minorTickMark val="none"/>
        <c:tickLblPos val="nextTo"/>
        <c:crossAx val="50030001"/>
        <c:crosses val="autoZero"/>
        <c:crossBetween val="between"/>
      </c:valAx>
      <c:spPr>
        <a:noFill/>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Analytics!$B$177</c:f>
          <c:strCache>
            <c:ptCount val="1"/>
            <c:pt idx="0">
              <c:v>Operating costs, $k: YTD October 2026, all cost lines</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bar"/>
        <c:grouping val="clustered"/>
        <c:varyColors val="0"/>
        <c:ser>
          <c:idx val="0"/>
          <c:order val="0"/>
          <c:tx>
            <c:v>Actual</c:v>
          </c:tx>
          <c:spPr>
            <a:solidFill>
              <a:srgbClr val="10243E"/>
            </a:solidFill>
            <a:ln>
              <a:solidFill>
                <a:srgbClr val="10243E"/>
              </a:solidFill>
            </a:ln>
          </c:spPr>
          <c:invertIfNegative val="0"/>
          <c:cat>
            <c:strRef>
              <c:f>Analytics!$A$100:$A$109</c:f>
              <c:strCache>
                <c:ptCount val="10"/>
                <c:pt idx="0">
                  <c:v>Employee costs</c:v>
                </c:pt>
                <c:pt idx="1">
                  <c:v>Rent and occupancy</c:v>
                </c:pt>
                <c:pt idx="2">
                  <c:v>Marketing and advertising</c:v>
                </c:pt>
                <c:pt idx="3">
                  <c:v>Professional fees</c:v>
                </c:pt>
                <c:pt idx="4">
                  <c:v>Motor vehicle and travel</c:v>
                </c:pt>
                <c:pt idx="5">
                  <c:v>Utilities and telecoms</c:v>
                </c:pt>
                <c:pt idx="6">
                  <c:v>Repairs and maintenance</c:v>
                </c:pt>
                <c:pt idx="7">
                  <c:v>Insurance</c:v>
                </c:pt>
                <c:pt idx="8">
                  <c:v>Bank charges</c:v>
                </c:pt>
                <c:pt idx="9">
                  <c:v>Other operating expenses</c:v>
                </c:pt>
              </c:strCache>
            </c:strRef>
          </c:cat>
          <c:val>
            <c:numRef>
              <c:f>Analytics!$B$100:$B$109</c:f>
              <c:numCache>
                <c:formatCode>#,##0;\(#,##0\);"-"</c:formatCode>
                <c:ptCount val="10"/>
                <c:pt idx="0">
                  <c:v>3549704</c:v>
                </c:pt>
                <c:pt idx="1">
                  <c:v>765192</c:v>
                </c:pt>
                <c:pt idx="2">
                  <c:v>767972</c:v>
                </c:pt>
                <c:pt idx="3">
                  <c:v>242188</c:v>
                </c:pt>
                <c:pt idx="4">
                  <c:v>309656</c:v>
                </c:pt>
                <c:pt idx="5">
                  <c:v>253357</c:v>
                </c:pt>
                <c:pt idx="6">
                  <c:v>111866</c:v>
                </c:pt>
                <c:pt idx="7">
                  <c:v>177362</c:v>
                </c:pt>
                <c:pt idx="8">
                  <c:v>77220</c:v>
                </c:pt>
                <c:pt idx="9">
                  <c:v>279284</c:v>
                </c:pt>
              </c:numCache>
            </c:numRef>
          </c:val>
          <c:extLst>
            <c:ext xmlns:c16="http://schemas.microsoft.com/office/drawing/2014/chart" uri="{C3380CC4-5D6E-409C-BE32-E72D297353CC}">
              <c16:uniqueId val="{00000000-BD8A-44A0-9325-011012237B30}"/>
            </c:ext>
          </c:extLst>
        </c:ser>
        <c:ser>
          <c:idx val="1"/>
          <c:order val="1"/>
          <c:tx>
            <c:v>Budget</c:v>
          </c:tx>
          <c:spPr>
            <a:solidFill>
              <a:srgbClr val="FFFFFF"/>
            </a:solidFill>
            <a:ln w="15875">
              <a:solidFill>
                <a:srgbClr val="10243E"/>
              </a:solidFill>
            </a:ln>
          </c:spPr>
          <c:invertIfNegative val="0"/>
          <c:cat>
            <c:strRef>
              <c:f>Analytics!$A$100:$A$109</c:f>
              <c:strCache>
                <c:ptCount val="10"/>
                <c:pt idx="0">
                  <c:v>Employee costs</c:v>
                </c:pt>
                <c:pt idx="1">
                  <c:v>Rent and occupancy</c:v>
                </c:pt>
                <c:pt idx="2">
                  <c:v>Marketing and advertising</c:v>
                </c:pt>
                <c:pt idx="3">
                  <c:v>Professional fees</c:v>
                </c:pt>
                <c:pt idx="4">
                  <c:v>Motor vehicle and travel</c:v>
                </c:pt>
                <c:pt idx="5">
                  <c:v>Utilities and telecoms</c:v>
                </c:pt>
                <c:pt idx="6">
                  <c:v>Repairs and maintenance</c:v>
                </c:pt>
                <c:pt idx="7">
                  <c:v>Insurance</c:v>
                </c:pt>
                <c:pt idx="8">
                  <c:v>Bank charges</c:v>
                </c:pt>
                <c:pt idx="9">
                  <c:v>Other operating expenses</c:v>
                </c:pt>
              </c:strCache>
            </c:strRef>
          </c:cat>
          <c:val>
            <c:numRef>
              <c:f>Analytics!$C$100:$C$109</c:f>
              <c:numCache>
                <c:formatCode>#,##0;\(#,##0\);"-"</c:formatCode>
                <c:ptCount val="10"/>
                <c:pt idx="0">
                  <c:v>3568200</c:v>
                </c:pt>
                <c:pt idx="1">
                  <c:v>765200</c:v>
                </c:pt>
                <c:pt idx="2">
                  <c:v>659700</c:v>
                </c:pt>
                <c:pt idx="3">
                  <c:v>234900</c:v>
                </c:pt>
                <c:pt idx="4">
                  <c:v>306900</c:v>
                </c:pt>
                <c:pt idx="5">
                  <c:v>247100</c:v>
                </c:pt>
                <c:pt idx="6">
                  <c:v>98100</c:v>
                </c:pt>
                <c:pt idx="7">
                  <c:v>177500</c:v>
                </c:pt>
                <c:pt idx="8">
                  <c:v>74700</c:v>
                </c:pt>
                <c:pt idx="9">
                  <c:v>286200</c:v>
                </c:pt>
              </c:numCache>
            </c:numRef>
          </c:val>
          <c:extLst>
            <c:ext xmlns:c16="http://schemas.microsoft.com/office/drawing/2014/chart" uri="{C3380CC4-5D6E-409C-BE32-E72D297353CC}">
              <c16:uniqueId val="{00000001-BD8A-44A0-9325-011012237B30}"/>
            </c:ext>
          </c:extLst>
        </c:ser>
        <c:dLbls>
          <c:showLegendKey val="0"/>
          <c:showVal val="0"/>
          <c:showCatName val="0"/>
          <c:showSerName val="0"/>
          <c:showPercent val="0"/>
          <c:showBubbleSize val="0"/>
        </c:dLbls>
        <c:gapWidth val="40"/>
        <c:axId val="50040001"/>
        <c:axId val="50040002"/>
      </c:barChart>
      <c:catAx>
        <c:axId val="50040001"/>
        <c:scaling>
          <c:orientation val="maxMin"/>
        </c:scaling>
        <c:delete val="0"/>
        <c:axPos val="l"/>
        <c:numFmt formatCode="General" sourceLinked="0"/>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40002"/>
        <c:crosses val="autoZero"/>
        <c:auto val="1"/>
        <c:lblAlgn val="ctr"/>
        <c:lblOffset val="100"/>
        <c:noMultiLvlLbl val="0"/>
      </c:catAx>
      <c:valAx>
        <c:axId val="50040002"/>
        <c:scaling>
          <c:orientation val="minMax"/>
        </c:scaling>
        <c:delete val="0"/>
        <c:axPos val="b"/>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40001"/>
        <c:crosses val="max"/>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Analytics!$B$178</c:f>
          <c:strCache>
            <c:ptCount val="1"/>
            <c:pt idx="0">
              <c:v>EBITDA margin by month: actual vs budget</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lineChart>
        <c:grouping val="standard"/>
        <c:varyColors val="0"/>
        <c:ser>
          <c:idx val="0"/>
          <c:order val="0"/>
          <c:tx>
            <c:v>EBITDA margin</c:v>
          </c:tx>
          <c:spPr>
            <a:ln w="28575">
              <a:solidFill>
                <a:srgbClr val="10243E"/>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Analytics!$C$84:$N$84</c:f>
              <c:numCache>
                <c:formatCode>0.0%</c:formatCode>
                <c:ptCount val="12"/>
                <c:pt idx="0">
                  <c:v>9.6429691186477526E-2</c:v>
                </c:pt>
                <c:pt idx="1">
                  <c:v>8.2372035225831766E-2</c:v>
                </c:pt>
                <c:pt idx="2">
                  <c:v>0.11112096586436657</c:v>
                </c:pt>
                <c:pt idx="3">
                  <c:v>0.12248655318000425</c:v>
                </c:pt>
                <c:pt idx="4">
                  <c:v>0.13671775487016113</c:v>
                </c:pt>
                <c:pt idx="5">
                  <c:v>0.1273990853968136</c:v>
                </c:pt>
                <c:pt idx="6">
                  <c:v>0.13346656060223899</c:v>
                </c:pt>
                <c:pt idx="7">
                  <c:v>0.13710952122897258</c:v>
                </c:pt>
                <c:pt idx="8">
                  <c:v>0.1418345378778551</c:v>
                </c:pt>
                <c:pt idx="9">
                  <c:v>0.17145332165145402</c:v>
                </c:pt>
                <c:pt idx="10">
                  <c:v>#N/A</c:v>
                </c:pt>
                <c:pt idx="11">
                  <c:v>#N/A</c:v>
                </c:pt>
              </c:numCache>
            </c:numRef>
          </c:val>
          <c:smooth val="0"/>
          <c:extLst>
            <c:ext xmlns:c16="http://schemas.microsoft.com/office/drawing/2014/chart" uri="{C3380CC4-5D6E-409C-BE32-E72D297353CC}">
              <c16:uniqueId val="{00000000-B607-457C-941B-DF037B8CD16B}"/>
            </c:ext>
          </c:extLst>
        </c:ser>
        <c:ser>
          <c:idx val="1"/>
          <c:order val="1"/>
          <c:tx>
            <c:v>EBITDA margin budget</c:v>
          </c:tx>
          <c:spPr>
            <a:ln w="19050">
              <a:solidFill>
                <a:srgbClr val="E0A100"/>
              </a:solidFill>
              <a:prstDash val="dash"/>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Analytics!$C$81:$N$81</c:f>
              <c:numCache>
                <c:formatCode>0.0%</c:formatCode>
                <c:ptCount val="12"/>
                <c:pt idx="0">
                  <c:v>0.11083292623351246</c:v>
                </c:pt>
                <c:pt idx="1">
                  <c:v>0.10277294205421537</c:v>
                </c:pt>
                <c:pt idx="2">
                  <c:v>0.13506596906278434</c:v>
                </c:pt>
                <c:pt idx="3">
                  <c:v>0.14250027756189632</c:v>
                </c:pt>
                <c:pt idx="4">
                  <c:v>0.14968014745744335</c:v>
                </c:pt>
                <c:pt idx="5">
                  <c:v>0.15352120207475536</c:v>
                </c:pt>
                <c:pt idx="6">
                  <c:v>0.14346848082514951</c:v>
                </c:pt>
                <c:pt idx="7">
                  <c:v>0.14734051187706293</c:v>
                </c:pt>
                <c:pt idx="8">
                  <c:v>0.15771566164154105</c:v>
                </c:pt>
                <c:pt idx="9">
                  <c:v>0.17046595701948183</c:v>
                </c:pt>
                <c:pt idx="10">
                  <c:v>0.18773692191053828</c:v>
                </c:pt>
                <c:pt idx="11">
                  <c:v>0.20327354260089686</c:v>
                </c:pt>
              </c:numCache>
            </c:numRef>
          </c:val>
          <c:smooth val="0"/>
          <c:extLst>
            <c:ext xmlns:c16="http://schemas.microsoft.com/office/drawing/2014/chart" uri="{C3380CC4-5D6E-409C-BE32-E72D297353CC}">
              <c16:uniqueId val="{00000001-B607-457C-941B-DF037B8CD16B}"/>
            </c:ext>
          </c:extLst>
        </c:ser>
        <c:dLbls>
          <c:showLegendKey val="0"/>
          <c:showVal val="0"/>
          <c:showCatName val="0"/>
          <c:showSerName val="0"/>
          <c:showPercent val="0"/>
          <c:showBubbleSize val="0"/>
        </c:dLbls>
        <c:smooth val="0"/>
        <c:axId val="50050001"/>
        <c:axId val="50050002"/>
      </c:lineChart>
      <c:catAx>
        <c:axId val="5005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50002"/>
        <c:crosses val="autoZero"/>
        <c:auto val="1"/>
        <c:lblAlgn val="ctr"/>
        <c:lblOffset val="100"/>
        <c:noMultiLvlLbl val="0"/>
      </c:catAx>
      <c:valAx>
        <c:axId val="50050002"/>
        <c:scaling>
          <c:orientation val="minMax"/>
        </c:scaling>
        <c:delete val="0"/>
        <c:axPos val="l"/>
        <c:majorGridlines>
          <c:spPr>
            <a:ln w="9525">
              <a:solidFill>
                <a:srgbClr val="EDF0F4"/>
              </a:solidFill>
            </a:ln>
          </c:spPr>
        </c:majorGridlines>
        <c:numFmt formatCode="0.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5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Analytics!$B$179</c:f>
          <c:strCache>
            <c:ptCount val="1"/>
            <c:pt idx="0">
              <c:v>Working capital days</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lineChart>
        <c:grouping val="standard"/>
        <c:varyColors val="0"/>
        <c:ser>
          <c:idx val="0"/>
          <c:order val="0"/>
          <c:tx>
            <c:v>Receivable days</c:v>
          </c:tx>
          <c:spPr>
            <a:ln w="22225">
              <a:solidFill>
                <a:srgbClr val="5FA3D0"/>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Analytics!$C$85:$N$85</c:f>
              <c:numCache>
                <c:formatCode>0.0</c:formatCode>
                <c:ptCount val="12"/>
                <c:pt idx="0">
                  <c:v>38.743791402431476</c:v>
                </c:pt>
                <c:pt idx="1">
                  <c:v>37.349486958416627</c:v>
                </c:pt>
                <c:pt idx="2">
                  <c:v>39.479831834450742</c:v>
                </c:pt>
                <c:pt idx="3">
                  <c:v>40.67458331483239</c:v>
                </c:pt>
                <c:pt idx="4">
                  <c:v>41.68499441571872</c:v>
                </c:pt>
                <c:pt idx="5">
                  <c:v>41.592949587673331</c:v>
                </c:pt>
                <c:pt idx="6">
                  <c:v>41.647614979948251</c:v>
                </c:pt>
                <c:pt idx="7">
                  <c:v>42.585789727486684</c:v>
                </c:pt>
                <c:pt idx="8">
                  <c:v>43.938787214769313</c:v>
                </c:pt>
                <c:pt idx="9">
                  <c:v>45.539895559166084</c:v>
                </c:pt>
                <c:pt idx="10">
                  <c:v>#N/A</c:v>
                </c:pt>
                <c:pt idx="11">
                  <c:v>#N/A</c:v>
                </c:pt>
              </c:numCache>
            </c:numRef>
          </c:val>
          <c:smooth val="0"/>
          <c:extLst>
            <c:ext xmlns:c16="http://schemas.microsoft.com/office/drawing/2014/chart" uri="{C3380CC4-5D6E-409C-BE32-E72D297353CC}">
              <c16:uniqueId val="{00000000-5252-4583-82EC-32C82A784C8A}"/>
            </c:ext>
          </c:extLst>
        </c:ser>
        <c:ser>
          <c:idx val="1"/>
          <c:order val="1"/>
          <c:tx>
            <c:v>Inventory days</c:v>
          </c:tx>
          <c:spPr>
            <a:ln w="22225">
              <a:solidFill>
                <a:srgbClr val="D9A85B"/>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Analytics!$C$86:$N$86</c:f>
              <c:numCache>
                <c:formatCode>0.0</c:formatCode>
                <c:ptCount val="12"/>
                <c:pt idx="0">
                  <c:v>42.848747926454962</c:v>
                </c:pt>
                <c:pt idx="1">
                  <c:v>45.18509218787996</c:v>
                </c:pt>
                <c:pt idx="2">
                  <c:v>46.610567975002937</c:v>
                </c:pt>
                <c:pt idx="3">
                  <c:v>47.63944220744245</c:v>
                </c:pt>
                <c:pt idx="4">
                  <c:v>47.257191863131304</c:v>
                </c:pt>
                <c:pt idx="5">
                  <c:v>47.328335476111675</c:v>
                </c:pt>
                <c:pt idx="6">
                  <c:v>49.261392596857654</c:v>
                </c:pt>
                <c:pt idx="7">
                  <c:v>51.61816322762769</c:v>
                </c:pt>
                <c:pt idx="8">
                  <c:v>53.699072251897668</c:v>
                </c:pt>
                <c:pt idx="9">
                  <c:v>56.196384364143213</c:v>
                </c:pt>
                <c:pt idx="10">
                  <c:v>#N/A</c:v>
                </c:pt>
                <c:pt idx="11">
                  <c:v>#N/A</c:v>
                </c:pt>
              </c:numCache>
            </c:numRef>
          </c:val>
          <c:smooth val="0"/>
          <c:extLst>
            <c:ext xmlns:c16="http://schemas.microsoft.com/office/drawing/2014/chart" uri="{C3380CC4-5D6E-409C-BE32-E72D297353CC}">
              <c16:uniqueId val="{00000001-5252-4583-82EC-32C82A784C8A}"/>
            </c:ext>
          </c:extLst>
        </c:ser>
        <c:ser>
          <c:idx val="2"/>
          <c:order val="2"/>
          <c:tx>
            <c:v>Payable days</c:v>
          </c:tx>
          <c:spPr>
            <a:ln w="22225">
              <a:solidFill>
                <a:srgbClr val="B4BCC8"/>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Analytics!$C$87:$N$87</c:f>
              <c:numCache>
                <c:formatCode>0.0</c:formatCode>
                <c:ptCount val="12"/>
                <c:pt idx="0">
                  <c:v>33.75121805250663</c:v>
                </c:pt>
                <c:pt idx="1">
                  <c:v>31.986969615722757</c:v>
                </c:pt>
                <c:pt idx="2">
                  <c:v>34.490304181817962</c:v>
                </c:pt>
                <c:pt idx="3">
                  <c:v>34.801351059563835</c:v>
                </c:pt>
                <c:pt idx="4">
                  <c:v>35.474917153654815</c:v>
                </c:pt>
                <c:pt idx="5">
                  <c:v>34.800310943998461</c:v>
                </c:pt>
                <c:pt idx="6">
                  <c:v>34.74268608284077</c:v>
                </c:pt>
                <c:pt idx="7">
                  <c:v>35.648737578377251</c:v>
                </c:pt>
                <c:pt idx="8">
                  <c:v>36.68687095867304</c:v>
                </c:pt>
                <c:pt idx="9">
                  <c:v>37.813609602862556</c:v>
                </c:pt>
                <c:pt idx="10">
                  <c:v>#N/A</c:v>
                </c:pt>
                <c:pt idx="11">
                  <c:v>#N/A</c:v>
                </c:pt>
              </c:numCache>
            </c:numRef>
          </c:val>
          <c:smooth val="0"/>
          <c:extLst>
            <c:ext xmlns:c16="http://schemas.microsoft.com/office/drawing/2014/chart" uri="{C3380CC4-5D6E-409C-BE32-E72D297353CC}">
              <c16:uniqueId val="{00000002-5252-4583-82EC-32C82A784C8A}"/>
            </c:ext>
          </c:extLst>
        </c:ser>
        <c:ser>
          <c:idx val="3"/>
          <c:order val="3"/>
          <c:tx>
            <c:v>Cash conversion cycle</c:v>
          </c:tx>
          <c:spPr>
            <a:ln w="31750">
              <a:solidFill>
                <a:srgbClr val="10243E"/>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Analytics!$C$88:$N$88</c:f>
              <c:numCache>
                <c:formatCode>0.0</c:formatCode>
                <c:ptCount val="12"/>
                <c:pt idx="0">
                  <c:v>47.841321276379801</c:v>
                </c:pt>
                <c:pt idx="1">
                  <c:v>50.547609530573823</c:v>
                </c:pt>
                <c:pt idx="2">
                  <c:v>51.600095627635724</c:v>
                </c:pt>
                <c:pt idx="3">
                  <c:v>53.512674462711011</c:v>
                </c:pt>
                <c:pt idx="4">
                  <c:v>53.467269125195202</c:v>
                </c:pt>
                <c:pt idx="5">
                  <c:v>54.120974119786545</c:v>
                </c:pt>
                <c:pt idx="6">
                  <c:v>56.166321493965135</c:v>
                </c:pt>
                <c:pt idx="7">
                  <c:v>58.555215376737124</c:v>
                </c:pt>
                <c:pt idx="8">
                  <c:v>60.950988507993941</c:v>
                </c:pt>
                <c:pt idx="9">
                  <c:v>63.922670320446741</c:v>
                </c:pt>
                <c:pt idx="10">
                  <c:v>#N/A</c:v>
                </c:pt>
                <c:pt idx="11">
                  <c:v>#N/A</c:v>
                </c:pt>
              </c:numCache>
            </c:numRef>
          </c:val>
          <c:smooth val="0"/>
          <c:extLst>
            <c:ext xmlns:c16="http://schemas.microsoft.com/office/drawing/2014/chart" uri="{C3380CC4-5D6E-409C-BE32-E72D297353CC}">
              <c16:uniqueId val="{00000003-5252-4583-82EC-32C82A784C8A}"/>
            </c:ext>
          </c:extLst>
        </c:ser>
        <c:dLbls>
          <c:showLegendKey val="0"/>
          <c:showVal val="0"/>
          <c:showCatName val="0"/>
          <c:showSerName val="0"/>
          <c:showPercent val="0"/>
          <c:showBubbleSize val="0"/>
        </c:dLbls>
        <c:smooth val="0"/>
        <c:axId val="50060001"/>
        <c:axId val="50060002"/>
      </c:lineChart>
      <c:catAx>
        <c:axId val="5006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60002"/>
        <c:crosses val="autoZero"/>
        <c:auto val="1"/>
        <c:lblAlgn val="ctr"/>
        <c:lblOffset val="100"/>
        <c:noMultiLvlLbl val="0"/>
      </c:catAx>
      <c:valAx>
        <c:axId val="5006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6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Analytics!$B$180</c:f>
          <c:strCache>
            <c:ptCount val="1"/>
            <c:pt idx="0">
              <c:v>Net cash and net debt, $k</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clustered"/>
        <c:varyColors val="0"/>
        <c:ser>
          <c:idx val="0"/>
          <c:order val="0"/>
          <c:tx>
            <c:v>Net debt</c:v>
          </c:tx>
          <c:spPr>
            <a:solidFill>
              <a:srgbClr val="10243E"/>
            </a:solidFill>
            <a:ln>
              <a:solidFill>
                <a:srgbClr val="10243E"/>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Analytics!$C$58:$N$58</c:f>
              <c:numCache>
                <c:formatCode>#,##0;\(#,##0\);"-"</c:formatCode>
                <c:ptCount val="12"/>
                <c:pt idx="0">
                  <c:v>-604733</c:v>
                </c:pt>
                <c:pt idx="1">
                  <c:v>-603115</c:v>
                </c:pt>
                <c:pt idx="2">
                  <c:v>-556806</c:v>
                </c:pt>
                <c:pt idx="3">
                  <c:v>29219</c:v>
                </c:pt>
                <c:pt idx="4">
                  <c:v>79508</c:v>
                </c:pt>
                <c:pt idx="5">
                  <c:v>51931</c:v>
                </c:pt>
                <c:pt idx="6">
                  <c:v>-56056</c:v>
                </c:pt>
                <c:pt idx="7">
                  <c:v>-39026</c:v>
                </c:pt>
                <c:pt idx="8">
                  <c:v>-11757</c:v>
                </c:pt>
                <c:pt idx="9">
                  <c:v>-182964</c:v>
                </c:pt>
                <c:pt idx="10">
                  <c:v>0</c:v>
                </c:pt>
                <c:pt idx="11">
                  <c:v>0</c:v>
                </c:pt>
              </c:numCache>
            </c:numRef>
          </c:val>
          <c:extLst>
            <c:ext xmlns:c16="http://schemas.microsoft.com/office/drawing/2014/chart" uri="{C3380CC4-5D6E-409C-BE32-E72D297353CC}">
              <c16:uniqueId val="{00000000-7320-43E5-B787-17447ACD0112}"/>
            </c:ext>
          </c:extLst>
        </c:ser>
        <c:dLbls>
          <c:showLegendKey val="0"/>
          <c:showVal val="0"/>
          <c:showCatName val="0"/>
          <c:showSerName val="0"/>
          <c:showPercent val="0"/>
          <c:showBubbleSize val="0"/>
        </c:dLbls>
        <c:gapWidth val="55"/>
        <c:axId val="50070001"/>
        <c:axId val="50070002"/>
      </c:barChart>
      <c:lineChart>
        <c:grouping val="standard"/>
        <c:varyColors val="0"/>
        <c:ser>
          <c:idx val="1"/>
          <c:order val="1"/>
          <c:tx>
            <c:v>Net cash and bank</c:v>
          </c:tx>
          <c:spPr>
            <a:ln w="28575">
              <a:solidFill>
                <a:srgbClr val="0E8A8A"/>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Analytics!$C$89:$N$89</c:f>
              <c:numCache>
                <c:formatCode>#,##0;\(#,##0\);"-"</c:formatCode>
                <c:ptCount val="12"/>
                <c:pt idx="0">
                  <c:v>2884733</c:v>
                </c:pt>
                <c:pt idx="1">
                  <c:v>2823115</c:v>
                </c:pt>
                <c:pt idx="2">
                  <c:v>2716806</c:v>
                </c:pt>
                <c:pt idx="3">
                  <c:v>2070781</c:v>
                </c:pt>
                <c:pt idx="4">
                  <c:v>1960492</c:v>
                </c:pt>
                <c:pt idx="5">
                  <c:v>1928069</c:v>
                </c:pt>
                <c:pt idx="6">
                  <c:v>1976056</c:v>
                </c:pt>
                <c:pt idx="7">
                  <c:v>1899026</c:v>
                </c:pt>
                <c:pt idx="8">
                  <c:v>1811757</c:v>
                </c:pt>
                <c:pt idx="9">
                  <c:v>1922964</c:v>
                </c:pt>
                <c:pt idx="10">
                  <c:v>#N/A</c:v>
                </c:pt>
                <c:pt idx="11">
                  <c:v>#N/A</c:v>
                </c:pt>
              </c:numCache>
            </c:numRef>
          </c:val>
          <c:smooth val="0"/>
          <c:extLst>
            <c:ext xmlns:c16="http://schemas.microsoft.com/office/drawing/2014/chart" uri="{C3380CC4-5D6E-409C-BE32-E72D297353CC}">
              <c16:uniqueId val="{00000001-7320-43E5-B787-17447ACD0112}"/>
            </c:ext>
          </c:extLst>
        </c:ser>
        <c:dLbls>
          <c:showLegendKey val="0"/>
          <c:showVal val="0"/>
          <c:showCatName val="0"/>
          <c:showSerName val="0"/>
          <c:showPercent val="0"/>
          <c:showBubbleSize val="0"/>
        </c:dLbls>
        <c:marker val="1"/>
        <c:smooth val="0"/>
        <c:axId val="50070001"/>
        <c:axId val="50070002"/>
      </c:lineChart>
      <c:catAx>
        <c:axId val="5007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70002"/>
        <c:crosses val="autoZero"/>
        <c:auto val="1"/>
        <c:lblAlgn val="ctr"/>
        <c:lblOffset val="100"/>
        <c:noMultiLvlLbl val="0"/>
      </c:catAx>
      <c:valAx>
        <c:axId val="5007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7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Analytics!$B$181</c:f>
          <c:strCache>
            <c:ptCount val="1"/>
            <c:pt idx="0">
              <c:v>What funds the balance sheet, $k</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stacked"/>
        <c:varyColors val="0"/>
        <c:ser>
          <c:idx val="0"/>
          <c:order val="0"/>
          <c:tx>
            <c:v>Equity</c:v>
          </c:tx>
          <c:spPr>
            <a:solidFill>
              <a:srgbClr val="10243E"/>
            </a:solidFill>
            <a:ln w="6350">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Analytics!$C$65:$N$65</c:f>
              <c:numCache>
                <c:formatCode>#,##0;\(#,##0\);"-"</c:formatCode>
                <c:ptCount val="12"/>
                <c:pt idx="0">
                  <c:v>4479368</c:v>
                </c:pt>
                <c:pt idx="1">
                  <c:v>4537484</c:v>
                </c:pt>
                <c:pt idx="2">
                  <c:v>4641392</c:v>
                </c:pt>
                <c:pt idx="3">
                  <c:v>4764746</c:v>
                </c:pt>
                <c:pt idx="4">
                  <c:v>4649420</c:v>
                </c:pt>
                <c:pt idx="5">
                  <c:v>4778797</c:v>
                </c:pt>
                <c:pt idx="6">
                  <c:v>4918205</c:v>
                </c:pt>
                <c:pt idx="7">
                  <c:v>5068763</c:v>
                </c:pt>
                <c:pt idx="8">
                  <c:v>5233313</c:v>
                </c:pt>
                <c:pt idx="9">
                  <c:v>5451856</c:v>
                </c:pt>
                <c:pt idx="10">
                  <c:v>0</c:v>
                </c:pt>
                <c:pt idx="11">
                  <c:v>0</c:v>
                </c:pt>
              </c:numCache>
            </c:numRef>
          </c:val>
          <c:extLst>
            <c:ext xmlns:c16="http://schemas.microsoft.com/office/drawing/2014/chart" uri="{C3380CC4-5D6E-409C-BE32-E72D297353CC}">
              <c16:uniqueId val="{00000000-BA88-4BAF-ACF5-80F5096CDAC6}"/>
            </c:ext>
          </c:extLst>
        </c:ser>
        <c:ser>
          <c:idx val="1"/>
          <c:order val="1"/>
          <c:tx>
            <c:v>Non-current liabilities</c:v>
          </c:tx>
          <c:spPr>
            <a:solidFill>
              <a:srgbClr val="5FA3D0"/>
            </a:solidFill>
            <a:ln w="6350">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Analytics!$C$66:$N$66</c:f>
              <c:numCache>
                <c:formatCode>#,##0;\(#,##0\);"-"</c:formatCode>
                <c:ptCount val="12"/>
                <c:pt idx="0">
                  <c:v>2400000</c:v>
                </c:pt>
                <c:pt idx="1">
                  <c:v>2370000</c:v>
                </c:pt>
                <c:pt idx="2">
                  <c:v>2340000</c:v>
                </c:pt>
                <c:pt idx="3">
                  <c:v>2310000</c:v>
                </c:pt>
                <c:pt idx="4">
                  <c:v>2280000</c:v>
                </c:pt>
                <c:pt idx="5">
                  <c:v>2250000</c:v>
                </c:pt>
                <c:pt idx="6">
                  <c:v>2170000</c:v>
                </c:pt>
                <c:pt idx="7">
                  <c:v>2140000</c:v>
                </c:pt>
                <c:pt idx="8">
                  <c:v>2110000</c:v>
                </c:pt>
                <c:pt idx="9">
                  <c:v>2080000</c:v>
                </c:pt>
                <c:pt idx="10">
                  <c:v>0</c:v>
                </c:pt>
                <c:pt idx="11">
                  <c:v>0</c:v>
                </c:pt>
              </c:numCache>
            </c:numRef>
          </c:val>
          <c:extLst>
            <c:ext xmlns:c16="http://schemas.microsoft.com/office/drawing/2014/chart" uri="{C3380CC4-5D6E-409C-BE32-E72D297353CC}">
              <c16:uniqueId val="{00000001-BA88-4BAF-ACF5-80F5096CDAC6}"/>
            </c:ext>
          </c:extLst>
        </c:ser>
        <c:ser>
          <c:idx val="2"/>
          <c:order val="2"/>
          <c:tx>
            <c:v>Current liabilities</c:v>
          </c:tx>
          <c:spPr>
            <a:solidFill>
              <a:srgbClr val="D9A85B"/>
            </a:solidFill>
            <a:ln w="6350">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Analytics!$C$64:$N$64</c:f>
              <c:numCache>
                <c:formatCode>#,##0;\(#,##0\);"-"</c:formatCode>
                <c:ptCount val="12"/>
                <c:pt idx="0">
                  <c:v>1860941</c:v>
                </c:pt>
                <c:pt idx="1">
                  <c:v>1865912</c:v>
                </c:pt>
                <c:pt idx="2">
                  <c:v>1834770</c:v>
                </c:pt>
                <c:pt idx="3">
                  <c:v>1638332</c:v>
                </c:pt>
                <c:pt idx="4">
                  <c:v>1713329</c:v>
                </c:pt>
                <c:pt idx="5">
                  <c:v>1577231</c:v>
                </c:pt>
                <c:pt idx="6">
                  <c:v>1599430</c:v>
                </c:pt>
                <c:pt idx="7">
                  <c:v>1678025</c:v>
                </c:pt>
                <c:pt idx="8">
                  <c:v>1609060</c:v>
                </c:pt>
                <c:pt idx="9">
                  <c:v>1704264</c:v>
                </c:pt>
                <c:pt idx="10">
                  <c:v>0</c:v>
                </c:pt>
                <c:pt idx="11">
                  <c:v>0</c:v>
                </c:pt>
              </c:numCache>
            </c:numRef>
          </c:val>
          <c:extLst>
            <c:ext xmlns:c16="http://schemas.microsoft.com/office/drawing/2014/chart" uri="{C3380CC4-5D6E-409C-BE32-E72D297353CC}">
              <c16:uniqueId val="{00000002-BA88-4BAF-ACF5-80F5096CDAC6}"/>
            </c:ext>
          </c:extLst>
        </c:ser>
        <c:dLbls>
          <c:showLegendKey val="0"/>
          <c:showVal val="0"/>
          <c:showCatName val="0"/>
          <c:showSerName val="0"/>
          <c:showPercent val="0"/>
          <c:showBubbleSize val="0"/>
        </c:dLbls>
        <c:gapWidth val="55"/>
        <c:overlap val="100"/>
        <c:axId val="50080001"/>
        <c:axId val="50080002"/>
      </c:barChart>
      <c:catAx>
        <c:axId val="5008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80002"/>
        <c:crosses val="autoZero"/>
        <c:auto val="1"/>
        <c:lblAlgn val="ctr"/>
        <c:lblOffset val="100"/>
        <c:noMultiLvlLbl val="0"/>
      </c:catAx>
      <c:valAx>
        <c:axId val="5008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8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Analytics!$B$182</c:f>
          <c:strCache>
            <c:ptCount val="1"/>
            <c:pt idx="0">
              <c:v>Full-year EBITDA landing, $k: actual to date plus remaining budget</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stacked"/>
        <c:varyColors val="0"/>
        <c:ser>
          <c:idx val="0"/>
          <c:order val="0"/>
          <c:tx>
            <c:v>Budget / actual to date</c:v>
          </c:tx>
          <c:spPr>
            <a:solidFill>
              <a:srgbClr val="10243E"/>
            </a:solidFill>
            <a:ln>
              <a:solidFill>
                <a:srgbClr val="10243E"/>
              </a:solidFill>
            </a:ln>
          </c:spPr>
          <c:invertIfNegative val="0"/>
          <c:dPt>
            <c:idx val="0"/>
            <c:invertIfNegative val="0"/>
            <c:bubble3D val="0"/>
            <c:spPr>
              <a:solidFill>
                <a:srgbClr val="FFFFFF"/>
              </a:solidFill>
              <a:ln w="15875">
                <a:solidFill>
                  <a:srgbClr val="10243E"/>
                </a:solidFill>
              </a:ln>
            </c:spPr>
            <c:extLst>
              <c:ext xmlns:c16="http://schemas.microsoft.com/office/drawing/2014/chart" uri="{C3380CC4-5D6E-409C-BE32-E72D297353CC}">
                <c16:uniqueId val="{00000000-8CA6-472B-A1D4-CCCB1046F5AF}"/>
              </c:ext>
            </c:extLst>
          </c:dPt>
          <c:dPt>
            <c:idx val="1"/>
            <c:invertIfNegative val="0"/>
            <c:bubble3D val="0"/>
            <c:extLst>
              <c:ext xmlns:c16="http://schemas.microsoft.com/office/drawing/2014/chart" uri="{C3380CC4-5D6E-409C-BE32-E72D297353CC}">
                <c16:uniqueId val="{00000001-8CA6-472B-A1D4-CCCB1046F5AF}"/>
              </c:ext>
            </c:extLst>
          </c:dPt>
          <c:cat>
            <c:strRef>
              <c:f>Analytics!$A$134:$A$135</c:f>
              <c:strCache>
                <c:ptCount val="2"/>
                <c:pt idx="0">
                  <c:v>Budget</c:v>
                </c:pt>
                <c:pt idx="1">
                  <c:v>Outlook</c:v>
                </c:pt>
              </c:strCache>
            </c:strRef>
          </c:cat>
          <c:val>
            <c:numRef>
              <c:f>Analytics!$B$134:$B$135</c:f>
              <c:numCache>
                <c:formatCode>#,##0;\(#,##0\);"-"</c:formatCode>
                <c:ptCount val="2"/>
                <c:pt idx="0">
                  <c:v>3428300</c:v>
                </c:pt>
                <c:pt idx="1">
                  <c:v>2286045</c:v>
                </c:pt>
              </c:numCache>
            </c:numRef>
          </c:val>
          <c:extLst>
            <c:ext xmlns:c16="http://schemas.microsoft.com/office/drawing/2014/chart" uri="{C3380CC4-5D6E-409C-BE32-E72D297353CC}">
              <c16:uniqueId val="{00000002-8CA6-472B-A1D4-CCCB1046F5AF}"/>
            </c:ext>
          </c:extLst>
        </c:ser>
        <c:ser>
          <c:idx val="1"/>
          <c:order val="1"/>
          <c:tx>
            <c:v>Remaining budget</c:v>
          </c:tx>
          <c:spPr>
            <a:pattFill prst="wdUpDiag">
              <a:fgClr>
                <a:srgbClr val="0E8A8A"/>
              </a:fgClr>
              <a:bgClr>
                <a:srgbClr val="FFFFFF"/>
              </a:bgClr>
            </a:pattFill>
            <a:ln>
              <a:solidFill>
                <a:srgbClr val="0E8A8A"/>
              </a:solidFill>
            </a:ln>
          </c:spPr>
          <c:invertIfNegative val="0"/>
          <c:cat>
            <c:strRef>
              <c:f>Analytics!$A$134:$A$135</c:f>
              <c:strCache>
                <c:ptCount val="2"/>
                <c:pt idx="0">
                  <c:v>Budget</c:v>
                </c:pt>
                <c:pt idx="1">
                  <c:v>Outlook</c:v>
                </c:pt>
              </c:strCache>
            </c:strRef>
          </c:cat>
          <c:val>
            <c:numRef>
              <c:f>Analytics!$C$134:$C$135</c:f>
              <c:numCache>
                <c:formatCode>#,##0;\(#,##0\);"-"</c:formatCode>
                <c:ptCount val="2"/>
                <c:pt idx="0">
                  <c:v>0</c:v>
                </c:pt>
                <c:pt idx="1">
                  <c:v>849500</c:v>
                </c:pt>
              </c:numCache>
            </c:numRef>
          </c:val>
          <c:extLst>
            <c:ext xmlns:c16="http://schemas.microsoft.com/office/drawing/2014/chart" uri="{C3380CC4-5D6E-409C-BE32-E72D297353CC}">
              <c16:uniqueId val="{00000003-8CA6-472B-A1D4-CCCB1046F5AF}"/>
            </c:ext>
          </c:extLst>
        </c:ser>
        <c:dLbls>
          <c:showLegendKey val="0"/>
          <c:showVal val="0"/>
          <c:showCatName val="0"/>
          <c:showSerName val="0"/>
          <c:showPercent val="0"/>
          <c:showBubbleSize val="0"/>
        </c:dLbls>
        <c:gapWidth val="90"/>
        <c:overlap val="100"/>
        <c:axId val="50090001"/>
        <c:axId val="50090002"/>
      </c:barChart>
      <c:lineChart>
        <c:grouping val="standard"/>
        <c:varyColors val="0"/>
        <c:ser>
          <c:idx val="2"/>
          <c:order val="2"/>
          <c:tx>
            <c:v>Total</c:v>
          </c:tx>
          <c:spPr>
            <a:ln>
              <a:noFill/>
            </a:ln>
          </c:spPr>
          <c:marker>
            <c:symbol val="none"/>
          </c:marker>
          <c:dLbls>
            <c:numFmt formatCode="#,##0," sourceLinked="0"/>
            <c:spPr>
              <a:noFill/>
              <a:ln>
                <a:noFill/>
              </a:ln>
              <a:effectLst/>
            </c:spPr>
            <c:txPr>
              <a:bodyPr/>
              <a:lstStyle/>
              <a:p>
                <a:pPr>
                  <a:defRPr sz="800" b="1" baseline="0">
                    <a:latin typeface="Segoe UI"/>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Analytics!$A$134:$A$135</c:f>
              <c:strCache>
                <c:ptCount val="2"/>
                <c:pt idx="0">
                  <c:v>Budget</c:v>
                </c:pt>
                <c:pt idx="1">
                  <c:v>Outlook</c:v>
                </c:pt>
              </c:strCache>
            </c:strRef>
          </c:cat>
          <c:val>
            <c:numRef>
              <c:f>Analytics!$D$134:$D$135</c:f>
              <c:numCache>
                <c:formatCode>#,##0;\(#,##0\);"-"</c:formatCode>
                <c:ptCount val="2"/>
                <c:pt idx="0">
                  <c:v>3428300</c:v>
                </c:pt>
                <c:pt idx="1">
                  <c:v>3135545</c:v>
                </c:pt>
              </c:numCache>
            </c:numRef>
          </c:val>
          <c:smooth val="0"/>
          <c:extLst>
            <c:ext xmlns:c16="http://schemas.microsoft.com/office/drawing/2014/chart" uri="{C3380CC4-5D6E-409C-BE32-E72D297353CC}">
              <c16:uniqueId val="{00000004-8CA6-472B-A1D4-CCCB1046F5AF}"/>
            </c:ext>
          </c:extLst>
        </c:ser>
        <c:dLbls>
          <c:showLegendKey val="0"/>
          <c:showVal val="0"/>
          <c:showCatName val="0"/>
          <c:showSerName val="0"/>
          <c:showPercent val="0"/>
          <c:showBubbleSize val="0"/>
        </c:dLbls>
        <c:marker val="1"/>
        <c:smooth val="0"/>
        <c:axId val="50090001"/>
        <c:axId val="50090002"/>
      </c:lineChart>
      <c:catAx>
        <c:axId val="50090001"/>
        <c:scaling>
          <c:orientation val="minMax"/>
        </c:scaling>
        <c:delete val="0"/>
        <c:axPos val="b"/>
        <c:numFmt formatCode="General" sourceLinked="0"/>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090002"/>
        <c:crosses val="autoZero"/>
        <c:auto val="1"/>
        <c:lblAlgn val="ctr"/>
        <c:lblOffset val="100"/>
        <c:noMultiLvlLbl val="0"/>
      </c:catAx>
      <c:valAx>
        <c:axId val="5009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090001"/>
        <c:crosses val="autoZero"/>
        <c:crossBetween val="between"/>
      </c:valAx>
      <c:spPr>
        <a:noFill/>
      </c:spPr>
    </c:plotArea>
    <c:legend>
      <c:legendPos val="b"/>
      <c:legendEntry>
        <c:idx val="2"/>
        <c:delete val="1"/>
      </c:legendEntry>
      <c:overlay val="0"/>
      <c:txPr>
        <a:bodyPr/>
        <a:lstStyle/>
        <a:p>
          <a:pPr>
            <a:defRPr sz="800" baseline="0">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Analytics!$B$183</c:f>
          <c:strCache>
            <c:ptCount val="1"/>
            <c:pt idx="0">
              <c:v>Cumulative revenue, $k</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lineChart>
        <c:grouping val="standard"/>
        <c:varyColors val="0"/>
        <c:ser>
          <c:idx val="0"/>
          <c:order val="0"/>
          <c:tx>
            <c:v>Actual</c:v>
          </c:tx>
          <c:spPr>
            <a:ln w="31750">
              <a:solidFill>
                <a:srgbClr val="10243E"/>
              </a:solidFill>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Analytics!$C$93:$N$93</c:f>
              <c:numCache>
                <c:formatCode>#,##0;\(#,##0\);"-"</c:formatCode>
                <c:ptCount val="12"/>
                <c:pt idx="0">
                  <c:v>1591543</c:v>
                </c:pt>
                <c:pt idx="1">
                  <c:v>3166410</c:v>
                </c:pt>
                <c:pt idx="2">
                  <c:v>4880191</c:v>
                </c:pt>
                <c:pt idx="3">
                  <c:v>6643805</c:v>
                </c:pt>
                <c:pt idx="4">
                  <c:v>8461250</c:v>
                </c:pt>
                <c:pt idx="5">
                  <c:v>10263343</c:v>
                </c:pt>
                <c:pt idx="6">
                  <c:v>12067278</c:v>
                </c:pt>
                <c:pt idx="7">
                  <c:v>13929191</c:v>
                </c:pt>
                <c:pt idx="8">
                  <c:v>15870312</c:v>
                </c:pt>
                <c:pt idx="9">
                  <c:v>17893959</c:v>
                </c:pt>
                <c:pt idx="10">
                  <c:v>#N/A</c:v>
                </c:pt>
                <c:pt idx="11">
                  <c:v>#N/A</c:v>
                </c:pt>
              </c:numCache>
            </c:numRef>
          </c:val>
          <c:smooth val="0"/>
          <c:extLst>
            <c:ext xmlns:c16="http://schemas.microsoft.com/office/drawing/2014/chart" uri="{C3380CC4-5D6E-409C-BE32-E72D297353CC}">
              <c16:uniqueId val="{00000000-C3A8-42CE-B206-BD909CDAAC17}"/>
            </c:ext>
          </c:extLst>
        </c:ser>
        <c:ser>
          <c:idx val="1"/>
          <c:order val="1"/>
          <c:tx>
            <c:v>Budget</c:v>
          </c:tx>
          <c:spPr>
            <a:ln w="22225">
              <a:solidFill>
                <a:srgbClr val="E0A100"/>
              </a:solidFill>
              <a:prstDash val="dash"/>
            </a:ln>
          </c:spPr>
          <c:marker>
            <c:symbol val="none"/>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Analytics!$C$94:$N$94</c:f>
              <c:numCache>
                <c:formatCode>#,##0;\(#,##0\);"-"</c:formatCode>
                <c:ptCount val="12"/>
                <c:pt idx="0">
                  <c:v>1637600</c:v>
                </c:pt>
                <c:pt idx="1">
                  <c:v>3246000</c:v>
                </c:pt>
                <c:pt idx="2">
                  <c:v>5004400</c:v>
                </c:pt>
                <c:pt idx="3">
                  <c:v>6805800</c:v>
                </c:pt>
                <c:pt idx="4">
                  <c:v>8650400</c:v>
                </c:pt>
                <c:pt idx="5">
                  <c:v>10520500</c:v>
                </c:pt>
                <c:pt idx="6">
                  <c:v>12343200</c:v>
                </c:pt>
                <c:pt idx="7">
                  <c:v>14191300</c:v>
                </c:pt>
                <c:pt idx="8">
                  <c:v>16101700</c:v>
                </c:pt>
                <c:pt idx="9">
                  <c:v>18093300</c:v>
                </c:pt>
                <c:pt idx="10">
                  <c:v>20203700</c:v>
                </c:pt>
                <c:pt idx="11">
                  <c:v>22433700</c:v>
                </c:pt>
              </c:numCache>
            </c:numRef>
          </c:val>
          <c:smooth val="0"/>
          <c:extLst>
            <c:ext xmlns:c16="http://schemas.microsoft.com/office/drawing/2014/chart" uri="{C3380CC4-5D6E-409C-BE32-E72D297353CC}">
              <c16:uniqueId val="{00000001-C3A8-42CE-B206-BD909CDAAC17}"/>
            </c:ext>
          </c:extLst>
        </c:ser>
        <c:dLbls>
          <c:showLegendKey val="0"/>
          <c:showVal val="0"/>
          <c:showCatName val="0"/>
          <c:showSerName val="0"/>
          <c:showPercent val="0"/>
          <c:showBubbleSize val="0"/>
        </c:dLbls>
        <c:smooth val="0"/>
        <c:axId val="50100001"/>
        <c:axId val="50100002"/>
      </c:lineChart>
      <c:catAx>
        <c:axId val="5010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100002"/>
        <c:crosses val="autoZero"/>
        <c:auto val="1"/>
        <c:lblAlgn val="ctr"/>
        <c:lblOffset val="100"/>
        <c:noMultiLvlLbl val="0"/>
      </c:catAx>
      <c:valAx>
        <c:axId val="5010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10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Analytics!$B$184</c:f>
          <c:strCache>
            <c:ptCount val="1"/>
            <c:pt idx="0">
              <c:v>Operating costs by month, $k</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stacked"/>
        <c:varyColors val="0"/>
        <c:ser>
          <c:idx val="0"/>
          <c:order val="0"/>
          <c:tx>
            <c:v>Employee costs</c:v>
          </c:tx>
          <c:spPr>
            <a:solidFill>
              <a:srgbClr val="10243E"/>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Analytics!$C$13:$N$13</c:f>
              <c:numCache>
                <c:formatCode>#,##0;\(#,##0\);"-"</c:formatCode>
                <c:ptCount val="12"/>
                <c:pt idx="0">
                  <c:v>350476</c:v>
                </c:pt>
                <c:pt idx="1">
                  <c:v>348525</c:v>
                </c:pt>
                <c:pt idx="2">
                  <c:v>352616</c:v>
                </c:pt>
                <c:pt idx="3">
                  <c:v>351626</c:v>
                </c:pt>
                <c:pt idx="4">
                  <c:v>355472</c:v>
                </c:pt>
                <c:pt idx="5">
                  <c:v>353494</c:v>
                </c:pt>
                <c:pt idx="6">
                  <c:v>359207</c:v>
                </c:pt>
                <c:pt idx="7">
                  <c:v>359011</c:v>
                </c:pt>
                <c:pt idx="8">
                  <c:v>360267</c:v>
                </c:pt>
                <c:pt idx="9">
                  <c:v>359010</c:v>
                </c:pt>
                <c:pt idx="10">
                  <c:v>0</c:v>
                </c:pt>
                <c:pt idx="11">
                  <c:v>0</c:v>
                </c:pt>
              </c:numCache>
            </c:numRef>
          </c:val>
          <c:extLst>
            <c:ext xmlns:c16="http://schemas.microsoft.com/office/drawing/2014/chart" uri="{C3380CC4-5D6E-409C-BE32-E72D297353CC}">
              <c16:uniqueId val="{00000000-0695-4FA1-B7B2-DB9BA4CAD4BC}"/>
            </c:ext>
          </c:extLst>
        </c:ser>
        <c:ser>
          <c:idx val="1"/>
          <c:order val="1"/>
          <c:tx>
            <c:v>Rent and occupancy</c:v>
          </c:tx>
          <c:spPr>
            <a:solidFill>
              <a:srgbClr val="0E8A8A"/>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Analytics!$C$14:$N$14</c:f>
              <c:numCache>
                <c:formatCode>#,##0;\(#,##0\);"-"</c:formatCode>
                <c:ptCount val="12"/>
                <c:pt idx="0">
                  <c:v>75500</c:v>
                </c:pt>
                <c:pt idx="1">
                  <c:v>75726</c:v>
                </c:pt>
                <c:pt idx="2">
                  <c:v>75954</c:v>
                </c:pt>
                <c:pt idx="3">
                  <c:v>76179</c:v>
                </c:pt>
                <c:pt idx="4">
                  <c:v>76406</c:v>
                </c:pt>
                <c:pt idx="5">
                  <c:v>76633</c:v>
                </c:pt>
                <c:pt idx="6">
                  <c:v>76858</c:v>
                </c:pt>
                <c:pt idx="7">
                  <c:v>77086</c:v>
                </c:pt>
                <c:pt idx="8">
                  <c:v>77312</c:v>
                </c:pt>
                <c:pt idx="9">
                  <c:v>77538</c:v>
                </c:pt>
                <c:pt idx="10">
                  <c:v>0</c:v>
                </c:pt>
                <c:pt idx="11">
                  <c:v>0</c:v>
                </c:pt>
              </c:numCache>
            </c:numRef>
          </c:val>
          <c:extLst>
            <c:ext xmlns:c16="http://schemas.microsoft.com/office/drawing/2014/chart" uri="{C3380CC4-5D6E-409C-BE32-E72D297353CC}">
              <c16:uniqueId val="{00000001-0695-4FA1-B7B2-DB9BA4CAD4BC}"/>
            </c:ext>
          </c:extLst>
        </c:ser>
        <c:ser>
          <c:idx val="2"/>
          <c:order val="2"/>
          <c:tx>
            <c:v>Marketing and advertising</c:v>
          </c:tx>
          <c:spPr>
            <a:solidFill>
              <a:srgbClr val="5FA3D0"/>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Analytics!$C$15:$N$15</c:f>
              <c:numCache>
                <c:formatCode>#,##0;\(#,##0\);"-"</c:formatCode>
                <c:ptCount val="12"/>
                <c:pt idx="0">
                  <c:v>79351</c:v>
                </c:pt>
                <c:pt idx="1">
                  <c:v>83898</c:v>
                </c:pt>
                <c:pt idx="2">
                  <c:v>75827</c:v>
                </c:pt>
                <c:pt idx="3">
                  <c:v>76763</c:v>
                </c:pt>
                <c:pt idx="4">
                  <c:v>79654</c:v>
                </c:pt>
                <c:pt idx="5">
                  <c:v>80360</c:v>
                </c:pt>
                <c:pt idx="6">
                  <c:v>72442</c:v>
                </c:pt>
                <c:pt idx="7">
                  <c:v>66281</c:v>
                </c:pt>
                <c:pt idx="8">
                  <c:v>89201</c:v>
                </c:pt>
                <c:pt idx="9">
                  <c:v>64195</c:v>
                </c:pt>
                <c:pt idx="10">
                  <c:v>0</c:v>
                </c:pt>
                <c:pt idx="11">
                  <c:v>0</c:v>
                </c:pt>
              </c:numCache>
            </c:numRef>
          </c:val>
          <c:extLst>
            <c:ext xmlns:c16="http://schemas.microsoft.com/office/drawing/2014/chart" uri="{C3380CC4-5D6E-409C-BE32-E72D297353CC}">
              <c16:uniqueId val="{00000002-0695-4FA1-B7B2-DB9BA4CAD4BC}"/>
            </c:ext>
          </c:extLst>
        </c:ser>
        <c:ser>
          <c:idx val="3"/>
          <c:order val="3"/>
          <c:tx>
            <c:v>Professional fees</c:v>
          </c:tx>
          <c:spPr>
            <a:solidFill>
              <a:srgbClr val="D9A85B"/>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Analytics!$C$16:$N$16</c:f>
              <c:numCache>
                <c:formatCode>#,##0;\(#,##0\);"-"</c:formatCode>
                <c:ptCount val="12"/>
                <c:pt idx="0">
                  <c:v>23805</c:v>
                </c:pt>
                <c:pt idx="1">
                  <c:v>24118</c:v>
                </c:pt>
                <c:pt idx="2">
                  <c:v>31605</c:v>
                </c:pt>
                <c:pt idx="3">
                  <c:v>21234</c:v>
                </c:pt>
                <c:pt idx="4">
                  <c:v>16122</c:v>
                </c:pt>
                <c:pt idx="5">
                  <c:v>30542</c:v>
                </c:pt>
                <c:pt idx="6">
                  <c:v>24493</c:v>
                </c:pt>
                <c:pt idx="7">
                  <c:v>21698</c:v>
                </c:pt>
                <c:pt idx="8">
                  <c:v>27441</c:v>
                </c:pt>
                <c:pt idx="9">
                  <c:v>21130</c:v>
                </c:pt>
                <c:pt idx="10">
                  <c:v>0</c:v>
                </c:pt>
                <c:pt idx="11">
                  <c:v>0</c:v>
                </c:pt>
              </c:numCache>
            </c:numRef>
          </c:val>
          <c:extLst>
            <c:ext xmlns:c16="http://schemas.microsoft.com/office/drawing/2014/chart" uri="{C3380CC4-5D6E-409C-BE32-E72D297353CC}">
              <c16:uniqueId val="{00000003-0695-4FA1-B7B2-DB9BA4CAD4BC}"/>
            </c:ext>
          </c:extLst>
        </c:ser>
        <c:ser>
          <c:idx val="4"/>
          <c:order val="4"/>
          <c:tx>
            <c:v>Motor vehicle and travel</c:v>
          </c:tx>
          <c:spPr>
            <a:solidFill>
              <a:srgbClr val="7C6AA6"/>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Analytics!$C$17:$N$17</c:f>
              <c:numCache>
                <c:formatCode>#,##0;\(#,##0\);"-"</c:formatCode>
                <c:ptCount val="12"/>
                <c:pt idx="0">
                  <c:v>26585</c:v>
                </c:pt>
                <c:pt idx="1">
                  <c:v>33167</c:v>
                </c:pt>
                <c:pt idx="2">
                  <c:v>32569</c:v>
                </c:pt>
                <c:pt idx="3">
                  <c:v>33962</c:v>
                </c:pt>
                <c:pt idx="4">
                  <c:v>35462</c:v>
                </c:pt>
                <c:pt idx="5">
                  <c:v>31584</c:v>
                </c:pt>
                <c:pt idx="6">
                  <c:v>29129</c:v>
                </c:pt>
                <c:pt idx="7">
                  <c:v>37671</c:v>
                </c:pt>
                <c:pt idx="8">
                  <c:v>26031</c:v>
                </c:pt>
                <c:pt idx="9">
                  <c:v>23496</c:v>
                </c:pt>
                <c:pt idx="10">
                  <c:v>0</c:v>
                </c:pt>
                <c:pt idx="11">
                  <c:v>0</c:v>
                </c:pt>
              </c:numCache>
            </c:numRef>
          </c:val>
          <c:extLst>
            <c:ext xmlns:c16="http://schemas.microsoft.com/office/drawing/2014/chart" uri="{C3380CC4-5D6E-409C-BE32-E72D297353CC}">
              <c16:uniqueId val="{00000004-0695-4FA1-B7B2-DB9BA4CAD4BC}"/>
            </c:ext>
          </c:extLst>
        </c:ser>
        <c:ser>
          <c:idx val="5"/>
          <c:order val="5"/>
          <c:tx>
            <c:v>Utilities and telecoms</c:v>
          </c:tx>
          <c:spPr>
            <a:solidFill>
              <a:srgbClr val="B4BCC8"/>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Analytics!$C$18:$N$18</c:f>
              <c:numCache>
                <c:formatCode>#,##0;\(#,##0\);"-"</c:formatCode>
                <c:ptCount val="12"/>
                <c:pt idx="0">
                  <c:v>26620</c:v>
                </c:pt>
                <c:pt idx="1">
                  <c:v>25079</c:v>
                </c:pt>
                <c:pt idx="2">
                  <c:v>24495</c:v>
                </c:pt>
                <c:pt idx="3">
                  <c:v>24911</c:v>
                </c:pt>
                <c:pt idx="4">
                  <c:v>26672</c:v>
                </c:pt>
                <c:pt idx="5">
                  <c:v>24603</c:v>
                </c:pt>
                <c:pt idx="6">
                  <c:v>23768</c:v>
                </c:pt>
                <c:pt idx="7">
                  <c:v>26357</c:v>
                </c:pt>
                <c:pt idx="8">
                  <c:v>26414</c:v>
                </c:pt>
                <c:pt idx="9">
                  <c:v>24438</c:v>
                </c:pt>
                <c:pt idx="10">
                  <c:v>0</c:v>
                </c:pt>
                <c:pt idx="11">
                  <c:v>0</c:v>
                </c:pt>
              </c:numCache>
            </c:numRef>
          </c:val>
          <c:extLst>
            <c:ext xmlns:c16="http://schemas.microsoft.com/office/drawing/2014/chart" uri="{C3380CC4-5D6E-409C-BE32-E72D297353CC}">
              <c16:uniqueId val="{00000005-0695-4FA1-B7B2-DB9BA4CAD4BC}"/>
            </c:ext>
          </c:extLst>
        </c:ser>
        <c:ser>
          <c:idx val="6"/>
          <c:order val="6"/>
          <c:tx>
            <c:v>Repairs and maintenance</c:v>
          </c:tx>
          <c:spPr>
            <a:solidFill>
              <a:srgbClr val="3F6C8F"/>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Analytics!$C$19:$N$19</c:f>
              <c:numCache>
                <c:formatCode>#,##0;\(#,##0\);"-"</c:formatCode>
                <c:ptCount val="12"/>
                <c:pt idx="0">
                  <c:v>5465</c:v>
                </c:pt>
                <c:pt idx="1">
                  <c:v>8058</c:v>
                </c:pt>
                <c:pt idx="2">
                  <c:v>11287</c:v>
                </c:pt>
                <c:pt idx="3">
                  <c:v>20369</c:v>
                </c:pt>
                <c:pt idx="4">
                  <c:v>4092</c:v>
                </c:pt>
                <c:pt idx="5">
                  <c:v>8361</c:v>
                </c:pt>
                <c:pt idx="6">
                  <c:v>10097</c:v>
                </c:pt>
                <c:pt idx="7">
                  <c:v>12224</c:v>
                </c:pt>
                <c:pt idx="8">
                  <c:v>13941</c:v>
                </c:pt>
                <c:pt idx="9">
                  <c:v>17972</c:v>
                </c:pt>
                <c:pt idx="10">
                  <c:v>0</c:v>
                </c:pt>
                <c:pt idx="11">
                  <c:v>0</c:v>
                </c:pt>
              </c:numCache>
            </c:numRef>
          </c:val>
          <c:extLst>
            <c:ext xmlns:c16="http://schemas.microsoft.com/office/drawing/2014/chart" uri="{C3380CC4-5D6E-409C-BE32-E72D297353CC}">
              <c16:uniqueId val="{00000006-0695-4FA1-B7B2-DB9BA4CAD4BC}"/>
            </c:ext>
          </c:extLst>
        </c:ser>
        <c:ser>
          <c:idx val="7"/>
          <c:order val="7"/>
          <c:tx>
            <c:v>Insurance</c:v>
          </c:tx>
          <c:spPr>
            <a:solidFill>
              <a:srgbClr val="8FBFBF"/>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Analytics!$C$20:$N$20</c:f>
              <c:numCache>
                <c:formatCode>#,##0;\(#,##0\);"-"</c:formatCode>
                <c:ptCount val="12"/>
                <c:pt idx="0">
                  <c:v>17500</c:v>
                </c:pt>
                <c:pt idx="1">
                  <c:v>17552</c:v>
                </c:pt>
                <c:pt idx="2">
                  <c:v>17606</c:v>
                </c:pt>
                <c:pt idx="3">
                  <c:v>17657</c:v>
                </c:pt>
                <c:pt idx="4">
                  <c:v>17710</c:v>
                </c:pt>
                <c:pt idx="5">
                  <c:v>17763</c:v>
                </c:pt>
                <c:pt idx="6">
                  <c:v>17814</c:v>
                </c:pt>
                <c:pt idx="7">
                  <c:v>17868</c:v>
                </c:pt>
                <c:pt idx="8">
                  <c:v>17920</c:v>
                </c:pt>
                <c:pt idx="9">
                  <c:v>17972</c:v>
                </c:pt>
                <c:pt idx="10">
                  <c:v>0</c:v>
                </c:pt>
                <c:pt idx="11">
                  <c:v>0</c:v>
                </c:pt>
              </c:numCache>
            </c:numRef>
          </c:val>
          <c:extLst>
            <c:ext xmlns:c16="http://schemas.microsoft.com/office/drawing/2014/chart" uri="{C3380CC4-5D6E-409C-BE32-E72D297353CC}">
              <c16:uniqueId val="{00000007-0695-4FA1-B7B2-DB9BA4CAD4BC}"/>
            </c:ext>
          </c:extLst>
        </c:ser>
        <c:ser>
          <c:idx val="8"/>
          <c:order val="8"/>
          <c:tx>
            <c:v>Bank charges</c:v>
          </c:tx>
          <c:spPr>
            <a:solidFill>
              <a:srgbClr val="C9A0A0"/>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Analytics!$C$21:$N$21</c:f>
              <c:numCache>
                <c:formatCode>#,##0;\(#,##0\);"-"</c:formatCode>
                <c:ptCount val="12"/>
                <c:pt idx="0">
                  <c:v>7361</c:v>
                </c:pt>
                <c:pt idx="1">
                  <c:v>7763</c:v>
                </c:pt>
                <c:pt idx="2">
                  <c:v>7648</c:v>
                </c:pt>
                <c:pt idx="3">
                  <c:v>7012</c:v>
                </c:pt>
                <c:pt idx="4">
                  <c:v>8310</c:v>
                </c:pt>
                <c:pt idx="5">
                  <c:v>7642</c:v>
                </c:pt>
                <c:pt idx="6">
                  <c:v>7580</c:v>
                </c:pt>
                <c:pt idx="7">
                  <c:v>8006</c:v>
                </c:pt>
                <c:pt idx="8">
                  <c:v>7858</c:v>
                </c:pt>
                <c:pt idx="9">
                  <c:v>8040</c:v>
                </c:pt>
                <c:pt idx="10">
                  <c:v>0</c:v>
                </c:pt>
                <c:pt idx="11">
                  <c:v>0</c:v>
                </c:pt>
              </c:numCache>
            </c:numRef>
          </c:val>
          <c:extLst>
            <c:ext xmlns:c16="http://schemas.microsoft.com/office/drawing/2014/chart" uri="{C3380CC4-5D6E-409C-BE32-E72D297353CC}">
              <c16:uniqueId val="{00000008-0695-4FA1-B7B2-DB9BA4CAD4BC}"/>
            </c:ext>
          </c:extLst>
        </c:ser>
        <c:ser>
          <c:idx val="9"/>
          <c:order val="9"/>
          <c:tx>
            <c:v>Other operating expenses</c:v>
          </c:tx>
          <c:spPr>
            <a:solidFill>
              <a:srgbClr val="9AA5B1"/>
            </a:solidFill>
            <a:ln w="3175">
              <a:solidFill>
                <a:srgbClr val="FFFFFF"/>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Analytics!$C$22:$N$22</c:f>
              <c:numCache>
                <c:formatCode>#,##0;\(#,##0\);"-"</c:formatCode>
                <c:ptCount val="12"/>
                <c:pt idx="0">
                  <c:v>27446</c:v>
                </c:pt>
                <c:pt idx="1">
                  <c:v>28698</c:v>
                </c:pt>
                <c:pt idx="2">
                  <c:v>30060</c:v>
                </c:pt>
                <c:pt idx="3">
                  <c:v>26002</c:v>
                </c:pt>
                <c:pt idx="4">
                  <c:v>27829</c:v>
                </c:pt>
                <c:pt idx="5">
                  <c:v>26973</c:v>
                </c:pt>
                <c:pt idx="6">
                  <c:v>23861</c:v>
                </c:pt>
                <c:pt idx="7">
                  <c:v>31883</c:v>
                </c:pt>
                <c:pt idx="8">
                  <c:v>28733</c:v>
                </c:pt>
                <c:pt idx="9">
                  <c:v>27799</c:v>
                </c:pt>
                <c:pt idx="10">
                  <c:v>0</c:v>
                </c:pt>
                <c:pt idx="11">
                  <c:v>0</c:v>
                </c:pt>
              </c:numCache>
            </c:numRef>
          </c:val>
          <c:extLst>
            <c:ext xmlns:c16="http://schemas.microsoft.com/office/drawing/2014/chart" uri="{C3380CC4-5D6E-409C-BE32-E72D297353CC}">
              <c16:uniqueId val="{00000009-0695-4FA1-B7B2-DB9BA4CAD4BC}"/>
            </c:ext>
          </c:extLst>
        </c:ser>
        <c:dLbls>
          <c:showLegendKey val="0"/>
          <c:showVal val="0"/>
          <c:showCatName val="0"/>
          <c:showSerName val="0"/>
          <c:showPercent val="0"/>
          <c:showBubbleSize val="0"/>
        </c:dLbls>
        <c:gapWidth val="50"/>
        <c:overlap val="100"/>
        <c:axId val="50110001"/>
        <c:axId val="50110002"/>
      </c:barChart>
      <c:catAx>
        <c:axId val="5011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110002"/>
        <c:crosses val="autoZero"/>
        <c:auto val="1"/>
        <c:lblAlgn val="ctr"/>
        <c:lblOffset val="100"/>
        <c:noMultiLvlLbl val="0"/>
      </c:catAx>
      <c:valAx>
        <c:axId val="5011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11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Analytics!$B$185</c:f>
          <c:strCache>
            <c:ptCount val="1"/>
            <c:pt idx="0">
              <c:v>Selected cost lines by month, $k: all cost lines</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clustered"/>
        <c:varyColors val="0"/>
        <c:ser>
          <c:idx val="0"/>
          <c:order val="0"/>
          <c:tx>
            <c:v>Actual</c:v>
          </c:tx>
          <c:spPr>
            <a:solidFill>
              <a:srgbClr val="10243E"/>
            </a:solidFill>
            <a:ln>
              <a:solidFill>
                <a:srgbClr val="10243E"/>
              </a:solid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Analytics!$C$95:$N$95</c:f>
              <c:numCache>
                <c:formatCode>#,##0;\(#,##0\);"-"</c:formatCode>
                <c:ptCount val="12"/>
                <c:pt idx="0">
                  <c:v>640109</c:v>
                </c:pt>
                <c:pt idx="1">
                  <c:v>652584</c:v>
                </c:pt>
                <c:pt idx="2">
                  <c:v>659667</c:v>
                </c:pt>
                <c:pt idx="3">
                  <c:v>655715</c:v>
                </c:pt>
                <c:pt idx="4">
                  <c:v>647729</c:v>
                </c:pt>
                <c:pt idx="5">
                  <c:v>657955</c:v>
                </c:pt>
                <c:pt idx="6">
                  <c:v>645249</c:v>
                </c:pt>
                <c:pt idx="7">
                  <c:v>658085</c:v>
                </c:pt>
                <c:pt idx="8">
                  <c:v>675118</c:v>
                </c:pt>
                <c:pt idx="9">
                  <c:v>641590</c:v>
                </c:pt>
                <c:pt idx="10">
                  <c:v>0</c:v>
                </c:pt>
                <c:pt idx="11">
                  <c:v>0</c:v>
                </c:pt>
              </c:numCache>
            </c:numRef>
          </c:val>
          <c:extLst>
            <c:ext xmlns:c16="http://schemas.microsoft.com/office/drawing/2014/chart" uri="{C3380CC4-5D6E-409C-BE32-E72D297353CC}">
              <c16:uniqueId val="{00000000-168C-45BE-BF05-F43B4A341640}"/>
            </c:ext>
          </c:extLst>
        </c:ser>
        <c:dLbls>
          <c:showLegendKey val="0"/>
          <c:showVal val="0"/>
          <c:showCatName val="0"/>
          <c:showSerName val="0"/>
          <c:showPercent val="0"/>
          <c:showBubbleSize val="0"/>
        </c:dLbls>
        <c:gapWidth val="55"/>
        <c:axId val="50120001"/>
        <c:axId val="50120002"/>
      </c:barChart>
      <c:lineChart>
        <c:grouping val="standard"/>
        <c:varyColors val="0"/>
        <c:ser>
          <c:idx val="1"/>
          <c:order val="1"/>
          <c:tx>
            <c:v>Budget</c:v>
          </c:tx>
          <c:spPr>
            <a:ln>
              <a:noFill/>
            </a:ln>
          </c:spPr>
          <c:marker>
            <c:symbol val="dash"/>
            <c:size val="10"/>
            <c:spPr>
              <a:solidFill>
                <a:srgbClr val="E0A100"/>
              </a:solidFill>
              <a:ln>
                <a:solidFill>
                  <a:srgbClr val="E0A100"/>
                </a:solidFill>
              </a:ln>
            </c:spPr>
          </c:marker>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Analytics!$C$96:$N$96</c:f>
              <c:numCache>
                <c:formatCode>#,##0;\(#,##0\);"-"</c:formatCode>
                <c:ptCount val="12"/>
                <c:pt idx="0">
                  <c:v>633400</c:v>
                </c:pt>
                <c:pt idx="1">
                  <c:v>635200</c:v>
                </c:pt>
                <c:pt idx="2">
                  <c:v>637100</c:v>
                </c:pt>
                <c:pt idx="3">
                  <c:v>639100</c:v>
                </c:pt>
                <c:pt idx="4">
                  <c:v>641000</c:v>
                </c:pt>
                <c:pt idx="5">
                  <c:v>642700</c:v>
                </c:pt>
                <c:pt idx="6">
                  <c:v>644800</c:v>
                </c:pt>
                <c:pt idx="7">
                  <c:v>646600</c:v>
                </c:pt>
                <c:pt idx="8">
                  <c:v>648300</c:v>
                </c:pt>
                <c:pt idx="9">
                  <c:v>650300</c:v>
                </c:pt>
                <c:pt idx="10">
                  <c:v>652300</c:v>
                </c:pt>
                <c:pt idx="11">
                  <c:v>654200</c:v>
                </c:pt>
              </c:numCache>
            </c:numRef>
          </c:val>
          <c:smooth val="0"/>
          <c:extLst>
            <c:ext xmlns:c16="http://schemas.microsoft.com/office/drawing/2014/chart" uri="{C3380CC4-5D6E-409C-BE32-E72D297353CC}">
              <c16:uniqueId val="{00000001-168C-45BE-BF05-F43B4A341640}"/>
            </c:ext>
          </c:extLst>
        </c:ser>
        <c:dLbls>
          <c:showLegendKey val="0"/>
          <c:showVal val="0"/>
          <c:showCatName val="0"/>
          <c:showSerName val="0"/>
          <c:showPercent val="0"/>
          <c:showBubbleSize val="0"/>
        </c:dLbls>
        <c:marker val="1"/>
        <c:smooth val="0"/>
        <c:axId val="50120001"/>
        <c:axId val="50120002"/>
      </c:lineChart>
      <c:catAx>
        <c:axId val="5012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120002"/>
        <c:crosses val="autoZero"/>
        <c:auto val="1"/>
        <c:lblAlgn val="ctr"/>
        <c:lblOffset val="100"/>
        <c:noMultiLvlLbl val="0"/>
      </c:catAx>
      <c:valAx>
        <c:axId val="5012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12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mc:AlternateContent xmlns:mc="http://schemas.openxmlformats.org/markup-compatibility/2006">
    <mc:Choice xmlns:c14="http://schemas.microsoft.com/office/drawing/2007/8/2/chart" Requires="c14">
      <c14:style val="102"/>
    </mc:Choice>
    <mc:Fallback>
      <c:style val="2"/>
    </mc:Fallback>
  </mc:AlternateContent>
  <c:chart>
    <c:title>
      <c:tx>
        <c:strRef>
          <c:f>Analytics!$B$186</c:f>
          <c:strCache>
            <c:ptCount val="1"/>
            <c:pt idx="0">
              <c:v>Cash flow by month, $k</c:v>
            </c:pt>
          </c:strCache>
        </c:strRef>
      </c:tx>
      <c:layout>
        <c:manualLayout>
          <c:xMode val="edge"/>
          <c:yMode val="edge"/>
          <c:x val="2.5000000000000001E-2"/>
          <c:y val="0.03"/>
        </c:manualLayout>
      </c:layout>
      <c:overlay val="0"/>
      <c:txPr>
        <a:bodyPr/>
        <a:lstStyle/>
        <a:p>
          <a:pPr>
            <a:defRPr sz="1000" b="1" baseline="0">
              <a:solidFill>
                <a:srgbClr val="10243E"/>
              </a:solidFill>
              <a:latin typeface="Segoe UI"/>
            </a:defRPr>
          </a:pPr>
          <a:endParaRPr lang="en-US"/>
        </a:p>
      </c:txPr>
    </c:title>
    <c:autoTitleDeleted val="0"/>
    <c:plotArea>
      <c:layout/>
      <c:barChart>
        <c:barDir val="col"/>
        <c:grouping val="stacked"/>
        <c:varyColors val="0"/>
        <c:ser>
          <c:idx val="0"/>
          <c:order val="0"/>
          <c:tx>
            <c:v>Operating</c:v>
          </c:tx>
          <c:spPr>
            <a:solidFill>
              <a:srgbClr val="10243E"/>
            </a:solidFill>
            <a:ln>
              <a:no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Analytics!$C$67:$N$67</c:f>
              <c:numCache>
                <c:formatCode>#,##0;\(#,##0\);"-"</c:formatCode>
                <c:ptCount val="12"/>
                <c:pt idx="0">
                  <c:v>372233</c:v>
                </c:pt>
                <c:pt idx="1">
                  <c:v>-1618</c:v>
                </c:pt>
                <c:pt idx="2">
                  <c:v>-46309</c:v>
                </c:pt>
                <c:pt idx="3">
                  <c:v>-166025</c:v>
                </c:pt>
                <c:pt idx="4">
                  <c:v>209711</c:v>
                </c:pt>
                <c:pt idx="5">
                  <c:v>27577</c:v>
                </c:pt>
                <c:pt idx="6">
                  <c:v>157987</c:v>
                </c:pt>
                <c:pt idx="7">
                  <c:v>147970</c:v>
                </c:pt>
                <c:pt idx="8">
                  <c:v>-27269</c:v>
                </c:pt>
                <c:pt idx="9">
                  <c:v>171207</c:v>
                </c:pt>
                <c:pt idx="10">
                  <c:v>0</c:v>
                </c:pt>
                <c:pt idx="11">
                  <c:v>0</c:v>
                </c:pt>
              </c:numCache>
            </c:numRef>
          </c:val>
          <c:extLst>
            <c:ext xmlns:c16="http://schemas.microsoft.com/office/drawing/2014/chart" uri="{C3380CC4-5D6E-409C-BE32-E72D297353CC}">
              <c16:uniqueId val="{00000000-2B48-4169-A5D8-5F7C11B9DB35}"/>
            </c:ext>
          </c:extLst>
        </c:ser>
        <c:ser>
          <c:idx val="1"/>
          <c:order val="1"/>
          <c:tx>
            <c:v>Investing</c:v>
          </c:tx>
          <c:spPr>
            <a:solidFill>
              <a:srgbClr val="D9A85B"/>
            </a:solidFill>
            <a:ln>
              <a:no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Analytics!$C$68:$N$68</c:f>
              <c:numCache>
                <c:formatCode>#,##0;\(#,##0\);"-"</c:formatCode>
                <c:ptCount val="12"/>
                <c:pt idx="0">
                  <c:v>0</c:v>
                </c:pt>
                <c:pt idx="1">
                  <c:v>0</c:v>
                </c:pt>
                <c:pt idx="2">
                  <c:v>0</c:v>
                </c:pt>
                <c:pt idx="3">
                  <c:v>-420000</c:v>
                </c:pt>
                <c:pt idx="4">
                  <c:v>0</c:v>
                </c:pt>
                <c:pt idx="5">
                  <c:v>0</c:v>
                </c:pt>
                <c:pt idx="6">
                  <c:v>0</c:v>
                </c:pt>
                <c:pt idx="7">
                  <c:v>-165000</c:v>
                </c:pt>
                <c:pt idx="8">
                  <c:v>0</c:v>
                </c:pt>
                <c:pt idx="9">
                  <c:v>0</c:v>
                </c:pt>
                <c:pt idx="10">
                  <c:v>0</c:v>
                </c:pt>
                <c:pt idx="11">
                  <c:v>0</c:v>
                </c:pt>
              </c:numCache>
            </c:numRef>
          </c:val>
          <c:extLst>
            <c:ext xmlns:c16="http://schemas.microsoft.com/office/drawing/2014/chart" uri="{C3380CC4-5D6E-409C-BE32-E72D297353CC}">
              <c16:uniqueId val="{00000001-2B48-4169-A5D8-5F7C11B9DB35}"/>
            </c:ext>
          </c:extLst>
        </c:ser>
        <c:ser>
          <c:idx val="2"/>
          <c:order val="2"/>
          <c:tx>
            <c:v>Financing</c:v>
          </c:tx>
          <c:spPr>
            <a:solidFill>
              <a:srgbClr val="5FA3D0"/>
            </a:solidFill>
            <a:ln>
              <a:noFill/>
            </a:ln>
          </c:spPr>
          <c:invertIfNegative val="0"/>
          <c:cat>
            <c:strRef>
              <c:f>Analytics!$C$3:$N$3</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Analytics!$C$69:$N$69</c:f>
              <c:numCache>
                <c:formatCode>#,##0;\(#,##0\);"-"</c:formatCode>
                <c:ptCount val="12"/>
                <c:pt idx="0">
                  <c:v>-60000</c:v>
                </c:pt>
                <c:pt idx="1">
                  <c:v>-60000</c:v>
                </c:pt>
                <c:pt idx="2">
                  <c:v>-60000</c:v>
                </c:pt>
                <c:pt idx="3">
                  <c:v>-60000</c:v>
                </c:pt>
                <c:pt idx="4">
                  <c:v>-320000</c:v>
                </c:pt>
                <c:pt idx="5">
                  <c:v>-60000</c:v>
                </c:pt>
                <c:pt idx="6">
                  <c:v>-110000</c:v>
                </c:pt>
                <c:pt idx="7">
                  <c:v>-60000</c:v>
                </c:pt>
                <c:pt idx="8">
                  <c:v>-60000</c:v>
                </c:pt>
                <c:pt idx="9">
                  <c:v>-60000</c:v>
                </c:pt>
                <c:pt idx="10">
                  <c:v>0</c:v>
                </c:pt>
                <c:pt idx="11">
                  <c:v>0</c:v>
                </c:pt>
              </c:numCache>
            </c:numRef>
          </c:val>
          <c:extLst>
            <c:ext xmlns:c16="http://schemas.microsoft.com/office/drawing/2014/chart" uri="{C3380CC4-5D6E-409C-BE32-E72D297353CC}">
              <c16:uniqueId val="{00000002-2B48-4169-A5D8-5F7C11B9DB35}"/>
            </c:ext>
          </c:extLst>
        </c:ser>
        <c:dLbls>
          <c:showLegendKey val="0"/>
          <c:showVal val="0"/>
          <c:showCatName val="0"/>
          <c:showSerName val="0"/>
          <c:showPercent val="0"/>
          <c:showBubbleSize val="0"/>
        </c:dLbls>
        <c:gapWidth val="55"/>
        <c:overlap val="100"/>
        <c:axId val="50130001"/>
        <c:axId val="50130002"/>
      </c:barChart>
      <c:catAx>
        <c:axId val="50130001"/>
        <c:scaling>
          <c:orientation val="minMax"/>
        </c:scaling>
        <c:delete val="0"/>
        <c:axPos val="b"/>
        <c:numFmt formatCode="General" sourceLinked="1"/>
        <c:majorTickMark val="none"/>
        <c:minorTickMark val="none"/>
        <c:tickLblPos val="low"/>
        <c:spPr>
          <a:ln>
            <a:solidFill>
              <a:srgbClr val="E3E7ED"/>
            </a:solidFill>
          </a:ln>
        </c:spPr>
        <c:txPr>
          <a:bodyPr/>
          <a:lstStyle/>
          <a:p>
            <a:pPr>
              <a:defRPr sz="800" baseline="0">
                <a:solidFill>
                  <a:srgbClr val="6B7280"/>
                </a:solidFill>
                <a:latin typeface="Segoe UI"/>
              </a:defRPr>
            </a:pPr>
            <a:endParaRPr lang="en-US"/>
          </a:p>
        </c:txPr>
        <c:crossAx val="50130002"/>
        <c:crosses val="autoZero"/>
        <c:auto val="1"/>
        <c:lblAlgn val="ctr"/>
        <c:lblOffset val="100"/>
        <c:noMultiLvlLbl val="0"/>
      </c:catAx>
      <c:valAx>
        <c:axId val="50130002"/>
        <c:scaling>
          <c:orientation val="minMax"/>
        </c:scaling>
        <c:delete val="0"/>
        <c:axPos val="l"/>
        <c:majorGridlines>
          <c:spPr>
            <a:ln w="9525">
              <a:solidFill>
                <a:srgbClr val="EDF0F4"/>
              </a:solidFill>
            </a:ln>
          </c:spPr>
        </c:majorGridlines>
        <c:numFmt formatCode="#,##0," sourceLinked="0"/>
        <c:majorTickMark val="none"/>
        <c:minorTickMark val="none"/>
        <c:tickLblPos val="nextTo"/>
        <c:spPr>
          <a:ln>
            <a:noFill/>
          </a:ln>
        </c:spPr>
        <c:txPr>
          <a:bodyPr/>
          <a:lstStyle/>
          <a:p>
            <a:pPr>
              <a:defRPr sz="800" baseline="0">
                <a:solidFill>
                  <a:srgbClr val="6B7280"/>
                </a:solidFill>
                <a:latin typeface="Segoe UI"/>
              </a:defRPr>
            </a:pPr>
            <a:endParaRPr lang="en-US"/>
          </a:p>
        </c:txPr>
        <c:crossAx val="50130001"/>
        <c:crosses val="autoZero"/>
        <c:crossBetween val="between"/>
      </c:valAx>
      <c:spPr>
        <a:noFill/>
      </c:spPr>
    </c:plotArea>
    <c:legend>
      <c:legendPos val="b"/>
      <c:overlay val="0"/>
      <c:txPr>
        <a:bodyPr/>
        <a:lstStyle/>
        <a:p>
          <a:pPr>
            <a:defRPr sz="800" baseline="0">
              <a:solidFill>
                <a:srgbClr val="1F2937"/>
              </a:solidFill>
              <a:latin typeface="Segoe UI"/>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rgbClr val="FFFFFF"/>
    </a:solidFill>
    <a:ln>
      <a:noFill/>
    </a:ln>
    <a:effectLst>
      <a:outerShdw blurRad="101600" dist="25400" dir="5400000" algn="t" rotWithShape="0">
        <a:srgbClr val="10243E">
          <a:alpha val="18000"/>
        </a:srgbClr>
      </a:outerShdw>
    </a:effectLst>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hyperlink" Target="#'Balance Sheet'!A1"/><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hyperlink" Target="#'Income Statement'!A1"/><Relationship Id="rId17" Type="http://schemas.openxmlformats.org/officeDocument/2006/relationships/hyperlink" Target="#'Start Here'!A1"/><Relationship Id="rId2" Type="http://schemas.openxmlformats.org/officeDocument/2006/relationships/chart" Target="../charts/chart2.xml"/><Relationship Id="rId16" Type="http://schemas.openxmlformats.org/officeDocument/2006/relationships/hyperlink" Target="#'Commentary'!A1"/><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hyperlink" Target="#'Monthly Trends'!A1"/><Relationship Id="rId5" Type="http://schemas.openxmlformats.org/officeDocument/2006/relationships/chart" Target="../charts/chart5.xml"/><Relationship Id="rId15" Type="http://schemas.openxmlformats.org/officeDocument/2006/relationships/hyperlink" Target="#'KPIs'!A1"/><Relationship Id="rId10" Type="http://schemas.openxmlformats.org/officeDocument/2006/relationships/hyperlink" Target="#'Dashboard'!A1"/><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hyperlink" Target="#'Cash Flow'!A1"/></Relationships>
</file>

<file path=xl/drawings/_rels/drawing2.xml.rels><?xml version="1.0" encoding="UTF-8" standalone="yes"?>
<Relationships xmlns="http://schemas.openxmlformats.org/package/2006/relationships"><Relationship Id="rId8" Type="http://schemas.openxmlformats.org/officeDocument/2006/relationships/hyperlink" Target="#'Balance Sheet'!A1"/><Relationship Id="rId3" Type="http://schemas.openxmlformats.org/officeDocument/2006/relationships/chart" Target="../charts/chart12.xml"/><Relationship Id="rId7" Type="http://schemas.openxmlformats.org/officeDocument/2006/relationships/hyperlink" Target="#'Income Statement'!A1"/><Relationship Id="rId12" Type="http://schemas.openxmlformats.org/officeDocument/2006/relationships/hyperlink" Target="#'Start Here'!A1"/><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hyperlink" Target="#'Monthly Trends'!A1"/><Relationship Id="rId11" Type="http://schemas.openxmlformats.org/officeDocument/2006/relationships/hyperlink" Target="#'Commentary'!A1"/><Relationship Id="rId5" Type="http://schemas.openxmlformats.org/officeDocument/2006/relationships/hyperlink" Target="#'Dashboard'!A1"/><Relationship Id="rId10" Type="http://schemas.openxmlformats.org/officeDocument/2006/relationships/hyperlink" Target="#'KPIs'!A1"/><Relationship Id="rId4" Type="http://schemas.openxmlformats.org/officeDocument/2006/relationships/chart" Target="../charts/chart13.xml"/><Relationship Id="rId9" Type="http://schemas.openxmlformats.org/officeDocument/2006/relationships/hyperlink" Target="#'Cash Flow'!A1"/></Relationships>
</file>

<file path=xl/drawings/_rels/drawing3.xml.rels><?xml version="1.0" encoding="UTF-8" standalone="yes"?>
<Relationships xmlns="http://schemas.openxmlformats.org/package/2006/relationships"><Relationship Id="rId8" Type="http://schemas.openxmlformats.org/officeDocument/2006/relationships/hyperlink" Target="#'Start Here'!A1"/><Relationship Id="rId3" Type="http://schemas.openxmlformats.org/officeDocument/2006/relationships/hyperlink" Target="#'Income Statement'!A1"/><Relationship Id="rId7" Type="http://schemas.openxmlformats.org/officeDocument/2006/relationships/hyperlink" Target="#'Commentary'!A1"/><Relationship Id="rId2" Type="http://schemas.openxmlformats.org/officeDocument/2006/relationships/hyperlink" Target="#'Monthly Trends'!A1"/><Relationship Id="rId1" Type="http://schemas.openxmlformats.org/officeDocument/2006/relationships/hyperlink" Target="#'Dashboard'!A1"/><Relationship Id="rId6" Type="http://schemas.openxmlformats.org/officeDocument/2006/relationships/hyperlink" Target="#'KPIs'!A1"/><Relationship Id="rId5" Type="http://schemas.openxmlformats.org/officeDocument/2006/relationships/hyperlink" Target="#'Cash Flow'!A1"/><Relationship Id="rId4" Type="http://schemas.openxmlformats.org/officeDocument/2006/relationships/hyperlink" Target="#'Balance Sheet'!A1"/></Relationships>
</file>

<file path=xl/drawings/_rels/drawing4.xml.rels><?xml version="1.0" encoding="UTF-8" standalone="yes"?>
<Relationships xmlns="http://schemas.openxmlformats.org/package/2006/relationships"><Relationship Id="rId8" Type="http://schemas.openxmlformats.org/officeDocument/2006/relationships/hyperlink" Target="#'Start Here'!A1"/><Relationship Id="rId3" Type="http://schemas.openxmlformats.org/officeDocument/2006/relationships/hyperlink" Target="#'Income Statement'!A1"/><Relationship Id="rId7" Type="http://schemas.openxmlformats.org/officeDocument/2006/relationships/hyperlink" Target="#'Commentary'!A1"/><Relationship Id="rId2" Type="http://schemas.openxmlformats.org/officeDocument/2006/relationships/hyperlink" Target="#'Monthly Trends'!A1"/><Relationship Id="rId1" Type="http://schemas.openxmlformats.org/officeDocument/2006/relationships/hyperlink" Target="#'Dashboard'!A1"/><Relationship Id="rId6" Type="http://schemas.openxmlformats.org/officeDocument/2006/relationships/hyperlink" Target="#'KPIs'!A1"/><Relationship Id="rId5" Type="http://schemas.openxmlformats.org/officeDocument/2006/relationships/hyperlink" Target="#'Cash Flow'!A1"/><Relationship Id="rId4" Type="http://schemas.openxmlformats.org/officeDocument/2006/relationships/hyperlink" Target="#'Balance Sheet'!A1"/></Relationships>
</file>

<file path=xl/drawings/_rels/drawing5.xml.rels><?xml version="1.0" encoding="UTF-8" standalone="yes"?>
<Relationships xmlns="http://schemas.openxmlformats.org/package/2006/relationships"><Relationship Id="rId8" Type="http://schemas.openxmlformats.org/officeDocument/2006/relationships/hyperlink" Target="#'Start Here'!A1"/><Relationship Id="rId3" Type="http://schemas.openxmlformats.org/officeDocument/2006/relationships/hyperlink" Target="#'Income Statement'!A1"/><Relationship Id="rId7" Type="http://schemas.openxmlformats.org/officeDocument/2006/relationships/hyperlink" Target="#'Commentary'!A1"/><Relationship Id="rId2" Type="http://schemas.openxmlformats.org/officeDocument/2006/relationships/hyperlink" Target="#'Monthly Trends'!A1"/><Relationship Id="rId1" Type="http://schemas.openxmlformats.org/officeDocument/2006/relationships/hyperlink" Target="#'Dashboard'!A1"/><Relationship Id="rId6" Type="http://schemas.openxmlformats.org/officeDocument/2006/relationships/hyperlink" Target="#'KPIs'!A1"/><Relationship Id="rId5" Type="http://schemas.openxmlformats.org/officeDocument/2006/relationships/hyperlink" Target="#'Cash Flow'!A1"/><Relationship Id="rId4" Type="http://schemas.openxmlformats.org/officeDocument/2006/relationships/hyperlink" Target="#'Balance Sheet'!A1"/></Relationships>
</file>

<file path=xl/drawings/_rels/drawing6.xml.rels><?xml version="1.0" encoding="UTF-8" standalone="yes"?>
<Relationships xmlns="http://schemas.openxmlformats.org/package/2006/relationships"><Relationship Id="rId8" Type="http://schemas.openxmlformats.org/officeDocument/2006/relationships/hyperlink" Target="#'Start Here'!A1"/><Relationship Id="rId3" Type="http://schemas.openxmlformats.org/officeDocument/2006/relationships/hyperlink" Target="#'Income Statement'!A1"/><Relationship Id="rId7" Type="http://schemas.openxmlformats.org/officeDocument/2006/relationships/hyperlink" Target="#'Commentary'!A1"/><Relationship Id="rId2" Type="http://schemas.openxmlformats.org/officeDocument/2006/relationships/hyperlink" Target="#'Monthly Trends'!A1"/><Relationship Id="rId1" Type="http://schemas.openxmlformats.org/officeDocument/2006/relationships/hyperlink" Target="#'Dashboard'!A1"/><Relationship Id="rId6" Type="http://schemas.openxmlformats.org/officeDocument/2006/relationships/hyperlink" Target="#'KPIs'!A1"/><Relationship Id="rId5" Type="http://schemas.openxmlformats.org/officeDocument/2006/relationships/hyperlink" Target="#'Cash Flow'!A1"/><Relationship Id="rId4" Type="http://schemas.openxmlformats.org/officeDocument/2006/relationships/hyperlink" Target="#'Balance Sheet'!A1"/></Relationships>
</file>

<file path=xl/drawings/_rels/drawing7.xml.rels><?xml version="1.0" encoding="UTF-8" standalone="yes"?>
<Relationships xmlns="http://schemas.openxmlformats.org/package/2006/relationships"><Relationship Id="rId8" Type="http://schemas.openxmlformats.org/officeDocument/2006/relationships/hyperlink" Target="#'Start Here'!A1"/><Relationship Id="rId3" Type="http://schemas.openxmlformats.org/officeDocument/2006/relationships/hyperlink" Target="#'Income Statement'!A1"/><Relationship Id="rId7" Type="http://schemas.openxmlformats.org/officeDocument/2006/relationships/hyperlink" Target="#'Commentary'!A1"/><Relationship Id="rId2" Type="http://schemas.openxmlformats.org/officeDocument/2006/relationships/hyperlink" Target="#'Monthly Trends'!A1"/><Relationship Id="rId1" Type="http://schemas.openxmlformats.org/officeDocument/2006/relationships/hyperlink" Target="#'Dashboard'!A1"/><Relationship Id="rId6" Type="http://schemas.openxmlformats.org/officeDocument/2006/relationships/hyperlink" Target="#'KPIs'!A1"/><Relationship Id="rId5" Type="http://schemas.openxmlformats.org/officeDocument/2006/relationships/hyperlink" Target="#'Cash Flow'!A1"/><Relationship Id="rId4" Type="http://schemas.openxmlformats.org/officeDocument/2006/relationships/hyperlink" Target="#'Balance Sheet'!A1"/></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29</xdr:row>
      <xdr:rowOff>0</xdr:rowOff>
    </xdr:from>
    <xdr:to>
      <xdr:col>6</xdr:col>
      <xdr:colOff>514350</xdr:colOff>
      <xdr:row>43</xdr:row>
      <xdr:rowOff>95250</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7</xdr:col>
      <xdr:colOff>76200</xdr:colOff>
      <xdr:row>29</xdr:row>
      <xdr:rowOff>0</xdr:rowOff>
    </xdr:from>
    <xdr:to>
      <xdr:col>14</xdr:col>
      <xdr:colOff>247650</xdr:colOff>
      <xdr:row>43</xdr:row>
      <xdr:rowOff>95250</xdr:rowOff>
    </xdr:to>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14</xdr:col>
      <xdr:colOff>361950</xdr:colOff>
      <xdr:row>29</xdr:row>
      <xdr:rowOff>0</xdr:rowOff>
    </xdr:from>
    <xdr:to>
      <xdr:col>21</xdr:col>
      <xdr:colOff>533400</xdr:colOff>
      <xdr:row>43</xdr:row>
      <xdr:rowOff>95250</xdr:rowOff>
    </xdr:to>
    <xdr:graphicFrame macro="">
      <xdr:nvGraphicFramePr>
        <xdr:cNvPr id="4" name="Chart 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2</xdr:col>
      <xdr:colOff>0</xdr:colOff>
      <xdr:row>45</xdr:row>
      <xdr:rowOff>0</xdr:rowOff>
    </xdr:from>
    <xdr:to>
      <xdr:col>6</xdr:col>
      <xdr:colOff>514350</xdr:colOff>
      <xdr:row>61</xdr:row>
      <xdr:rowOff>0</xdr:rowOff>
    </xdr:to>
    <xdr:graphicFrame macro="">
      <xdr:nvGraphicFramePr>
        <xdr:cNvPr id="5" name="Chart 4">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7</xdr:col>
      <xdr:colOff>76200</xdr:colOff>
      <xdr:row>45</xdr:row>
      <xdr:rowOff>0</xdr:rowOff>
    </xdr:from>
    <xdr:to>
      <xdr:col>14</xdr:col>
      <xdr:colOff>247650</xdr:colOff>
      <xdr:row>61</xdr:row>
      <xdr:rowOff>0</xdr:rowOff>
    </xdr:to>
    <xdr:graphicFrame macro="">
      <xdr:nvGraphicFramePr>
        <xdr:cNvPr id="6" name="Chart 5">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14</xdr:col>
      <xdr:colOff>361950</xdr:colOff>
      <xdr:row>45</xdr:row>
      <xdr:rowOff>0</xdr:rowOff>
    </xdr:from>
    <xdr:to>
      <xdr:col>21</xdr:col>
      <xdr:colOff>533400</xdr:colOff>
      <xdr:row>61</xdr:row>
      <xdr:rowOff>0</xdr:rowOff>
    </xdr:to>
    <xdr:graphicFrame macro="">
      <xdr:nvGraphicFramePr>
        <xdr:cNvPr id="7" name="Chart 6">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2</xdr:col>
      <xdr:colOff>0</xdr:colOff>
      <xdr:row>62</xdr:row>
      <xdr:rowOff>0</xdr:rowOff>
    </xdr:from>
    <xdr:to>
      <xdr:col>6</xdr:col>
      <xdr:colOff>514350</xdr:colOff>
      <xdr:row>76</xdr:row>
      <xdr:rowOff>95250</xdr:rowOff>
    </xdr:to>
    <xdr:graphicFrame macro="">
      <xdr:nvGraphicFramePr>
        <xdr:cNvPr id="8" name="Chart 7">
          <a:extLst>
            <a:ext uri="{FF2B5EF4-FFF2-40B4-BE49-F238E27FC236}">
              <a16:creationId xmlns:a16="http://schemas.microsoft.com/office/drawing/2014/main" id="{00000000-0008-0000-00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7</xdr:col>
      <xdr:colOff>76200</xdr:colOff>
      <xdr:row>62</xdr:row>
      <xdr:rowOff>0</xdr:rowOff>
    </xdr:from>
    <xdr:to>
      <xdr:col>14</xdr:col>
      <xdr:colOff>247650</xdr:colOff>
      <xdr:row>76</xdr:row>
      <xdr:rowOff>95250</xdr:rowOff>
    </xdr:to>
    <xdr:graphicFrame macro="">
      <xdr:nvGraphicFramePr>
        <xdr:cNvPr id="9" name="Chart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absolute">
    <xdr:from>
      <xdr:col>14</xdr:col>
      <xdr:colOff>361950</xdr:colOff>
      <xdr:row>62</xdr:row>
      <xdr:rowOff>0</xdr:rowOff>
    </xdr:from>
    <xdr:to>
      <xdr:col>21</xdr:col>
      <xdr:colOff>533400</xdr:colOff>
      <xdr:row>76</xdr:row>
      <xdr:rowOff>95250</xdr:rowOff>
    </xdr:to>
    <xdr:graphicFrame macro="">
      <xdr:nvGraphicFramePr>
        <xdr:cNvPr id="10" name="Chart 9">
          <a:extLst>
            <a:ext uri="{FF2B5EF4-FFF2-40B4-BE49-F238E27FC236}">
              <a16:creationId xmlns:a16="http://schemas.microsoft.com/office/drawing/2014/main" id="{00000000-0008-0000-00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152400</xdr:colOff>
      <xdr:row>0</xdr:row>
      <xdr:rowOff>127000</xdr:rowOff>
    </xdr:from>
    <xdr:to>
      <xdr:col>0</xdr:col>
      <xdr:colOff>2794000</xdr:colOff>
      <xdr:row>0</xdr:row>
      <xdr:rowOff>457200</xdr:rowOff>
    </xdr:to>
    <xdr:sp macro="" textlink="">
      <xdr:nvSpPr>
        <xdr:cNvPr id="11" name="TextBox 10">
          <a:extLst>
            <a:ext uri="{FF2B5EF4-FFF2-40B4-BE49-F238E27FC236}">
              <a16:creationId xmlns:a16="http://schemas.microsoft.com/office/drawing/2014/main" id="{D7D15B78-86F3-29B1-7F39-2FBF1207119C}"/>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0</xdr:row>
      <xdr:rowOff>457200</xdr:rowOff>
    </xdr:from>
    <xdr:to>
      <xdr:col>0</xdr:col>
      <xdr:colOff>2794000</xdr:colOff>
      <xdr:row>1</xdr:row>
      <xdr:rowOff>171450</xdr:rowOff>
    </xdr:to>
    <xdr:sp macro="" textlink="">
      <xdr:nvSpPr>
        <xdr:cNvPr id="12" name="TextBox 11">
          <a:extLst>
            <a:ext uri="{FF2B5EF4-FFF2-40B4-BE49-F238E27FC236}">
              <a16:creationId xmlns:a16="http://schemas.microsoft.com/office/drawing/2014/main" id="{8EEC9197-2AA4-E94F-E281-FAFCAF57443D}"/>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1</xdr:row>
      <xdr:rowOff>247650</xdr:rowOff>
    </xdr:from>
    <xdr:to>
      <xdr:col>0</xdr:col>
      <xdr:colOff>1447800</xdr:colOff>
      <xdr:row>3</xdr:row>
      <xdr:rowOff>107950</xdr:rowOff>
    </xdr:to>
    <xdr:sp macro="" textlink="">
      <xdr:nvSpPr>
        <xdr:cNvPr id="13" name="Rectangle: Rounded Corners 12">
          <a:hlinkClick xmlns:r="http://schemas.openxmlformats.org/officeDocument/2006/relationships" r:id="rId10" tooltip="Dashboard"/>
          <a:extLst>
            <a:ext uri="{FF2B5EF4-FFF2-40B4-BE49-F238E27FC236}">
              <a16:creationId xmlns:a16="http://schemas.microsoft.com/office/drawing/2014/main" id="{DEC3A1CE-6BA3-4070-90DA-808D60922B84}"/>
            </a:ext>
          </a:extLst>
        </xdr:cNvPr>
        <xdr:cNvSpPr/>
      </xdr:nvSpPr>
      <xdr:spPr>
        <a:xfrm>
          <a:off x="152400" y="7620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Dashboard</a:t>
          </a:r>
        </a:p>
      </xdr:txBody>
    </xdr:sp>
    <xdr:clientData/>
  </xdr:twoCellAnchor>
  <xdr:twoCellAnchor>
    <xdr:from>
      <xdr:col>0</xdr:col>
      <xdr:colOff>1498600</xdr:colOff>
      <xdr:row>1</xdr:row>
      <xdr:rowOff>247650</xdr:rowOff>
    </xdr:from>
    <xdr:to>
      <xdr:col>0</xdr:col>
      <xdr:colOff>2794000</xdr:colOff>
      <xdr:row>3</xdr:row>
      <xdr:rowOff>107950</xdr:rowOff>
    </xdr:to>
    <xdr:sp macro="" textlink="">
      <xdr:nvSpPr>
        <xdr:cNvPr id="14" name="Rectangle: Rounded Corners 13">
          <a:hlinkClick xmlns:r="http://schemas.openxmlformats.org/officeDocument/2006/relationships" r:id="rId11" tooltip="Trends"/>
          <a:extLst>
            <a:ext uri="{FF2B5EF4-FFF2-40B4-BE49-F238E27FC236}">
              <a16:creationId xmlns:a16="http://schemas.microsoft.com/office/drawing/2014/main" id="{6C105A0B-E334-AC0C-4433-794ECC796176}"/>
            </a:ext>
          </a:extLst>
        </xdr:cNvPr>
        <xdr:cNvSpPr/>
      </xdr:nvSpPr>
      <xdr:spPr>
        <a:xfrm>
          <a:off x="14986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Trends</a:t>
          </a:r>
        </a:p>
      </xdr:txBody>
    </xdr:sp>
    <xdr:clientData/>
  </xdr:twoCellAnchor>
  <xdr:twoCellAnchor>
    <xdr:from>
      <xdr:col>0</xdr:col>
      <xdr:colOff>152400</xdr:colOff>
      <xdr:row>3</xdr:row>
      <xdr:rowOff>146050</xdr:rowOff>
    </xdr:from>
    <xdr:to>
      <xdr:col>0</xdr:col>
      <xdr:colOff>1447800</xdr:colOff>
      <xdr:row>3</xdr:row>
      <xdr:rowOff>425450</xdr:rowOff>
    </xdr:to>
    <xdr:sp macro="" textlink="">
      <xdr:nvSpPr>
        <xdr:cNvPr id="15" name="Rectangle: Rounded Corners 14">
          <a:hlinkClick xmlns:r="http://schemas.openxmlformats.org/officeDocument/2006/relationships" r:id="rId12" tooltip="Income Stmt"/>
          <a:extLst>
            <a:ext uri="{FF2B5EF4-FFF2-40B4-BE49-F238E27FC236}">
              <a16:creationId xmlns:a16="http://schemas.microsoft.com/office/drawing/2014/main" id="{69B913F0-CAC9-6520-2E1B-E77CEBFA7EE4}"/>
            </a:ext>
          </a:extLst>
        </xdr:cNvPr>
        <xdr:cNvSpPr/>
      </xdr:nvSpPr>
      <xdr:spPr>
        <a:xfrm>
          <a:off x="1524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Income Stmt</a:t>
          </a:r>
        </a:p>
      </xdr:txBody>
    </xdr:sp>
    <xdr:clientData/>
  </xdr:twoCellAnchor>
  <xdr:twoCellAnchor>
    <xdr:from>
      <xdr:col>0</xdr:col>
      <xdr:colOff>1498600</xdr:colOff>
      <xdr:row>3</xdr:row>
      <xdr:rowOff>146050</xdr:rowOff>
    </xdr:from>
    <xdr:to>
      <xdr:col>0</xdr:col>
      <xdr:colOff>2794000</xdr:colOff>
      <xdr:row>3</xdr:row>
      <xdr:rowOff>425450</xdr:rowOff>
    </xdr:to>
    <xdr:sp macro="" textlink="">
      <xdr:nvSpPr>
        <xdr:cNvPr id="16" name="Rectangle: Rounded Corners 15">
          <a:hlinkClick xmlns:r="http://schemas.openxmlformats.org/officeDocument/2006/relationships" r:id="rId13" tooltip="Balance Sheet"/>
          <a:extLst>
            <a:ext uri="{FF2B5EF4-FFF2-40B4-BE49-F238E27FC236}">
              <a16:creationId xmlns:a16="http://schemas.microsoft.com/office/drawing/2014/main" id="{9FC9C4BF-EF84-A738-DD3F-E8E2558617D1}"/>
            </a:ext>
          </a:extLst>
        </xdr:cNvPr>
        <xdr:cNvSpPr/>
      </xdr:nvSpPr>
      <xdr:spPr>
        <a:xfrm>
          <a:off x="14986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Balance Sheet</a:t>
          </a:r>
        </a:p>
      </xdr:txBody>
    </xdr:sp>
    <xdr:clientData/>
  </xdr:twoCellAnchor>
  <xdr:twoCellAnchor>
    <xdr:from>
      <xdr:col>0</xdr:col>
      <xdr:colOff>152400</xdr:colOff>
      <xdr:row>3</xdr:row>
      <xdr:rowOff>463550</xdr:rowOff>
    </xdr:from>
    <xdr:to>
      <xdr:col>0</xdr:col>
      <xdr:colOff>1447800</xdr:colOff>
      <xdr:row>3</xdr:row>
      <xdr:rowOff>742950</xdr:rowOff>
    </xdr:to>
    <xdr:sp macro="" textlink="">
      <xdr:nvSpPr>
        <xdr:cNvPr id="17" name="Rectangle: Rounded Corners 16">
          <a:hlinkClick xmlns:r="http://schemas.openxmlformats.org/officeDocument/2006/relationships" r:id="rId14" tooltip="Cash Flow"/>
          <a:extLst>
            <a:ext uri="{FF2B5EF4-FFF2-40B4-BE49-F238E27FC236}">
              <a16:creationId xmlns:a16="http://schemas.microsoft.com/office/drawing/2014/main" id="{83ED2E38-03D1-8B2E-7BBD-FCE060D49993}"/>
            </a:ext>
          </a:extLst>
        </xdr:cNvPr>
        <xdr:cNvSpPr/>
      </xdr:nvSpPr>
      <xdr:spPr>
        <a:xfrm>
          <a:off x="1524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Cash Flow</a:t>
          </a:r>
        </a:p>
      </xdr:txBody>
    </xdr:sp>
    <xdr:clientData/>
  </xdr:twoCellAnchor>
  <xdr:twoCellAnchor>
    <xdr:from>
      <xdr:col>0</xdr:col>
      <xdr:colOff>1498600</xdr:colOff>
      <xdr:row>3</xdr:row>
      <xdr:rowOff>463550</xdr:rowOff>
    </xdr:from>
    <xdr:to>
      <xdr:col>0</xdr:col>
      <xdr:colOff>2794000</xdr:colOff>
      <xdr:row>3</xdr:row>
      <xdr:rowOff>742950</xdr:rowOff>
    </xdr:to>
    <xdr:sp macro="" textlink="">
      <xdr:nvSpPr>
        <xdr:cNvPr id="18" name="Rectangle: Rounded Corners 17">
          <a:hlinkClick xmlns:r="http://schemas.openxmlformats.org/officeDocument/2006/relationships" r:id="rId15" tooltip="KPIs"/>
          <a:extLst>
            <a:ext uri="{FF2B5EF4-FFF2-40B4-BE49-F238E27FC236}">
              <a16:creationId xmlns:a16="http://schemas.microsoft.com/office/drawing/2014/main" id="{D588F3FA-9152-433F-561A-BAB9C6C61493}"/>
            </a:ext>
          </a:extLst>
        </xdr:cNvPr>
        <xdr:cNvSpPr/>
      </xdr:nvSpPr>
      <xdr:spPr>
        <a:xfrm>
          <a:off x="14986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KPIs</a:t>
          </a:r>
        </a:p>
      </xdr:txBody>
    </xdr:sp>
    <xdr:clientData/>
  </xdr:twoCellAnchor>
  <xdr:twoCellAnchor>
    <xdr:from>
      <xdr:col>0</xdr:col>
      <xdr:colOff>152400</xdr:colOff>
      <xdr:row>3</xdr:row>
      <xdr:rowOff>781050</xdr:rowOff>
    </xdr:from>
    <xdr:to>
      <xdr:col>0</xdr:col>
      <xdr:colOff>1447800</xdr:colOff>
      <xdr:row>5</xdr:row>
      <xdr:rowOff>107950</xdr:rowOff>
    </xdr:to>
    <xdr:sp macro="" textlink="">
      <xdr:nvSpPr>
        <xdr:cNvPr id="19" name="Rectangle: Rounded Corners 18">
          <a:hlinkClick xmlns:r="http://schemas.openxmlformats.org/officeDocument/2006/relationships" r:id="rId16" tooltip="Commentary"/>
          <a:extLst>
            <a:ext uri="{FF2B5EF4-FFF2-40B4-BE49-F238E27FC236}">
              <a16:creationId xmlns:a16="http://schemas.microsoft.com/office/drawing/2014/main" id="{10848E5D-3CAF-B53C-CF3A-FE4D659F4E2D}"/>
            </a:ext>
          </a:extLst>
        </xdr:cNvPr>
        <xdr:cNvSpPr/>
      </xdr:nvSpPr>
      <xdr:spPr>
        <a:xfrm>
          <a:off x="1524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Commentary</a:t>
          </a:r>
        </a:p>
      </xdr:txBody>
    </xdr:sp>
    <xdr:clientData/>
  </xdr:twoCellAnchor>
  <xdr:twoCellAnchor>
    <xdr:from>
      <xdr:col>0</xdr:col>
      <xdr:colOff>1498600</xdr:colOff>
      <xdr:row>3</xdr:row>
      <xdr:rowOff>781050</xdr:rowOff>
    </xdr:from>
    <xdr:to>
      <xdr:col>0</xdr:col>
      <xdr:colOff>2794000</xdr:colOff>
      <xdr:row>5</xdr:row>
      <xdr:rowOff>107950</xdr:rowOff>
    </xdr:to>
    <xdr:sp macro="" textlink="">
      <xdr:nvSpPr>
        <xdr:cNvPr id="20" name="Rectangle: Rounded Corners 19">
          <a:hlinkClick xmlns:r="http://schemas.openxmlformats.org/officeDocument/2006/relationships" r:id="rId17" tooltip="Guide"/>
          <a:extLst>
            <a:ext uri="{FF2B5EF4-FFF2-40B4-BE49-F238E27FC236}">
              <a16:creationId xmlns:a16="http://schemas.microsoft.com/office/drawing/2014/main" id="{42217F45-B094-14D2-52AB-328EDAB03A16}"/>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xdr:from>
      <xdr:col>2</xdr:col>
      <xdr:colOff>0</xdr:colOff>
      <xdr:row>3</xdr:row>
      <xdr:rowOff>63500</xdr:rowOff>
    </xdr:from>
    <xdr:to>
      <xdr:col>3</xdr:col>
      <xdr:colOff>87842</xdr:colOff>
      <xdr:row>3</xdr:row>
      <xdr:rowOff>850900</xdr:rowOff>
    </xdr:to>
    <xdr:sp macro="" textlink="">
      <xdr:nvSpPr>
        <xdr:cNvPr id="21" name="Rectangle: Rounded Corners 20">
          <a:extLst>
            <a:ext uri="{FF2B5EF4-FFF2-40B4-BE49-F238E27FC236}">
              <a16:creationId xmlns:a16="http://schemas.microsoft.com/office/drawing/2014/main" id="{8D15275C-7526-1835-275A-1AF9C4008509}"/>
            </a:ext>
          </a:extLst>
        </xdr:cNvPr>
        <xdr:cNvSpPr/>
      </xdr:nvSpPr>
      <xdr:spPr>
        <a:xfrm>
          <a:off x="3028950" y="9969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50800</xdr:colOff>
      <xdr:row>3</xdr:row>
      <xdr:rowOff>101600</xdr:rowOff>
    </xdr:from>
    <xdr:to>
      <xdr:col>3</xdr:col>
      <xdr:colOff>37042</xdr:colOff>
      <xdr:row>3</xdr:row>
      <xdr:rowOff>292100</xdr:rowOff>
    </xdr:to>
    <xdr:sp macro="" textlink="">
      <xdr:nvSpPr>
        <xdr:cNvPr id="22" name="TextBox 21">
          <a:extLst>
            <a:ext uri="{FF2B5EF4-FFF2-40B4-BE49-F238E27FC236}">
              <a16:creationId xmlns:a16="http://schemas.microsoft.com/office/drawing/2014/main" id="{39F19653-B7ED-194D-06D1-72DF4D80E4BB}"/>
            </a:ext>
          </a:extLst>
        </xdr:cNvPr>
        <xdr:cNvSpPr txBox="1"/>
      </xdr:nvSpPr>
      <xdr:spPr>
        <a:xfrm>
          <a:off x="3079750" y="10350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REVENUE</a:t>
          </a:r>
        </a:p>
      </xdr:txBody>
    </xdr:sp>
    <xdr:clientData/>
  </xdr:twoCellAnchor>
  <xdr:twoCellAnchor>
    <xdr:from>
      <xdr:col>2</xdr:col>
      <xdr:colOff>50800</xdr:colOff>
      <xdr:row>3</xdr:row>
      <xdr:rowOff>241300</xdr:rowOff>
    </xdr:from>
    <xdr:to>
      <xdr:col>3</xdr:col>
      <xdr:colOff>37042</xdr:colOff>
      <xdr:row>3</xdr:row>
      <xdr:rowOff>596900</xdr:rowOff>
    </xdr:to>
    <xdr:sp macro="" textlink="Analytics!$B$138">
      <xdr:nvSpPr>
        <xdr:cNvPr id="23" name="kpi4_0">
          <a:extLst>
            <a:ext uri="{FF2B5EF4-FFF2-40B4-BE49-F238E27FC236}">
              <a16:creationId xmlns:a16="http://schemas.microsoft.com/office/drawing/2014/main" id="{8CEFF88F-2C0F-B8F3-9CE8-657644C12998}"/>
            </a:ext>
          </a:extLst>
        </xdr:cNvPr>
        <xdr:cNvSpPr txBox="1"/>
      </xdr:nvSpPr>
      <xdr:spPr>
        <a:xfrm>
          <a:off x="3079750" y="11747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2EAD446A-F0A0-4BE6-BBEA-660F14F0AC2E}" type="TxLink">
            <a:rPr lang="en-US" sz="1800" b="1" i="0" u="none" strike="noStrike">
              <a:solidFill>
                <a:srgbClr val="1F2937"/>
              </a:solidFill>
              <a:latin typeface="Segoe UI"/>
              <a:cs typeface="Segoe UI"/>
            </a:rPr>
            <a:pPr/>
            <a:t>$17.89m</a:t>
          </a:fld>
          <a:endParaRPr lang="en-US" sz="1800" b="1"/>
        </a:p>
      </xdr:txBody>
    </xdr:sp>
    <xdr:clientData/>
  </xdr:twoCellAnchor>
  <xdr:twoCellAnchor>
    <xdr:from>
      <xdr:col>2</xdr:col>
      <xdr:colOff>50800</xdr:colOff>
      <xdr:row>3</xdr:row>
      <xdr:rowOff>596900</xdr:rowOff>
    </xdr:from>
    <xdr:to>
      <xdr:col>3</xdr:col>
      <xdr:colOff>37042</xdr:colOff>
      <xdr:row>3</xdr:row>
      <xdr:rowOff>800100</xdr:rowOff>
    </xdr:to>
    <xdr:sp macro="" textlink="Analytics!$B$139">
      <xdr:nvSpPr>
        <xdr:cNvPr id="24" name="TextBox 23">
          <a:extLst>
            <a:ext uri="{FF2B5EF4-FFF2-40B4-BE49-F238E27FC236}">
              <a16:creationId xmlns:a16="http://schemas.microsoft.com/office/drawing/2014/main" id="{FD1E00CB-A557-A9EC-1CCD-7050814636AA}"/>
            </a:ext>
          </a:extLst>
        </xdr:cNvPr>
        <xdr:cNvSpPr txBox="1"/>
      </xdr:nvSpPr>
      <xdr:spPr>
        <a:xfrm>
          <a:off x="3079750"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44BD698F-912C-4B97-B547-6C52CDBE9197}"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2</xdr:col>
      <xdr:colOff>50800</xdr:colOff>
      <xdr:row>3</xdr:row>
      <xdr:rowOff>596900</xdr:rowOff>
    </xdr:from>
    <xdr:to>
      <xdr:col>3</xdr:col>
      <xdr:colOff>37042</xdr:colOff>
      <xdr:row>3</xdr:row>
      <xdr:rowOff>800100</xdr:rowOff>
    </xdr:to>
    <xdr:sp macro="" textlink="Analytics!$B$140">
      <xdr:nvSpPr>
        <xdr:cNvPr id="25" name="TextBox 24">
          <a:extLst>
            <a:ext uri="{FF2B5EF4-FFF2-40B4-BE49-F238E27FC236}">
              <a16:creationId xmlns:a16="http://schemas.microsoft.com/office/drawing/2014/main" id="{0C0CDB4A-FBBA-348E-6728-E5D8891F51F8}"/>
            </a:ext>
          </a:extLst>
        </xdr:cNvPr>
        <xdr:cNvSpPr txBox="1"/>
      </xdr:nvSpPr>
      <xdr:spPr>
        <a:xfrm>
          <a:off x="3079750"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83E9F921-AF88-4676-B5F2-C35B1788E3B0}" type="TxLink">
            <a:rPr lang="en-US" sz="900" b="1" i="0" u="none" strike="noStrike">
              <a:solidFill>
                <a:srgbClr val="C8372D"/>
              </a:solidFill>
              <a:latin typeface="Segoe UI" panose="020B0502040204020203" pitchFamily="34" charset="0"/>
              <a:cs typeface="Segoe UI"/>
            </a:rPr>
            <a:pPr/>
            <a:t>▼ 1.1% vs budget</a:t>
          </a:fld>
          <a:endParaRPr lang="en-US" sz="1100" b="1">
            <a:solidFill>
              <a:srgbClr val="C8372D"/>
            </a:solidFill>
            <a:latin typeface="Segoe UI" panose="020B0502040204020203" pitchFamily="34" charset="0"/>
          </a:endParaRPr>
        </a:p>
      </xdr:txBody>
    </xdr:sp>
    <xdr:clientData/>
  </xdr:twoCellAnchor>
  <xdr:twoCellAnchor>
    <xdr:from>
      <xdr:col>3</xdr:col>
      <xdr:colOff>214842</xdr:colOff>
      <xdr:row>3</xdr:row>
      <xdr:rowOff>63500</xdr:rowOff>
    </xdr:from>
    <xdr:to>
      <xdr:col>6</xdr:col>
      <xdr:colOff>512233</xdr:colOff>
      <xdr:row>3</xdr:row>
      <xdr:rowOff>850900</xdr:rowOff>
    </xdr:to>
    <xdr:sp macro="" textlink="">
      <xdr:nvSpPr>
        <xdr:cNvPr id="26" name="Rectangle: Rounded Corners 25">
          <a:extLst>
            <a:ext uri="{FF2B5EF4-FFF2-40B4-BE49-F238E27FC236}">
              <a16:creationId xmlns:a16="http://schemas.microsoft.com/office/drawing/2014/main" id="{D06B48FD-66E0-AC6E-748E-382741E6F9E3}"/>
            </a:ext>
          </a:extLst>
        </xdr:cNvPr>
        <xdr:cNvSpPr/>
      </xdr:nvSpPr>
      <xdr:spPr>
        <a:xfrm>
          <a:off x="5110692" y="996950"/>
          <a:ext cx="1954741"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265642</xdr:colOff>
      <xdr:row>3</xdr:row>
      <xdr:rowOff>101600</xdr:rowOff>
    </xdr:from>
    <xdr:to>
      <xdr:col>6</xdr:col>
      <xdr:colOff>461434</xdr:colOff>
      <xdr:row>3</xdr:row>
      <xdr:rowOff>292100</xdr:rowOff>
    </xdr:to>
    <xdr:sp macro="" textlink="">
      <xdr:nvSpPr>
        <xdr:cNvPr id="27" name="TextBox 26">
          <a:extLst>
            <a:ext uri="{FF2B5EF4-FFF2-40B4-BE49-F238E27FC236}">
              <a16:creationId xmlns:a16="http://schemas.microsoft.com/office/drawing/2014/main" id="{05CC9D1B-7439-04C0-09B6-1CC056931FC5}"/>
            </a:ext>
          </a:extLst>
        </xdr:cNvPr>
        <xdr:cNvSpPr txBox="1"/>
      </xdr:nvSpPr>
      <xdr:spPr>
        <a:xfrm>
          <a:off x="5161492" y="10350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GROSS MARGIN</a:t>
          </a:r>
        </a:p>
      </xdr:txBody>
    </xdr:sp>
    <xdr:clientData/>
  </xdr:twoCellAnchor>
  <xdr:twoCellAnchor>
    <xdr:from>
      <xdr:col>3</xdr:col>
      <xdr:colOff>265642</xdr:colOff>
      <xdr:row>3</xdr:row>
      <xdr:rowOff>241300</xdr:rowOff>
    </xdr:from>
    <xdr:to>
      <xdr:col>6</xdr:col>
      <xdr:colOff>461434</xdr:colOff>
      <xdr:row>3</xdr:row>
      <xdr:rowOff>596900</xdr:rowOff>
    </xdr:to>
    <xdr:sp macro="" textlink="Analytics!$B$141">
      <xdr:nvSpPr>
        <xdr:cNvPr id="28" name="kpi4_1">
          <a:extLst>
            <a:ext uri="{FF2B5EF4-FFF2-40B4-BE49-F238E27FC236}">
              <a16:creationId xmlns:a16="http://schemas.microsoft.com/office/drawing/2014/main" id="{F34B8C65-5DFA-E5A8-D354-8DB55047ABCB}"/>
            </a:ext>
          </a:extLst>
        </xdr:cNvPr>
        <xdr:cNvSpPr txBox="1"/>
      </xdr:nvSpPr>
      <xdr:spPr>
        <a:xfrm>
          <a:off x="5161492" y="11747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C201042E-9164-4531-8CA4-5AD97CB92305}" type="TxLink">
            <a:rPr lang="en-US" sz="1800" b="1" i="0" u="none" strike="noStrike">
              <a:solidFill>
                <a:srgbClr val="1F2937"/>
              </a:solidFill>
              <a:latin typeface="Segoe UI"/>
              <a:cs typeface="Segoe UI"/>
            </a:rPr>
            <a:pPr/>
            <a:t>49.0%</a:t>
          </a:fld>
          <a:endParaRPr lang="en-US" sz="1800" b="1"/>
        </a:p>
      </xdr:txBody>
    </xdr:sp>
    <xdr:clientData/>
  </xdr:twoCellAnchor>
  <xdr:twoCellAnchor>
    <xdr:from>
      <xdr:col>3</xdr:col>
      <xdr:colOff>265642</xdr:colOff>
      <xdr:row>3</xdr:row>
      <xdr:rowOff>596900</xdr:rowOff>
    </xdr:from>
    <xdr:to>
      <xdr:col>6</xdr:col>
      <xdr:colOff>461434</xdr:colOff>
      <xdr:row>3</xdr:row>
      <xdr:rowOff>800100</xdr:rowOff>
    </xdr:to>
    <xdr:sp macro="" textlink="Analytics!$B$142">
      <xdr:nvSpPr>
        <xdr:cNvPr id="29" name="TextBox 28">
          <a:extLst>
            <a:ext uri="{FF2B5EF4-FFF2-40B4-BE49-F238E27FC236}">
              <a16:creationId xmlns:a16="http://schemas.microsoft.com/office/drawing/2014/main" id="{CDF89331-E350-496A-5796-56D442A85056}"/>
            </a:ext>
          </a:extLst>
        </xdr:cNvPr>
        <xdr:cNvSpPr txBox="1"/>
      </xdr:nvSpPr>
      <xdr:spPr>
        <a:xfrm>
          <a:off x="5161492"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6FC9723E-0848-4A28-9B59-8533517D4F1D}"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3</xdr:col>
      <xdr:colOff>265642</xdr:colOff>
      <xdr:row>3</xdr:row>
      <xdr:rowOff>596900</xdr:rowOff>
    </xdr:from>
    <xdr:to>
      <xdr:col>6</xdr:col>
      <xdr:colOff>461434</xdr:colOff>
      <xdr:row>3</xdr:row>
      <xdr:rowOff>800100</xdr:rowOff>
    </xdr:to>
    <xdr:sp macro="" textlink="Analytics!$B$143">
      <xdr:nvSpPr>
        <xdr:cNvPr id="30" name="TextBox 29">
          <a:extLst>
            <a:ext uri="{FF2B5EF4-FFF2-40B4-BE49-F238E27FC236}">
              <a16:creationId xmlns:a16="http://schemas.microsoft.com/office/drawing/2014/main" id="{AA8D6126-C0C3-8686-8404-B578C8063541}"/>
            </a:ext>
          </a:extLst>
        </xdr:cNvPr>
        <xdr:cNvSpPr txBox="1"/>
      </xdr:nvSpPr>
      <xdr:spPr>
        <a:xfrm>
          <a:off x="5161492"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B8063BD0-59A6-4678-99A5-4089F267143E}" type="TxLink">
            <a:rPr lang="en-US" sz="900" b="1" i="0" u="none" strike="noStrike">
              <a:solidFill>
                <a:srgbClr val="C8372D"/>
              </a:solidFill>
              <a:latin typeface="Segoe UI" panose="020B0502040204020203" pitchFamily="34" charset="0"/>
              <a:cs typeface="Segoe UI"/>
            </a:rPr>
            <a:pPr/>
            <a:t>▼ 0.4pp vs budget</a:t>
          </a:fld>
          <a:endParaRPr lang="en-US" sz="1100" b="1">
            <a:solidFill>
              <a:srgbClr val="C8372D"/>
            </a:solidFill>
            <a:latin typeface="Segoe UI" panose="020B0502040204020203" pitchFamily="34" charset="0"/>
          </a:endParaRPr>
        </a:p>
      </xdr:txBody>
    </xdr:sp>
    <xdr:clientData/>
  </xdr:twoCellAnchor>
  <xdr:twoCellAnchor>
    <xdr:from>
      <xdr:col>7</xdr:col>
      <xdr:colOff>86783</xdr:colOff>
      <xdr:row>3</xdr:row>
      <xdr:rowOff>63500</xdr:rowOff>
    </xdr:from>
    <xdr:to>
      <xdr:col>10</xdr:col>
      <xdr:colOff>384175</xdr:colOff>
      <xdr:row>3</xdr:row>
      <xdr:rowOff>850900</xdr:rowOff>
    </xdr:to>
    <xdr:sp macro="" textlink="">
      <xdr:nvSpPr>
        <xdr:cNvPr id="31" name="Rectangle: Rounded Corners 30">
          <a:extLst>
            <a:ext uri="{FF2B5EF4-FFF2-40B4-BE49-F238E27FC236}">
              <a16:creationId xmlns:a16="http://schemas.microsoft.com/office/drawing/2014/main" id="{4D23C8F3-F512-B52B-66E1-D4330B7D3880}"/>
            </a:ext>
          </a:extLst>
        </xdr:cNvPr>
        <xdr:cNvSpPr/>
      </xdr:nvSpPr>
      <xdr:spPr>
        <a:xfrm>
          <a:off x="7192433" y="9969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137583</xdr:colOff>
      <xdr:row>3</xdr:row>
      <xdr:rowOff>101600</xdr:rowOff>
    </xdr:from>
    <xdr:to>
      <xdr:col>10</xdr:col>
      <xdr:colOff>333375</xdr:colOff>
      <xdr:row>3</xdr:row>
      <xdr:rowOff>292100</xdr:rowOff>
    </xdr:to>
    <xdr:sp macro="" textlink="">
      <xdr:nvSpPr>
        <xdr:cNvPr id="32" name="TextBox 31">
          <a:extLst>
            <a:ext uri="{FF2B5EF4-FFF2-40B4-BE49-F238E27FC236}">
              <a16:creationId xmlns:a16="http://schemas.microsoft.com/office/drawing/2014/main" id="{CC940BE7-3C7C-D2C6-7F63-196C431920BA}"/>
            </a:ext>
          </a:extLst>
        </xdr:cNvPr>
        <xdr:cNvSpPr txBox="1"/>
      </xdr:nvSpPr>
      <xdr:spPr>
        <a:xfrm>
          <a:off x="7243233" y="10350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EBITDA</a:t>
          </a:r>
        </a:p>
      </xdr:txBody>
    </xdr:sp>
    <xdr:clientData/>
  </xdr:twoCellAnchor>
  <xdr:twoCellAnchor>
    <xdr:from>
      <xdr:col>7</xdr:col>
      <xdr:colOff>137583</xdr:colOff>
      <xdr:row>3</xdr:row>
      <xdr:rowOff>241300</xdr:rowOff>
    </xdr:from>
    <xdr:to>
      <xdr:col>10</xdr:col>
      <xdr:colOff>333375</xdr:colOff>
      <xdr:row>3</xdr:row>
      <xdr:rowOff>596900</xdr:rowOff>
    </xdr:to>
    <xdr:sp macro="" textlink="Analytics!$B$144">
      <xdr:nvSpPr>
        <xdr:cNvPr id="33" name="kpi4_2">
          <a:extLst>
            <a:ext uri="{FF2B5EF4-FFF2-40B4-BE49-F238E27FC236}">
              <a16:creationId xmlns:a16="http://schemas.microsoft.com/office/drawing/2014/main" id="{4956C1AE-0C2F-2C79-8B0B-4F830E23BBB9}"/>
            </a:ext>
          </a:extLst>
        </xdr:cNvPr>
        <xdr:cNvSpPr txBox="1"/>
      </xdr:nvSpPr>
      <xdr:spPr>
        <a:xfrm>
          <a:off x="7243233" y="11747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5030E784-E297-458C-AF95-A415E59C31B6}" type="TxLink">
            <a:rPr lang="en-US" sz="1800" b="1" i="0" u="none" strike="noStrike">
              <a:solidFill>
                <a:srgbClr val="1F2937"/>
              </a:solidFill>
              <a:latin typeface="Segoe UI"/>
              <a:cs typeface="Segoe UI"/>
            </a:rPr>
            <a:pPr/>
            <a:t>$2.29m</a:t>
          </a:fld>
          <a:endParaRPr lang="en-US" sz="1800" b="1"/>
        </a:p>
      </xdr:txBody>
    </xdr:sp>
    <xdr:clientData/>
  </xdr:twoCellAnchor>
  <xdr:twoCellAnchor>
    <xdr:from>
      <xdr:col>7</xdr:col>
      <xdr:colOff>137583</xdr:colOff>
      <xdr:row>3</xdr:row>
      <xdr:rowOff>596900</xdr:rowOff>
    </xdr:from>
    <xdr:to>
      <xdr:col>10</xdr:col>
      <xdr:colOff>333375</xdr:colOff>
      <xdr:row>3</xdr:row>
      <xdr:rowOff>800100</xdr:rowOff>
    </xdr:to>
    <xdr:sp macro="" textlink="Analytics!$B$145">
      <xdr:nvSpPr>
        <xdr:cNvPr id="34" name="TextBox 33">
          <a:extLst>
            <a:ext uri="{FF2B5EF4-FFF2-40B4-BE49-F238E27FC236}">
              <a16:creationId xmlns:a16="http://schemas.microsoft.com/office/drawing/2014/main" id="{E70230BD-72CB-B48C-DBE8-67BA90192160}"/>
            </a:ext>
          </a:extLst>
        </xdr:cNvPr>
        <xdr:cNvSpPr txBox="1"/>
      </xdr:nvSpPr>
      <xdr:spPr>
        <a:xfrm>
          <a:off x="7243233"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C9B3DD30-835E-4927-9511-52F907507B08}"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7</xdr:col>
      <xdr:colOff>137583</xdr:colOff>
      <xdr:row>3</xdr:row>
      <xdr:rowOff>596900</xdr:rowOff>
    </xdr:from>
    <xdr:to>
      <xdr:col>10</xdr:col>
      <xdr:colOff>333375</xdr:colOff>
      <xdr:row>3</xdr:row>
      <xdr:rowOff>800100</xdr:rowOff>
    </xdr:to>
    <xdr:sp macro="" textlink="Analytics!$B$146">
      <xdr:nvSpPr>
        <xdr:cNvPr id="35" name="TextBox 34">
          <a:extLst>
            <a:ext uri="{FF2B5EF4-FFF2-40B4-BE49-F238E27FC236}">
              <a16:creationId xmlns:a16="http://schemas.microsoft.com/office/drawing/2014/main" id="{39974055-0B0B-9779-766E-CB3B1067A599}"/>
            </a:ext>
          </a:extLst>
        </xdr:cNvPr>
        <xdr:cNvSpPr txBox="1"/>
      </xdr:nvSpPr>
      <xdr:spPr>
        <a:xfrm>
          <a:off x="7243233"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AF430D07-D9EF-4C3F-8D63-9CD7D51A572E}" type="TxLink">
            <a:rPr lang="en-US" sz="900" b="1" i="0" u="none" strike="noStrike">
              <a:solidFill>
                <a:srgbClr val="C8372D"/>
              </a:solidFill>
              <a:latin typeface="Segoe UI" panose="020B0502040204020203" pitchFamily="34" charset="0"/>
              <a:cs typeface="Segoe UI"/>
            </a:rPr>
            <a:pPr/>
            <a:t>▼ 11.4% vs budget</a:t>
          </a:fld>
          <a:endParaRPr lang="en-US" sz="1100" b="1">
            <a:solidFill>
              <a:srgbClr val="C8372D"/>
            </a:solidFill>
            <a:latin typeface="Segoe UI" panose="020B0502040204020203" pitchFamily="34" charset="0"/>
          </a:endParaRPr>
        </a:p>
      </xdr:txBody>
    </xdr:sp>
    <xdr:clientData/>
  </xdr:twoCellAnchor>
  <xdr:twoCellAnchor>
    <xdr:from>
      <xdr:col>10</xdr:col>
      <xdr:colOff>511175</xdr:colOff>
      <xdr:row>3</xdr:row>
      <xdr:rowOff>63500</xdr:rowOff>
    </xdr:from>
    <xdr:to>
      <xdr:col>14</xdr:col>
      <xdr:colOff>256117</xdr:colOff>
      <xdr:row>3</xdr:row>
      <xdr:rowOff>850900</xdr:rowOff>
    </xdr:to>
    <xdr:sp macro="" textlink="">
      <xdr:nvSpPr>
        <xdr:cNvPr id="36" name="Rectangle: Rounded Corners 35">
          <a:extLst>
            <a:ext uri="{FF2B5EF4-FFF2-40B4-BE49-F238E27FC236}">
              <a16:creationId xmlns:a16="http://schemas.microsoft.com/office/drawing/2014/main" id="{0AAFF63D-FFF3-7766-E23F-3DB688054562}"/>
            </a:ext>
          </a:extLst>
        </xdr:cNvPr>
        <xdr:cNvSpPr/>
      </xdr:nvSpPr>
      <xdr:spPr>
        <a:xfrm>
          <a:off x="9274175" y="9969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3</xdr:row>
      <xdr:rowOff>101600</xdr:rowOff>
    </xdr:from>
    <xdr:to>
      <xdr:col>14</xdr:col>
      <xdr:colOff>205317</xdr:colOff>
      <xdr:row>3</xdr:row>
      <xdr:rowOff>292100</xdr:rowOff>
    </xdr:to>
    <xdr:sp macro="" textlink="">
      <xdr:nvSpPr>
        <xdr:cNvPr id="37" name="TextBox 36">
          <a:extLst>
            <a:ext uri="{FF2B5EF4-FFF2-40B4-BE49-F238E27FC236}">
              <a16:creationId xmlns:a16="http://schemas.microsoft.com/office/drawing/2014/main" id="{6C8741DD-13C9-54E0-1202-1530A0884BB2}"/>
            </a:ext>
          </a:extLst>
        </xdr:cNvPr>
        <xdr:cNvSpPr txBox="1"/>
      </xdr:nvSpPr>
      <xdr:spPr>
        <a:xfrm>
          <a:off x="9324975" y="10350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NET PROFIT</a:t>
          </a:r>
        </a:p>
      </xdr:txBody>
    </xdr:sp>
    <xdr:clientData/>
  </xdr:twoCellAnchor>
  <xdr:twoCellAnchor>
    <xdr:from>
      <xdr:col>11</xdr:col>
      <xdr:colOff>9525</xdr:colOff>
      <xdr:row>3</xdr:row>
      <xdr:rowOff>241300</xdr:rowOff>
    </xdr:from>
    <xdr:to>
      <xdr:col>14</xdr:col>
      <xdr:colOff>205317</xdr:colOff>
      <xdr:row>3</xdr:row>
      <xdr:rowOff>596900</xdr:rowOff>
    </xdr:to>
    <xdr:sp macro="" textlink="Analytics!$B$147">
      <xdr:nvSpPr>
        <xdr:cNvPr id="38" name="kpi4_3">
          <a:extLst>
            <a:ext uri="{FF2B5EF4-FFF2-40B4-BE49-F238E27FC236}">
              <a16:creationId xmlns:a16="http://schemas.microsoft.com/office/drawing/2014/main" id="{49579ECA-C704-AE9C-82AD-CBFA2FA27BC5}"/>
            </a:ext>
          </a:extLst>
        </xdr:cNvPr>
        <xdr:cNvSpPr txBox="1"/>
      </xdr:nvSpPr>
      <xdr:spPr>
        <a:xfrm>
          <a:off x="9324975" y="11747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403002CB-D6FB-47C4-AF9B-B05A036853FC}" type="TxLink">
            <a:rPr lang="en-US" sz="1800" b="1" i="0" u="none" strike="noStrike">
              <a:solidFill>
                <a:srgbClr val="1F2937"/>
              </a:solidFill>
              <a:latin typeface="Segoe UI"/>
              <a:cs typeface="Segoe UI"/>
            </a:rPr>
            <a:pPr/>
            <a:t>$1.31m</a:t>
          </a:fld>
          <a:endParaRPr lang="en-US" sz="1800" b="1"/>
        </a:p>
      </xdr:txBody>
    </xdr:sp>
    <xdr:clientData/>
  </xdr:twoCellAnchor>
  <xdr:twoCellAnchor>
    <xdr:from>
      <xdr:col>11</xdr:col>
      <xdr:colOff>9525</xdr:colOff>
      <xdr:row>3</xdr:row>
      <xdr:rowOff>596900</xdr:rowOff>
    </xdr:from>
    <xdr:to>
      <xdr:col>14</xdr:col>
      <xdr:colOff>205317</xdr:colOff>
      <xdr:row>3</xdr:row>
      <xdr:rowOff>800100</xdr:rowOff>
    </xdr:to>
    <xdr:sp macro="" textlink="Analytics!$B$148">
      <xdr:nvSpPr>
        <xdr:cNvPr id="39" name="TextBox 38">
          <a:extLst>
            <a:ext uri="{FF2B5EF4-FFF2-40B4-BE49-F238E27FC236}">
              <a16:creationId xmlns:a16="http://schemas.microsoft.com/office/drawing/2014/main" id="{E6830822-30A5-8097-152E-578E936FE712}"/>
            </a:ext>
          </a:extLst>
        </xdr:cNvPr>
        <xdr:cNvSpPr txBox="1"/>
      </xdr:nvSpPr>
      <xdr:spPr>
        <a:xfrm>
          <a:off x="9324975"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85074E20-AAC8-4CD8-8FCC-18AD470862D6}"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11</xdr:col>
      <xdr:colOff>9525</xdr:colOff>
      <xdr:row>3</xdr:row>
      <xdr:rowOff>596900</xdr:rowOff>
    </xdr:from>
    <xdr:to>
      <xdr:col>14</xdr:col>
      <xdr:colOff>205317</xdr:colOff>
      <xdr:row>3</xdr:row>
      <xdr:rowOff>800100</xdr:rowOff>
    </xdr:to>
    <xdr:sp macro="" textlink="Analytics!$B$149">
      <xdr:nvSpPr>
        <xdr:cNvPr id="40" name="TextBox 39">
          <a:extLst>
            <a:ext uri="{FF2B5EF4-FFF2-40B4-BE49-F238E27FC236}">
              <a16:creationId xmlns:a16="http://schemas.microsoft.com/office/drawing/2014/main" id="{9B823C78-9DFC-43FF-0CFB-EAB9318435A1}"/>
            </a:ext>
          </a:extLst>
        </xdr:cNvPr>
        <xdr:cNvSpPr txBox="1"/>
      </xdr:nvSpPr>
      <xdr:spPr>
        <a:xfrm>
          <a:off x="9324975"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C91E896D-8FB9-4801-99A6-6BE90E560AB0}" type="TxLink">
            <a:rPr lang="en-US" sz="900" b="1" i="0" u="none" strike="noStrike">
              <a:solidFill>
                <a:srgbClr val="C8372D"/>
              </a:solidFill>
              <a:latin typeface="Segoe UI" panose="020B0502040204020203" pitchFamily="34" charset="0"/>
              <a:cs typeface="Segoe UI"/>
            </a:rPr>
            <a:pPr/>
            <a:t>▼ 14.3% vs budget</a:t>
          </a:fld>
          <a:endParaRPr lang="en-US" sz="1100" b="1">
            <a:solidFill>
              <a:srgbClr val="C8372D"/>
            </a:solidFill>
            <a:latin typeface="Segoe UI" panose="020B0502040204020203" pitchFamily="34" charset="0"/>
          </a:endParaRPr>
        </a:p>
      </xdr:txBody>
    </xdr:sp>
    <xdr:clientData/>
  </xdr:twoCellAnchor>
  <xdr:twoCellAnchor>
    <xdr:from>
      <xdr:col>14</xdr:col>
      <xdr:colOff>383117</xdr:colOff>
      <xdr:row>3</xdr:row>
      <xdr:rowOff>63500</xdr:rowOff>
    </xdr:from>
    <xdr:to>
      <xdr:col>18</xdr:col>
      <xdr:colOff>128059</xdr:colOff>
      <xdr:row>3</xdr:row>
      <xdr:rowOff>850900</xdr:rowOff>
    </xdr:to>
    <xdr:sp macro="" textlink="">
      <xdr:nvSpPr>
        <xdr:cNvPr id="41" name="Rectangle: Rounded Corners 40">
          <a:extLst>
            <a:ext uri="{FF2B5EF4-FFF2-40B4-BE49-F238E27FC236}">
              <a16:creationId xmlns:a16="http://schemas.microsoft.com/office/drawing/2014/main" id="{A2DD2AA7-9016-9872-C2D4-6AE365F0FAEC}"/>
            </a:ext>
          </a:extLst>
        </xdr:cNvPr>
        <xdr:cNvSpPr/>
      </xdr:nvSpPr>
      <xdr:spPr>
        <a:xfrm>
          <a:off x="11355917" y="9969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433917</xdr:colOff>
      <xdr:row>3</xdr:row>
      <xdr:rowOff>101600</xdr:rowOff>
    </xdr:from>
    <xdr:to>
      <xdr:col>18</xdr:col>
      <xdr:colOff>77259</xdr:colOff>
      <xdr:row>3</xdr:row>
      <xdr:rowOff>292100</xdr:rowOff>
    </xdr:to>
    <xdr:sp macro="" textlink="">
      <xdr:nvSpPr>
        <xdr:cNvPr id="42" name="TextBox 41">
          <a:extLst>
            <a:ext uri="{FF2B5EF4-FFF2-40B4-BE49-F238E27FC236}">
              <a16:creationId xmlns:a16="http://schemas.microsoft.com/office/drawing/2014/main" id="{1A0B1D73-82F7-6C29-90FA-414CB6493DDD}"/>
            </a:ext>
          </a:extLst>
        </xdr:cNvPr>
        <xdr:cNvSpPr txBox="1"/>
      </xdr:nvSpPr>
      <xdr:spPr>
        <a:xfrm>
          <a:off x="11406717" y="10350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OPERATING CASH FLOW</a:t>
          </a:r>
        </a:p>
      </xdr:txBody>
    </xdr:sp>
    <xdr:clientData/>
  </xdr:twoCellAnchor>
  <xdr:twoCellAnchor>
    <xdr:from>
      <xdr:col>14</xdr:col>
      <xdr:colOff>433917</xdr:colOff>
      <xdr:row>3</xdr:row>
      <xdr:rowOff>241300</xdr:rowOff>
    </xdr:from>
    <xdr:to>
      <xdr:col>18</xdr:col>
      <xdr:colOff>77259</xdr:colOff>
      <xdr:row>3</xdr:row>
      <xdr:rowOff>596900</xdr:rowOff>
    </xdr:to>
    <xdr:sp macro="" textlink="Analytics!$B$150">
      <xdr:nvSpPr>
        <xdr:cNvPr id="43" name="kpi4_4">
          <a:extLst>
            <a:ext uri="{FF2B5EF4-FFF2-40B4-BE49-F238E27FC236}">
              <a16:creationId xmlns:a16="http://schemas.microsoft.com/office/drawing/2014/main" id="{C06921CA-DEF8-03C5-EC0F-FD5239BFFCF4}"/>
            </a:ext>
          </a:extLst>
        </xdr:cNvPr>
        <xdr:cNvSpPr txBox="1"/>
      </xdr:nvSpPr>
      <xdr:spPr>
        <a:xfrm>
          <a:off x="11406717" y="11747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C29BFAB1-1AE7-40DF-AB69-4513270AAFC0}" type="TxLink">
            <a:rPr lang="en-US" sz="1800" b="1" i="0" u="none" strike="noStrike">
              <a:solidFill>
                <a:srgbClr val="1F2937"/>
              </a:solidFill>
              <a:latin typeface="Segoe UI"/>
              <a:cs typeface="Segoe UI"/>
            </a:rPr>
            <a:pPr/>
            <a:t>$0.85m</a:t>
          </a:fld>
          <a:endParaRPr lang="en-US" sz="1800" b="1"/>
        </a:p>
      </xdr:txBody>
    </xdr:sp>
    <xdr:clientData/>
  </xdr:twoCellAnchor>
  <xdr:twoCellAnchor>
    <xdr:from>
      <xdr:col>14</xdr:col>
      <xdr:colOff>433917</xdr:colOff>
      <xdr:row>3</xdr:row>
      <xdr:rowOff>596900</xdr:rowOff>
    </xdr:from>
    <xdr:to>
      <xdr:col>18</xdr:col>
      <xdr:colOff>77259</xdr:colOff>
      <xdr:row>3</xdr:row>
      <xdr:rowOff>800100</xdr:rowOff>
    </xdr:to>
    <xdr:sp macro="" textlink="Analytics!$B$151">
      <xdr:nvSpPr>
        <xdr:cNvPr id="44" name="TextBox 43">
          <a:extLst>
            <a:ext uri="{FF2B5EF4-FFF2-40B4-BE49-F238E27FC236}">
              <a16:creationId xmlns:a16="http://schemas.microsoft.com/office/drawing/2014/main" id="{08A6172B-E167-0F1F-1031-202D96706720}"/>
            </a:ext>
          </a:extLst>
        </xdr:cNvPr>
        <xdr:cNvSpPr txBox="1"/>
      </xdr:nvSpPr>
      <xdr:spPr>
        <a:xfrm>
          <a:off x="11406717"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FBADC56D-BB01-4A84-BE37-4E425E8B8614}"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14</xdr:col>
      <xdr:colOff>433917</xdr:colOff>
      <xdr:row>3</xdr:row>
      <xdr:rowOff>596900</xdr:rowOff>
    </xdr:from>
    <xdr:to>
      <xdr:col>18</xdr:col>
      <xdr:colOff>77259</xdr:colOff>
      <xdr:row>3</xdr:row>
      <xdr:rowOff>800100</xdr:rowOff>
    </xdr:to>
    <xdr:sp macro="" textlink="Analytics!$B$152">
      <xdr:nvSpPr>
        <xdr:cNvPr id="45" name="TextBox 44">
          <a:extLst>
            <a:ext uri="{FF2B5EF4-FFF2-40B4-BE49-F238E27FC236}">
              <a16:creationId xmlns:a16="http://schemas.microsoft.com/office/drawing/2014/main" id="{575365CC-1BBD-FF5D-0471-C03F2438F0CF}"/>
            </a:ext>
          </a:extLst>
        </xdr:cNvPr>
        <xdr:cNvSpPr txBox="1"/>
      </xdr:nvSpPr>
      <xdr:spPr>
        <a:xfrm>
          <a:off x="11406717"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2B197075-00F6-400C-947B-15D28B6E2994}" type="TxLink">
            <a:rPr lang="en-US" sz="900" b="1" i="0" u="none" strike="noStrike">
              <a:solidFill>
                <a:srgbClr val="C8372D"/>
              </a:solidFill>
              <a:latin typeface="Segoe UI" panose="020B0502040204020203" pitchFamily="34" charset="0"/>
              <a:cs typeface="Segoe UI"/>
            </a:rPr>
            <a:pPr/>
            <a:t>▼ $463k vs net profit</a:t>
          </a:fld>
          <a:endParaRPr lang="en-US" sz="1100" b="1">
            <a:solidFill>
              <a:srgbClr val="C8372D"/>
            </a:solidFill>
            <a:latin typeface="Segoe UI" panose="020B0502040204020203" pitchFamily="34" charset="0"/>
          </a:endParaRPr>
        </a:p>
      </xdr:txBody>
    </xdr:sp>
    <xdr:clientData/>
  </xdr:twoCellAnchor>
  <xdr:twoCellAnchor>
    <xdr:from>
      <xdr:col>18</xdr:col>
      <xdr:colOff>255059</xdr:colOff>
      <xdr:row>3</xdr:row>
      <xdr:rowOff>63500</xdr:rowOff>
    </xdr:from>
    <xdr:to>
      <xdr:col>22</xdr:col>
      <xdr:colOff>0</xdr:colOff>
      <xdr:row>3</xdr:row>
      <xdr:rowOff>850900</xdr:rowOff>
    </xdr:to>
    <xdr:sp macro="" textlink="">
      <xdr:nvSpPr>
        <xdr:cNvPr id="46" name="Rectangle: Rounded Corners 45">
          <a:extLst>
            <a:ext uri="{FF2B5EF4-FFF2-40B4-BE49-F238E27FC236}">
              <a16:creationId xmlns:a16="http://schemas.microsoft.com/office/drawing/2014/main" id="{C924FE78-282D-D1A0-BC25-3DC5F80192D8}"/>
            </a:ext>
          </a:extLst>
        </xdr:cNvPr>
        <xdr:cNvSpPr/>
      </xdr:nvSpPr>
      <xdr:spPr>
        <a:xfrm>
          <a:off x="13437659" y="996950"/>
          <a:ext cx="1954741"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305859</xdr:colOff>
      <xdr:row>3</xdr:row>
      <xdr:rowOff>101600</xdr:rowOff>
    </xdr:from>
    <xdr:to>
      <xdr:col>21</xdr:col>
      <xdr:colOff>501651</xdr:colOff>
      <xdr:row>3</xdr:row>
      <xdr:rowOff>292100</xdr:rowOff>
    </xdr:to>
    <xdr:sp macro="" textlink="">
      <xdr:nvSpPr>
        <xdr:cNvPr id="47" name="TextBox 46">
          <a:extLst>
            <a:ext uri="{FF2B5EF4-FFF2-40B4-BE49-F238E27FC236}">
              <a16:creationId xmlns:a16="http://schemas.microsoft.com/office/drawing/2014/main" id="{CDC696E8-AB42-A004-80CA-508FC6E2C01A}"/>
            </a:ext>
          </a:extLst>
        </xdr:cNvPr>
        <xdr:cNvSpPr txBox="1"/>
      </xdr:nvSpPr>
      <xdr:spPr>
        <a:xfrm>
          <a:off x="13488459" y="10350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CLOSING CASH</a:t>
          </a:r>
        </a:p>
      </xdr:txBody>
    </xdr:sp>
    <xdr:clientData/>
  </xdr:twoCellAnchor>
  <xdr:twoCellAnchor>
    <xdr:from>
      <xdr:col>18</xdr:col>
      <xdr:colOff>305859</xdr:colOff>
      <xdr:row>3</xdr:row>
      <xdr:rowOff>241300</xdr:rowOff>
    </xdr:from>
    <xdr:to>
      <xdr:col>21</xdr:col>
      <xdr:colOff>501651</xdr:colOff>
      <xdr:row>3</xdr:row>
      <xdr:rowOff>596900</xdr:rowOff>
    </xdr:to>
    <xdr:sp macro="" textlink="Analytics!$B$153">
      <xdr:nvSpPr>
        <xdr:cNvPr id="48" name="kpi4_5">
          <a:extLst>
            <a:ext uri="{FF2B5EF4-FFF2-40B4-BE49-F238E27FC236}">
              <a16:creationId xmlns:a16="http://schemas.microsoft.com/office/drawing/2014/main" id="{A91C1AD9-235A-3D4D-EDE5-5752072C8988}"/>
            </a:ext>
          </a:extLst>
        </xdr:cNvPr>
        <xdr:cNvSpPr txBox="1"/>
      </xdr:nvSpPr>
      <xdr:spPr>
        <a:xfrm>
          <a:off x="13488459" y="11747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8E9A5BD5-6E80-48B2-A478-213C75C7B52C}" type="TxLink">
            <a:rPr lang="en-US" sz="1800" b="1" i="0" u="none" strike="noStrike">
              <a:solidFill>
                <a:srgbClr val="1F2937"/>
              </a:solidFill>
              <a:latin typeface="Segoe UI"/>
              <a:cs typeface="Segoe UI"/>
            </a:rPr>
            <a:pPr/>
            <a:t>$1.92m</a:t>
          </a:fld>
          <a:endParaRPr lang="en-US" sz="1800" b="1"/>
        </a:p>
      </xdr:txBody>
    </xdr:sp>
    <xdr:clientData/>
  </xdr:twoCellAnchor>
  <xdr:twoCellAnchor>
    <xdr:from>
      <xdr:col>18</xdr:col>
      <xdr:colOff>305859</xdr:colOff>
      <xdr:row>3</xdr:row>
      <xdr:rowOff>596900</xdr:rowOff>
    </xdr:from>
    <xdr:to>
      <xdr:col>21</xdr:col>
      <xdr:colOff>501651</xdr:colOff>
      <xdr:row>3</xdr:row>
      <xdr:rowOff>800100</xdr:rowOff>
    </xdr:to>
    <xdr:sp macro="" textlink="Analytics!$B$154">
      <xdr:nvSpPr>
        <xdr:cNvPr id="49" name="TextBox 48">
          <a:extLst>
            <a:ext uri="{FF2B5EF4-FFF2-40B4-BE49-F238E27FC236}">
              <a16:creationId xmlns:a16="http://schemas.microsoft.com/office/drawing/2014/main" id="{7101AB19-AA96-B03A-2FDE-2B918223F031}"/>
            </a:ext>
          </a:extLst>
        </xdr:cNvPr>
        <xdr:cNvSpPr txBox="1"/>
      </xdr:nvSpPr>
      <xdr:spPr>
        <a:xfrm>
          <a:off x="13488459"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7DE57EEF-FFE4-4F89-91CD-6BEB7D72F116}" type="TxLink">
            <a:rPr lang="en-US" sz="900" b="1" i="0" u="none" strike="noStrike">
              <a:solidFill>
                <a:srgbClr val="1E8E5A"/>
              </a:solidFill>
              <a:latin typeface="Segoe UI" panose="020B0502040204020203" pitchFamily="34" charset="0"/>
              <a:cs typeface="Segoe UI"/>
            </a:rPr>
            <a:pPr/>
            <a:t>▲ $111k vs prior month</a:t>
          </a:fld>
          <a:endParaRPr lang="en-US" sz="1100" b="1">
            <a:solidFill>
              <a:srgbClr val="1E8E5A"/>
            </a:solidFill>
            <a:latin typeface="Segoe UI" panose="020B0502040204020203" pitchFamily="34" charset="0"/>
          </a:endParaRPr>
        </a:p>
      </xdr:txBody>
    </xdr:sp>
    <xdr:clientData/>
  </xdr:twoCellAnchor>
  <xdr:twoCellAnchor>
    <xdr:from>
      <xdr:col>18</xdr:col>
      <xdr:colOff>305859</xdr:colOff>
      <xdr:row>3</xdr:row>
      <xdr:rowOff>596900</xdr:rowOff>
    </xdr:from>
    <xdr:to>
      <xdr:col>21</xdr:col>
      <xdr:colOff>501651</xdr:colOff>
      <xdr:row>3</xdr:row>
      <xdr:rowOff>800100</xdr:rowOff>
    </xdr:to>
    <xdr:sp macro="" textlink="Analytics!$B$155">
      <xdr:nvSpPr>
        <xdr:cNvPr id="50" name="TextBox 49">
          <a:extLst>
            <a:ext uri="{FF2B5EF4-FFF2-40B4-BE49-F238E27FC236}">
              <a16:creationId xmlns:a16="http://schemas.microsoft.com/office/drawing/2014/main" id="{0444EFFB-41F9-FB2F-FC82-94D58480F543}"/>
            </a:ext>
          </a:extLst>
        </xdr:cNvPr>
        <xdr:cNvSpPr txBox="1"/>
      </xdr:nvSpPr>
      <xdr:spPr>
        <a:xfrm>
          <a:off x="13488459" y="15303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A49B63E2-B6CA-4F88-93B7-E190C861AD05}" type="TxLink">
            <a:rPr lang="en-US" sz="900" b="1" i="0" u="none" strike="noStrike">
              <a:solidFill>
                <a:srgbClr val="C8372D"/>
              </a:solidFill>
              <a:latin typeface="Segoe UI" panose="020B0502040204020203" pitchFamily="34" charset="0"/>
              <a:cs typeface="Segoe UI"/>
            </a:rPr>
            <a:pPr/>
            <a:t> </a:t>
          </a:fld>
          <a:endParaRPr lang="en-US" sz="1100" b="1">
            <a:solidFill>
              <a:srgbClr val="C8372D"/>
            </a:solidFill>
            <a:latin typeface="Segoe UI" panose="020B0502040204020203" pitchFamily="34" charset="0"/>
          </a:endParaRPr>
        </a:p>
      </xdr:txBody>
    </xdr:sp>
    <xdr:clientData/>
  </xdr:twoCellAnchor>
  <xdr:twoCellAnchor>
    <xdr:from>
      <xdr:col>2</xdr:col>
      <xdr:colOff>0</xdr:colOff>
      <xdr:row>5</xdr:row>
      <xdr:rowOff>63500</xdr:rowOff>
    </xdr:from>
    <xdr:to>
      <xdr:col>3</xdr:col>
      <xdr:colOff>87842</xdr:colOff>
      <xdr:row>5</xdr:row>
      <xdr:rowOff>850900</xdr:rowOff>
    </xdr:to>
    <xdr:sp macro="" textlink="">
      <xdr:nvSpPr>
        <xdr:cNvPr id="51" name="Rectangle: Rounded Corners 50">
          <a:extLst>
            <a:ext uri="{FF2B5EF4-FFF2-40B4-BE49-F238E27FC236}">
              <a16:creationId xmlns:a16="http://schemas.microsoft.com/office/drawing/2014/main" id="{4E4C0D3B-C0A4-98FE-BB98-C76E4EDF9265}"/>
            </a:ext>
          </a:extLst>
        </xdr:cNvPr>
        <xdr:cNvSpPr/>
      </xdr:nvSpPr>
      <xdr:spPr>
        <a:xfrm>
          <a:off x="3028950" y="19494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50800</xdr:colOff>
      <xdr:row>5</xdr:row>
      <xdr:rowOff>101600</xdr:rowOff>
    </xdr:from>
    <xdr:to>
      <xdr:col>3</xdr:col>
      <xdr:colOff>37042</xdr:colOff>
      <xdr:row>5</xdr:row>
      <xdr:rowOff>292100</xdr:rowOff>
    </xdr:to>
    <xdr:sp macro="" textlink="">
      <xdr:nvSpPr>
        <xdr:cNvPr id="52" name="TextBox 51">
          <a:extLst>
            <a:ext uri="{FF2B5EF4-FFF2-40B4-BE49-F238E27FC236}">
              <a16:creationId xmlns:a16="http://schemas.microsoft.com/office/drawing/2014/main" id="{8F23F344-A716-DAFD-5F2D-D1560CA3433F}"/>
            </a:ext>
          </a:extLst>
        </xdr:cNvPr>
        <xdr:cNvSpPr txBox="1"/>
      </xdr:nvSpPr>
      <xdr:spPr>
        <a:xfrm>
          <a:off x="3079750" y="19875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NET DEBT</a:t>
          </a:r>
        </a:p>
      </xdr:txBody>
    </xdr:sp>
    <xdr:clientData/>
  </xdr:twoCellAnchor>
  <xdr:twoCellAnchor>
    <xdr:from>
      <xdr:col>2</xdr:col>
      <xdr:colOff>50800</xdr:colOff>
      <xdr:row>5</xdr:row>
      <xdr:rowOff>241300</xdr:rowOff>
    </xdr:from>
    <xdr:to>
      <xdr:col>3</xdr:col>
      <xdr:colOff>37042</xdr:colOff>
      <xdr:row>5</xdr:row>
      <xdr:rowOff>596900</xdr:rowOff>
    </xdr:to>
    <xdr:sp macro="" textlink="Analytics!$B$156">
      <xdr:nvSpPr>
        <xdr:cNvPr id="53" name="kpi6_0">
          <a:extLst>
            <a:ext uri="{FF2B5EF4-FFF2-40B4-BE49-F238E27FC236}">
              <a16:creationId xmlns:a16="http://schemas.microsoft.com/office/drawing/2014/main" id="{98D8C6C3-B5B4-0097-68D5-A5B357A9B0D1}"/>
            </a:ext>
          </a:extLst>
        </xdr:cNvPr>
        <xdr:cNvSpPr txBox="1"/>
      </xdr:nvSpPr>
      <xdr:spPr>
        <a:xfrm>
          <a:off x="3079750" y="21272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BE05FACB-1E4A-47F3-B455-883D208CE6C4}" type="TxLink">
            <a:rPr lang="en-US" sz="1800" b="1" i="0" u="none" strike="noStrike">
              <a:solidFill>
                <a:srgbClr val="1F2937"/>
              </a:solidFill>
              <a:latin typeface="Segoe UI"/>
              <a:cs typeface="Segoe UI"/>
            </a:rPr>
            <a:pPr/>
            <a:t>-$0.18m</a:t>
          </a:fld>
          <a:endParaRPr lang="en-US" sz="1800" b="1"/>
        </a:p>
      </xdr:txBody>
    </xdr:sp>
    <xdr:clientData/>
  </xdr:twoCellAnchor>
  <xdr:twoCellAnchor>
    <xdr:from>
      <xdr:col>2</xdr:col>
      <xdr:colOff>50800</xdr:colOff>
      <xdr:row>5</xdr:row>
      <xdr:rowOff>596900</xdr:rowOff>
    </xdr:from>
    <xdr:to>
      <xdr:col>3</xdr:col>
      <xdr:colOff>37042</xdr:colOff>
      <xdr:row>5</xdr:row>
      <xdr:rowOff>800100</xdr:rowOff>
    </xdr:to>
    <xdr:sp macro="" textlink="Analytics!$B$157">
      <xdr:nvSpPr>
        <xdr:cNvPr id="54" name="TextBox 53">
          <a:extLst>
            <a:ext uri="{FF2B5EF4-FFF2-40B4-BE49-F238E27FC236}">
              <a16:creationId xmlns:a16="http://schemas.microsoft.com/office/drawing/2014/main" id="{9A30A75C-200E-8DD1-C709-775F89D5A05D}"/>
            </a:ext>
          </a:extLst>
        </xdr:cNvPr>
        <xdr:cNvSpPr txBox="1"/>
      </xdr:nvSpPr>
      <xdr:spPr>
        <a:xfrm>
          <a:off x="3079750"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3AFB605C-CC88-4615-8994-54E2D4CDC34F}" type="TxLink">
            <a:rPr lang="en-US" sz="900" b="1" i="0" u="none" strike="noStrike">
              <a:solidFill>
                <a:srgbClr val="1E8E5A"/>
              </a:solidFill>
              <a:latin typeface="Segoe UI" panose="020B0502040204020203" pitchFamily="34" charset="0"/>
              <a:cs typeface="Segoe UI"/>
            </a:rPr>
            <a:pPr/>
            <a:t>▼ $171k vs prior month</a:t>
          </a:fld>
          <a:endParaRPr lang="en-US" sz="1100" b="1">
            <a:solidFill>
              <a:srgbClr val="1E8E5A"/>
            </a:solidFill>
            <a:latin typeface="Segoe UI" panose="020B0502040204020203" pitchFamily="34" charset="0"/>
          </a:endParaRPr>
        </a:p>
      </xdr:txBody>
    </xdr:sp>
    <xdr:clientData/>
  </xdr:twoCellAnchor>
  <xdr:twoCellAnchor>
    <xdr:from>
      <xdr:col>2</xdr:col>
      <xdr:colOff>50800</xdr:colOff>
      <xdr:row>5</xdr:row>
      <xdr:rowOff>596900</xdr:rowOff>
    </xdr:from>
    <xdr:to>
      <xdr:col>3</xdr:col>
      <xdr:colOff>37042</xdr:colOff>
      <xdr:row>5</xdr:row>
      <xdr:rowOff>800100</xdr:rowOff>
    </xdr:to>
    <xdr:sp macro="" textlink="Analytics!$B$158">
      <xdr:nvSpPr>
        <xdr:cNvPr id="55" name="TextBox 54">
          <a:extLst>
            <a:ext uri="{FF2B5EF4-FFF2-40B4-BE49-F238E27FC236}">
              <a16:creationId xmlns:a16="http://schemas.microsoft.com/office/drawing/2014/main" id="{91043CD1-C69E-BB8C-5583-415F1653E316}"/>
            </a:ext>
          </a:extLst>
        </xdr:cNvPr>
        <xdr:cNvSpPr txBox="1"/>
      </xdr:nvSpPr>
      <xdr:spPr>
        <a:xfrm>
          <a:off x="3079750"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BEC28C85-00BE-466A-8FEE-0B03BD33DD11}" type="TxLink">
            <a:rPr lang="en-US" sz="900" b="1" i="0" u="none" strike="noStrike">
              <a:solidFill>
                <a:srgbClr val="C8372D"/>
              </a:solidFill>
              <a:latin typeface="Segoe UI" panose="020B0502040204020203" pitchFamily="34" charset="0"/>
              <a:cs typeface="Segoe UI"/>
            </a:rPr>
            <a:pPr/>
            <a:t> </a:t>
          </a:fld>
          <a:endParaRPr lang="en-US" sz="1100" b="1">
            <a:solidFill>
              <a:srgbClr val="C8372D"/>
            </a:solidFill>
            <a:latin typeface="Segoe UI" panose="020B0502040204020203" pitchFamily="34" charset="0"/>
          </a:endParaRPr>
        </a:p>
      </xdr:txBody>
    </xdr:sp>
    <xdr:clientData/>
  </xdr:twoCellAnchor>
  <xdr:twoCellAnchor>
    <xdr:from>
      <xdr:col>3</xdr:col>
      <xdr:colOff>214842</xdr:colOff>
      <xdr:row>5</xdr:row>
      <xdr:rowOff>63500</xdr:rowOff>
    </xdr:from>
    <xdr:to>
      <xdr:col>6</xdr:col>
      <xdr:colOff>512233</xdr:colOff>
      <xdr:row>5</xdr:row>
      <xdr:rowOff>850900</xdr:rowOff>
    </xdr:to>
    <xdr:sp macro="" textlink="">
      <xdr:nvSpPr>
        <xdr:cNvPr id="56" name="Rectangle: Rounded Corners 55">
          <a:extLst>
            <a:ext uri="{FF2B5EF4-FFF2-40B4-BE49-F238E27FC236}">
              <a16:creationId xmlns:a16="http://schemas.microsoft.com/office/drawing/2014/main" id="{C1D08305-B0D6-60BE-E6DB-6C8FE28A9425}"/>
            </a:ext>
          </a:extLst>
        </xdr:cNvPr>
        <xdr:cNvSpPr/>
      </xdr:nvSpPr>
      <xdr:spPr>
        <a:xfrm>
          <a:off x="5110692" y="1949450"/>
          <a:ext cx="1954741"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265642</xdr:colOff>
      <xdr:row>5</xdr:row>
      <xdr:rowOff>101600</xdr:rowOff>
    </xdr:from>
    <xdr:to>
      <xdr:col>6</xdr:col>
      <xdr:colOff>461434</xdr:colOff>
      <xdr:row>5</xdr:row>
      <xdr:rowOff>292100</xdr:rowOff>
    </xdr:to>
    <xdr:sp macro="" textlink="">
      <xdr:nvSpPr>
        <xdr:cNvPr id="57" name="TextBox 56">
          <a:extLst>
            <a:ext uri="{FF2B5EF4-FFF2-40B4-BE49-F238E27FC236}">
              <a16:creationId xmlns:a16="http://schemas.microsoft.com/office/drawing/2014/main" id="{E809A7AB-5831-3477-3AA9-234C18B95491}"/>
            </a:ext>
          </a:extLst>
        </xdr:cNvPr>
        <xdr:cNvSpPr txBox="1"/>
      </xdr:nvSpPr>
      <xdr:spPr>
        <a:xfrm>
          <a:off x="5161492" y="19875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CURRENT RATIO</a:t>
          </a:r>
        </a:p>
      </xdr:txBody>
    </xdr:sp>
    <xdr:clientData/>
  </xdr:twoCellAnchor>
  <xdr:twoCellAnchor>
    <xdr:from>
      <xdr:col>3</xdr:col>
      <xdr:colOff>265642</xdr:colOff>
      <xdr:row>5</xdr:row>
      <xdr:rowOff>241300</xdr:rowOff>
    </xdr:from>
    <xdr:to>
      <xdr:col>6</xdr:col>
      <xdr:colOff>461434</xdr:colOff>
      <xdr:row>5</xdr:row>
      <xdr:rowOff>596900</xdr:rowOff>
    </xdr:to>
    <xdr:sp macro="" textlink="Analytics!$B$159">
      <xdr:nvSpPr>
        <xdr:cNvPr id="58" name="kpi6_1">
          <a:extLst>
            <a:ext uri="{FF2B5EF4-FFF2-40B4-BE49-F238E27FC236}">
              <a16:creationId xmlns:a16="http://schemas.microsoft.com/office/drawing/2014/main" id="{21BF1C78-502C-2C89-6D29-857965F038B7}"/>
            </a:ext>
          </a:extLst>
        </xdr:cNvPr>
        <xdr:cNvSpPr txBox="1"/>
      </xdr:nvSpPr>
      <xdr:spPr>
        <a:xfrm>
          <a:off x="5161492" y="21272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3593B35B-A5DE-40A1-8DB1-7D45ABD6A161}" type="TxLink">
            <a:rPr lang="en-US" sz="1800" b="1" i="0" u="none" strike="noStrike">
              <a:solidFill>
                <a:srgbClr val="1F2937"/>
              </a:solidFill>
              <a:latin typeface="Segoe UI"/>
              <a:cs typeface="Segoe UI"/>
            </a:rPr>
            <a:pPr/>
            <a:t>3.77x</a:t>
          </a:fld>
          <a:endParaRPr lang="en-US" sz="1800" b="1"/>
        </a:p>
      </xdr:txBody>
    </xdr:sp>
    <xdr:clientData/>
  </xdr:twoCellAnchor>
  <xdr:twoCellAnchor>
    <xdr:from>
      <xdr:col>3</xdr:col>
      <xdr:colOff>265642</xdr:colOff>
      <xdr:row>5</xdr:row>
      <xdr:rowOff>596900</xdr:rowOff>
    </xdr:from>
    <xdr:to>
      <xdr:col>6</xdr:col>
      <xdr:colOff>461434</xdr:colOff>
      <xdr:row>5</xdr:row>
      <xdr:rowOff>800100</xdr:rowOff>
    </xdr:to>
    <xdr:sp macro="" textlink="Analytics!$B$160">
      <xdr:nvSpPr>
        <xdr:cNvPr id="59" name="TextBox 58">
          <a:extLst>
            <a:ext uri="{FF2B5EF4-FFF2-40B4-BE49-F238E27FC236}">
              <a16:creationId xmlns:a16="http://schemas.microsoft.com/office/drawing/2014/main" id="{3032B7E3-E9B0-B383-4A97-C90BFA52E63B}"/>
            </a:ext>
          </a:extLst>
        </xdr:cNvPr>
        <xdr:cNvSpPr txBox="1"/>
      </xdr:nvSpPr>
      <xdr:spPr>
        <a:xfrm>
          <a:off x="5161492"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E5860F32-8C03-47BA-BC87-4BC50A8000B0}" type="TxLink">
            <a:rPr lang="en-US" sz="900" b="1" i="0" u="none" strike="noStrike">
              <a:solidFill>
                <a:srgbClr val="1E8E5A"/>
              </a:solidFill>
              <a:latin typeface="Segoe UI" panose="020B0502040204020203" pitchFamily="34" charset="0"/>
              <a:cs typeface="Segoe UI"/>
            </a:rPr>
            <a:pPr/>
            <a:t>▲ 2.27x vs target</a:t>
          </a:fld>
          <a:endParaRPr lang="en-US" sz="1100" b="1">
            <a:solidFill>
              <a:srgbClr val="1E8E5A"/>
            </a:solidFill>
            <a:latin typeface="Segoe UI" panose="020B0502040204020203" pitchFamily="34" charset="0"/>
          </a:endParaRPr>
        </a:p>
      </xdr:txBody>
    </xdr:sp>
    <xdr:clientData/>
  </xdr:twoCellAnchor>
  <xdr:twoCellAnchor>
    <xdr:from>
      <xdr:col>3</xdr:col>
      <xdr:colOff>265642</xdr:colOff>
      <xdr:row>5</xdr:row>
      <xdr:rowOff>596900</xdr:rowOff>
    </xdr:from>
    <xdr:to>
      <xdr:col>6</xdr:col>
      <xdr:colOff>461434</xdr:colOff>
      <xdr:row>5</xdr:row>
      <xdr:rowOff>800100</xdr:rowOff>
    </xdr:to>
    <xdr:sp macro="" textlink="Analytics!$B$161">
      <xdr:nvSpPr>
        <xdr:cNvPr id="60" name="TextBox 59">
          <a:extLst>
            <a:ext uri="{FF2B5EF4-FFF2-40B4-BE49-F238E27FC236}">
              <a16:creationId xmlns:a16="http://schemas.microsoft.com/office/drawing/2014/main" id="{F66A46B9-B8C5-4D22-ACCE-5AAE7A821905}"/>
            </a:ext>
          </a:extLst>
        </xdr:cNvPr>
        <xdr:cNvSpPr txBox="1"/>
      </xdr:nvSpPr>
      <xdr:spPr>
        <a:xfrm>
          <a:off x="5161492"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D8695345-A0F5-4FF0-8F11-B8527BA1CE0C}" type="TxLink">
            <a:rPr lang="en-US" sz="900" b="1" i="0" u="none" strike="noStrike">
              <a:solidFill>
                <a:srgbClr val="C8372D"/>
              </a:solidFill>
              <a:latin typeface="Segoe UI" panose="020B0502040204020203" pitchFamily="34" charset="0"/>
              <a:cs typeface="Segoe UI"/>
            </a:rPr>
            <a:pPr/>
            <a:t> </a:t>
          </a:fld>
          <a:endParaRPr lang="en-US" sz="1100" b="1">
            <a:solidFill>
              <a:srgbClr val="C8372D"/>
            </a:solidFill>
            <a:latin typeface="Segoe UI" panose="020B0502040204020203" pitchFamily="34" charset="0"/>
          </a:endParaRPr>
        </a:p>
      </xdr:txBody>
    </xdr:sp>
    <xdr:clientData/>
  </xdr:twoCellAnchor>
  <xdr:twoCellAnchor>
    <xdr:from>
      <xdr:col>7</xdr:col>
      <xdr:colOff>86783</xdr:colOff>
      <xdr:row>5</xdr:row>
      <xdr:rowOff>63500</xdr:rowOff>
    </xdr:from>
    <xdr:to>
      <xdr:col>10</xdr:col>
      <xdr:colOff>384175</xdr:colOff>
      <xdr:row>5</xdr:row>
      <xdr:rowOff>850900</xdr:rowOff>
    </xdr:to>
    <xdr:sp macro="" textlink="">
      <xdr:nvSpPr>
        <xdr:cNvPr id="61" name="Rectangle: Rounded Corners 60">
          <a:extLst>
            <a:ext uri="{FF2B5EF4-FFF2-40B4-BE49-F238E27FC236}">
              <a16:creationId xmlns:a16="http://schemas.microsoft.com/office/drawing/2014/main" id="{4546420E-FFD4-F6AB-E9B0-053B40EDA1AA}"/>
            </a:ext>
          </a:extLst>
        </xdr:cNvPr>
        <xdr:cNvSpPr/>
      </xdr:nvSpPr>
      <xdr:spPr>
        <a:xfrm>
          <a:off x="7192433" y="19494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137583</xdr:colOff>
      <xdr:row>5</xdr:row>
      <xdr:rowOff>101600</xdr:rowOff>
    </xdr:from>
    <xdr:to>
      <xdr:col>10</xdr:col>
      <xdr:colOff>333375</xdr:colOff>
      <xdr:row>5</xdr:row>
      <xdr:rowOff>292100</xdr:rowOff>
    </xdr:to>
    <xdr:sp macro="" textlink="">
      <xdr:nvSpPr>
        <xdr:cNvPr id="62" name="TextBox 61">
          <a:extLst>
            <a:ext uri="{FF2B5EF4-FFF2-40B4-BE49-F238E27FC236}">
              <a16:creationId xmlns:a16="http://schemas.microsoft.com/office/drawing/2014/main" id="{CCBD3CB8-241C-FFDA-C522-81EF0C911848}"/>
            </a:ext>
          </a:extLst>
        </xdr:cNvPr>
        <xdr:cNvSpPr txBox="1"/>
      </xdr:nvSpPr>
      <xdr:spPr>
        <a:xfrm>
          <a:off x="7243233" y="19875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RECEIVABLE DAYS</a:t>
          </a:r>
        </a:p>
      </xdr:txBody>
    </xdr:sp>
    <xdr:clientData/>
  </xdr:twoCellAnchor>
  <xdr:twoCellAnchor>
    <xdr:from>
      <xdr:col>7</xdr:col>
      <xdr:colOff>137583</xdr:colOff>
      <xdr:row>5</xdr:row>
      <xdr:rowOff>241300</xdr:rowOff>
    </xdr:from>
    <xdr:to>
      <xdr:col>10</xdr:col>
      <xdr:colOff>333375</xdr:colOff>
      <xdr:row>5</xdr:row>
      <xdr:rowOff>596900</xdr:rowOff>
    </xdr:to>
    <xdr:sp macro="" textlink="Analytics!$B$162">
      <xdr:nvSpPr>
        <xdr:cNvPr id="63" name="kpi6_2">
          <a:extLst>
            <a:ext uri="{FF2B5EF4-FFF2-40B4-BE49-F238E27FC236}">
              <a16:creationId xmlns:a16="http://schemas.microsoft.com/office/drawing/2014/main" id="{20DA4374-5571-E546-09C3-448EA19F0BAD}"/>
            </a:ext>
          </a:extLst>
        </xdr:cNvPr>
        <xdr:cNvSpPr txBox="1"/>
      </xdr:nvSpPr>
      <xdr:spPr>
        <a:xfrm>
          <a:off x="7243233" y="21272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50B8D33F-4ECB-4AEC-84CC-EC35A117865B}" type="TxLink">
            <a:rPr lang="en-US" sz="1800" b="1" i="0" u="none" strike="noStrike">
              <a:solidFill>
                <a:srgbClr val="1F2937"/>
              </a:solidFill>
              <a:latin typeface="Segoe UI"/>
              <a:cs typeface="Segoe UI"/>
            </a:rPr>
            <a:pPr/>
            <a:t>46</a:t>
          </a:fld>
          <a:endParaRPr lang="en-US" sz="1800" b="1"/>
        </a:p>
      </xdr:txBody>
    </xdr:sp>
    <xdr:clientData/>
  </xdr:twoCellAnchor>
  <xdr:twoCellAnchor>
    <xdr:from>
      <xdr:col>7</xdr:col>
      <xdr:colOff>137583</xdr:colOff>
      <xdr:row>5</xdr:row>
      <xdr:rowOff>596900</xdr:rowOff>
    </xdr:from>
    <xdr:to>
      <xdr:col>10</xdr:col>
      <xdr:colOff>333375</xdr:colOff>
      <xdr:row>5</xdr:row>
      <xdr:rowOff>800100</xdr:rowOff>
    </xdr:to>
    <xdr:sp macro="" textlink="Analytics!$B$163">
      <xdr:nvSpPr>
        <xdr:cNvPr id="64" name="TextBox 63">
          <a:extLst>
            <a:ext uri="{FF2B5EF4-FFF2-40B4-BE49-F238E27FC236}">
              <a16:creationId xmlns:a16="http://schemas.microsoft.com/office/drawing/2014/main" id="{7A6B2222-8664-15AD-1D39-193C94A016BB}"/>
            </a:ext>
          </a:extLst>
        </xdr:cNvPr>
        <xdr:cNvSpPr txBox="1"/>
      </xdr:nvSpPr>
      <xdr:spPr>
        <a:xfrm>
          <a:off x="7243233"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D0B596E3-414F-47B8-A7A9-9954E540CC3A}"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7</xdr:col>
      <xdr:colOff>137583</xdr:colOff>
      <xdr:row>5</xdr:row>
      <xdr:rowOff>596900</xdr:rowOff>
    </xdr:from>
    <xdr:to>
      <xdr:col>10</xdr:col>
      <xdr:colOff>333375</xdr:colOff>
      <xdr:row>5</xdr:row>
      <xdr:rowOff>800100</xdr:rowOff>
    </xdr:to>
    <xdr:sp macro="" textlink="Analytics!$B$164">
      <xdr:nvSpPr>
        <xdr:cNvPr id="65" name="TextBox 64">
          <a:extLst>
            <a:ext uri="{FF2B5EF4-FFF2-40B4-BE49-F238E27FC236}">
              <a16:creationId xmlns:a16="http://schemas.microsoft.com/office/drawing/2014/main" id="{A1C6CB5D-DFC5-284B-D9DD-E0831622B1CD}"/>
            </a:ext>
          </a:extLst>
        </xdr:cNvPr>
        <xdr:cNvSpPr txBox="1"/>
      </xdr:nvSpPr>
      <xdr:spPr>
        <a:xfrm>
          <a:off x="7243233"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04B3B432-D282-4117-8A09-3B9457793612}" type="TxLink">
            <a:rPr lang="en-US" sz="900" b="1" i="0" u="none" strike="noStrike">
              <a:solidFill>
                <a:srgbClr val="C8372D"/>
              </a:solidFill>
              <a:latin typeface="Segoe UI" panose="020B0502040204020203" pitchFamily="34" charset="0"/>
              <a:cs typeface="Segoe UI"/>
            </a:rPr>
            <a:pPr/>
            <a:t>▲ 0.5 days vs target</a:t>
          </a:fld>
          <a:endParaRPr lang="en-US" sz="1100" b="1">
            <a:solidFill>
              <a:srgbClr val="C8372D"/>
            </a:solidFill>
            <a:latin typeface="Segoe UI" panose="020B0502040204020203" pitchFamily="34" charset="0"/>
          </a:endParaRPr>
        </a:p>
      </xdr:txBody>
    </xdr:sp>
    <xdr:clientData/>
  </xdr:twoCellAnchor>
  <xdr:twoCellAnchor>
    <xdr:from>
      <xdr:col>10</xdr:col>
      <xdr:colOff>511175</xdr:colOff>
      <xdr:row>5</xdr:row>
      <xdr:rowOff>63500</xdr:rowOff>
    </xdr:from>
    <xdr:to>
      <xdr:col>14</xdr:col>
      <xdr:colOff>256117</xdr:colOff>
      <xdr:row>5</xdr:row>
      <xdr:rowOff>850900</xdr:rowOff>
    </xdr:to>
    <xdr:sp macro="" textlink="">
      <xdr:nvSpPr>
        <xdr:cNvPr id="66" name="Rectangle: Rounded Corners 65">
          <a:extLst>
            <a:ext uri="{FF2B5EF4-FFF2-40B4-BE49-F238E27FC236}">
              <a16:creationId xmlns:a16="http://schemas.microsoft.com/office/drawing/2014/main" id="{13E63F94-D9C8-0BC5-817D-FADFC6787E1B}"/>
            </a:ext>
          </a:extLst>
        </xdr:cNvPr>
        <xdr:cNvSpPr/>
      </xdr:nvSpPr>
      <xdr:spPr>
        <a:xfrm>
          <a:off x="9274175" y="19494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5</xdr:row>
      <xdr:rowOff>101600</xdr:rowOff>
    </xdr:from>
    <xdr:to>
      <xdr:col>14</xdr:col>
      <xdr:colOff>205317</xdr:colOff>
      <xdr:row>5</xdr:row>
      <xdr:rowOff>292100</xdr:rowOff>
    </xdr:to>
    <xdr:sp macro="" textlink="">
      <xdr:nvSpPr>
        <xdr:cNvPr id="67" name="TextBox 66">
          <a:extLst>
            <a:ext uri="{FF2B5EF4-FFF2-40B4-BE49-F238E27FC236}">
              <a16:creationId xmlns:a16="http://schemas.microsoft.com/office/drawing/2014/main" id="{7B441AC0-DBAC-7111-E3FE-12CA00FDA2CE}"/>
            </a:ext>
          </a:extLst>
        </xdr:cNvPr>
        <xdr:cNvSpPr txBox="1"/>
      </xdr:nvSpPr>
      <xdr:spPr>
        <a:xfrm>
          <a:off x="9324975" y="19875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CASH CONVERSION CYCLE</a:t>
          </a:r>
        </a:p>
      </xdr:txBody>
    </xdr:sp>
    <xdr:clientData/>
  </xdr:twoCellAnchor>
  <xdr:twoCellAnchor>
    <xdr:from>
      <xdr:col>11</xdr:col>
      <xdr:colOff>9525</xdr:colOff>
      <xdr:row>5</xdr:row>
      <xdr:rowOff>241300</xdr:rowOff>
    </xdr:from>
    <xdr:to>
      <xdr:col>14</xdr:col>
      <xdr:colOff>205317</xdr:colOff>
      <xdr:row>5</xdr:row>
      <xdr:rowOff>596900</xdr:rowOff>
    </xdr:to>
    <xdr:sp macro="" textlink="Analytics!$B$165">
      <xdr:nvSpPr>
        <xdr:cNvPr id="68" name="kpi6_3">
          <a:extLst>
            <a:ext uri="{FF2B5EF4-FFF2-40B4-BE49-F238E27FC236}">
              <a16:creationId xmlns:a16="http://schemas.microsoft.com/office/drawing/2014/main" id="{827F28E9-C49C-BD4C-FD52-7AEFFF6AEB88}"/>
            </a:ext>
          </a:extLst>
        </xdr:cNvPr>
        <xdr:cNvSpPr txBox="1"/>
      </xdr:nvSpPr>
      <xdr:spPr>
        <a:xfrm>
          <a:off x="9324975" y="21272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2C0A84F4-69F5-4201-AE4D-1CBB89EC10AA}" type="TxLink">
            <a:rPr lang="en-US" sz="1800" b="1" i="0" u="none" strike="noStrike">
              <a:solidFill>
                <a:srgbClr val="1F2937"/>
              </a:solidFill>
              <a:latin typeface="Segoe UI"/>
              <a:cs typeface="Segoe UI"/>
            </a:rPr>
            <a:pPr/>
            <a:t>64 days</a:t>
          </a:fld>
          <a:endParaRPr lang="en-US" sz="1800" b="1"/>
        </a:p>
      </xdr:txBody>
    </xdr:sp>
    <xdr:clientData/>
  </xdr:twoCellAnchor>
  <xdr:twoCellAnchor>
    <xdr:from>
      <xdr:col>11</xdr:col>
      <xdr:colOff>9525</xdr:colOff>
      <xdr:row>5</xdr:row>
      <xdr:rowOff>596900</xdr:rowOff>
    </xdr:from>
    <xdr:to>
      <xdr:col>14</xdr:col>
      <xdr:colOff>205317</xdr:colOff>
      <xdr:row>5</xdr:row>
      <xdr:rowOff>800100</xdr:rowOff>
    </xdr:to>
    <xdr:sp macro="" textlink="Analytics!$B$166">
      <xdr:nvSpPr>
        <xdr:cNvPr id="69" name="TextBox 68">
          <a:extLst>
            <a:ext uri="{FF2B5EF4-FFF2-40B4-BE49-F238E27FC236}">
              <a16:creationId xmlns:a16="http://schemas.microsoft.com/office/drawing/2014/main" id="{F1883C97-3531-539C-EECC-6695249E8043}"/>
            </a:ext>
          </a:extLst>
        </xdr:cNvPr>
        <xdr:cNvSpPr txBox="1"/>
      </xdr:nvSpPr>
      <xdr:spPr>
        <a:xfrm>
          <a:off x="9324975"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1BA902A6-D5DE-4CF2-B9A4-467AC2C69886}"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11</xdr:col>
      <xdr:colOff>9525</xdr:colOff>
      <xdr:row>5</xdr:row>
      <xdr:rowOff>596900</xdr:rowOff>
    </xdr:from>
    <xdr:to>
      <xdr:col>14</xdr:col>
      <xdr:colOff>205317</xdr:colOff>
      <xdr:row>5</xdr:row>
      <xdr:rowOff>800100</xdr:rowOff>
    </xdr:to>
    <xdr:sp macro="" textlink="Analytics!$B$167">
      <xdr:nvSpPr>
        <xdr:cNvPr id="70" name="TextBox 69">
          <a:extLst>
            <a:ext uri="{FF2B5EF4-FFF2-40B4-BE49-F238E27FC236}">
              <a16:creationId xmlns:a16="http://schemas.microsoft.com/office/drawing/2014/main" id="{71F2FB12-3B51-4A47-E6CE-525C1F7E50A4}"/>
            </a:ext>
          </a:extLst>
        </xdr:cNvPr>
        <xdr:cNvSpPr txBox="1"/>
      </xdr:nvSpPr>
      <xdr:spPr>
        <a:xfrm>
          <a:off x="9324975"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DA2E45B2-1AD8-4025-8152-AE0654406BAF}" type="TxLink">
            <a:rPr lang="en-US" sz="900" b="1" i="0" u="none" strike="noStrike">
              <a:solidFill>
                <a:srgbClr val="C8372D"/>
              </a:solidFill>
              <a:latin typeface="Segoe UI" panose="020B0502040204020203" pitchFamily="34" charset="0"/>
              <a:cs typeface="Segoe UI"/>
            </a:rPr>
            <a:pPr/>
            <a:t>▲ 3.9 days vs target</a:t>
          </a:fld>
          <a:endParaRPr lang="en-US" sz="1100" b="1">
            <a:solidFill>
              <a:srgbClr val="C8372D"/>
            </a:solidFill>
            <a:latin typeface="Segoe UI" panose="020B0502040204020203" pitchFamily="34" charset="0"/>
          </a:endParaRPr>
        </a:p>
      </xdr:txBody>
    </xdr:sp>
    <xdr:clientData/>
  </xdr:twoCellAnchor>
  <xdr:twoCellAnchor>
    <xdr:from>
      <xdr:col>14</xdr:col>
      <xdr:colOff>383117</xdr:colOff>
      <xdr:row>5</xdr:row>
      <xdr:rowOff>63500</xdr:rowOff>
    </xdr:from>
    <xdr:to>
      <xdr:col>18</xdr:col>
      <xdr:colOff>128059</xdr:colOff>
      <xdr:row>5</xdr:row>
      <xdr:rowOff>850900</xdr:rowOff>
    </xdr:to>
    <xdr:sp macro="" textlink="">
      <xdr:nvSpPr>
        <xdr:cNvPr id="71" name="Rectangle: Rounded Corners 70">
          <a:extLst>
            <a:ext uri="{FF2B5EF4-FFF2-40B4-BE49-F238E27FC236}">
              <a16:creationId xmlns:a16="http://schemas.microsoft.com/office/drawing/2014/main" id="{0CBEAE42-329C-DE47-29E9-A23863B6259B}"/>
            </a:ext>
          </a:extLst>
        </xdr:cNvPr>
        <xdr:cNvSpPr/>
      </xdr:nvSpPr>
      <xdr:spPr>
        <a:xfrm>
          <a:off x="11355917" y="1949450"/>
          <a:ext cx="1954742"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433917</xdr:colOff>
      <xdr:row>5</xdr:row>
      <xdr:rowOff>101600</xdr:rowOff>
    </xdr:from>
    <xdr:to>
      <xdr:col>18</xdr:col>
      <xdr:colOff>77259</xdr:colOff>
      <xdr:row>5</xdr:row>
      <xdr:rowOff>292100</xdr:rowOff>
    </xdr:to>
    <xdr:sp macro="" textlink="">
      <xdr:nvSpPr>
        <xdr:cNvPr id="72" name="TextBox 71">
          <a:extLst>
            <a:ext uri="{FF2B5EF4-FFF2-40B4-BE49-F238E27FC236}">
              <a16:creationId xmlns:a16="http://schemas.microsoft.com/office/drawing/2014/main" id="{322B03B2-CA3B-3169-AB21-D1DFDADA0225}"/>
            </a:ext>
          </a:extLst>
        </xdr:cNvPr>
        <xdr:cNvSpPr txBox="1"/>
      </xdr:nvSpPr>
      <xdr:spPr>
        <a:xfrm>
          <a:off x="11406717" y="19875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MONTHS OF COST COVER</a:t>
          </a:r>
        </a:p>
      </xdr:txBody>
    </xdr:sp>
    <xdr:clientData/>
  </xdr:twoCellAnchor>
  <xdr:twoCellAnchor>
    <xdr:from>
      <xdr:col>14</xdr:col>
      <xdr:colOff>433917</xdr:colOff>
      <xdr:row>5</xdr:row>
      <xdr:rowOff>241300</xdr:rowOff>
    </xdr:from>
    <xdr:to>
      <xdr:col>18</xdr:col>
      <xdr:colOff>77259</xdr:colOff>
      <xdr:row>5</xdr:row>
      <xdr:rowOff>596900</xdr:rowOff>
    </xdr:to>
    <xdr:sp macro="" textlink="Analytics!$B$168">
      <xdr:nvSpPr>
        <xdr:cNvPr id="73" name="kpi6_4">
          <a:extLst>
            <a:ext uri="{FF2B5EF4-FFF2-40B4-BE49-F238E27FC236}">
              <a16:creationId xmlns:a16="http://schemas.microsoft.com/office/drawing/2014/main" id="{E3C77273-C90C-80B6-894E-08DDD1790EDD}"/>
            </a:ext>
          </a:extLst>
        </xdr:cNvPr>
        <xdr:cNvSpPr txBox="1"/>
      </xdr:nvSpPr>
      <xdr:spPr>
        <a:xfrm>
          <a:off x="11406717" y="21272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41561D5D-D2B1-45DE-871A-8D3941B745CE}" type="TxLink">
            <a:rPr lang="en-US" sz="1800" b="1" i="0" u="none" strike="noStrike">
              <a:solidFill>
                <a:srgbClr val="1F2937"/>
              </a:solidFill>
              <a:latin typeface="Segoe UI"/>
              <a:cs typeface="Segoe UI"/>
            </a:rPr>
            <a:pPr/>
            <a:t>1.2</a:t>
          </a:fld>
          <a:endParaRPr lang="en-US" sz="1800" b="1"/>
        </a:p>
      </xdr:txBody>
    </xdr:sp>
    <xdr:clientData/>
  </xdr:twoCellAnchor>
  <xdr:twoCellAnchor>
    <xdr:from>
      <xdr:col>14</xdr:col>
      <xdr:colOff>433917</xdr:colOff>
      <xdr:row>5</xdr:row>
      <xdr:rowOff>596900</xdr:rowOff>
    </xdr:from>
    <xdr:to>
      <xdr:col>18</xdr:col>
      <xdr:colOff>77259</xdr:colOff>
      <xdr:row>5</xdr:row>
      <xdr:rowOff>800100</xdr:rowOff>
    </xdr:to>
    <xdr:sp macro="" textlink="Analytics!$B$169">
      <xdr:nvSpPr>
        <xdr:cNvPr id="74" name="TextBox 73">
          <a:extLst>
            <a:ext uri="{FF2B5EF4-FFF2-40B4-BE49-F238E27FC236}">
              <a16:creationId xmlns:a16="http://schemas.microsoft.com/office/drawing/2014/main" id="{5968D4D8-6B4C-30DC-BEC0-DD19380A6610}"/>
            </a:ext>
          </a:extLst>
        </xdr:cNvPr>
        <xdr:cNvSpPr txBox="1"/>
      </xdr:nvSpPr>
      <xdr:spPr>
        <a:xfrm>
          <a:off x="11406717"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F0372FC8-E33E-4DD8-9DFC-03C127DC8AD9}"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14</xdr:col>
      <xdr:colOff>433917</xdr:colOff>
      <xdr:row>5</xdr:row>
      <xdr:rowOff>596900</xdr:rowOff>
    </xdr:from>
    <xdr:to>
      <xdr:col>18</xdr:col>
      <xdr:colOff>77259</xdr:colOff>
      <xdr:row>5</xdr:row>
      <xdr:rowOff>800100</xdr:rowOff>
    </xdr:to>
    <xdr:sp macro="" textlink="Analytics!$B$170">
      <xdr:nvSpPr>
        <xdr:cNvPr id="75" name="TextBox 74">
          <a:extLst>
            <a:ext uri="{FF2B5EF4-FFF2-40B4-BE49-F238E27FC236}">
              <a16:creationId xmlns:a16="http://schemas.microsoft.com/office/drawing/2014/main" id="{8CCCCA87-B2A4-C252-FBF8-E5A346C93CFE}"/>
            </a:ext>
          </a:extLst>
        </xdr:cNvPr>
        <xdr:cNvSpPr txBox="1"/>
      </xdr:nvSpPr>
      <xdr:spPr>
        <a:xfrm>
          <a:off x="11406717"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1DF9A4BE-F2E5-4190-8CE0-A6BBF4C67316}" type="TxLink">
            <a:rPr lang="en-US" sz="900" b="1" i="0" u="none" strike="noStrike">
              <a:solidFill>
                <a:srgbClr val="C8372D"/>
              </a:solidFill>
              <a:latin typeface="Segoe UI" panose="020B0502040204020203" pitchFamily="34" charset="0"/>
              <a:cs typeface="Segoe UI"/>
            </a:rPr>
            <a:pPr/>
            <a:t>▼ 0.8 months vs target</a:t>
          </a:fld>
          <a:endParaRPr lang="en-US" sz="1100" b="1">
            <a:solidFill>
              <a:srgbClr val="C8372D"/>
            </a:solidFill>
            <a:latin typeface="Segoe UI" panose="020B0502040204020203" pitchFamily="34" charset="0"/>
          </a:endParaRPr>
        </a:p>
      </xdr:txBody>
    </xdr:sp>
    <xdr:clientData/>
  </xdr:twoCellAnchor>
  <xdr:twoCellAnchor>
    <xdr:from>
      <xdr:col>18</xdr:col>
      <xdr:colOff>255059</xdr:colOff>
      <xdr:row>5</xdr:row>
      <xdr:rowOff>63500</xdr:rowOff>
    </xdr:from>
    <xdr:to>
      <xdr:col>22</xdr:col>
      <xdr:colOff>0</xdr:colOff>
      <xdr:row>5</xdr:row>
      <xdr:rowOff>850900</xdr:rowOff>
    </xdr:to>
    <xdr:sp macro="" textlink="">
      <xdr:nvSpPr>
        <xdr:cNvPr id="76" name="Rectangle: Rounded Corners 75">
          <a:extLst>
            <a:ext uri="{FF2B5EF4-FFF2-40B4-BE49-F238E27FC236}">
              <a16:creationId xmlns:a16="http://schemas.microsoft.com/office/drawing/2014/main" id="{FA90EA47-EFDA-7685-6A22-7270D8CEA9AB}"/>
            </a:ext>
          </a:extLst>
        </xdr:cNvPr>
        <xdr:cNvSpPr/>
      </xdr:nvSpPr>
      <xdr:spPr>
        <a:xfrm>
          <a:off x="13437659" y="1949450"/>
          <a:ext cx="1954741" cy="787400"/>
        </a:xfrm>
        <a:prstGeom prst="roundRect">
          <a:avLst>
            <a:gd name="adj" fmla="val 12000"/>
          </a:avLst>
        </a:prstGeom>
        <a:solidFill>
          <a:srgbClr val="FFFFFF"/>
        </a:solidFill>
        <a:ln w="25400" cap="flat" cmpd="sng" algn="ctr">
          <a:noFill/>
          <a:prstDash val="solid"/>
        </a:ln>
        <a:effectLst>
          <a:outerShdw blurRad="101600" dist="25400" dir="5400000" rotWithShape="0">
            <a:srgbClr val="10243E">
              <a:alpha val="18000"/>
            </a:srgbClr>
          </a:outerShdw>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305859</xdr:colOff>
      <xdr:row>5</xdr:row>
      <xdr:rowOff>101600</xdr:rowOff>
    </xdr:from>
    <xdr:to>
      <xdr:col>21</xdr:col>
      <xdr:colOff>501651</xdr:colOff>
      <xdr:row>5</xdr:row>
      <xdr:rowOff>292100</xdr:rowOff>
    </xdr:to>
    <xdr:sp macro="" textlink="">
      <xdr:nvSpPr>
        <xdr:cNvPr id="77" name="TextBox 76">
          <a:extLst>
            <a:ext uri="{FF2B5EF4-FFF2-40B4-BE49-F238E27FC236}">
              <a16:creationId xmlns:a16="http://schemas.microsoft.com/office/drawing/2014/main" id="{9CFDB452-9B96-EF13-13B9-4ABE62A1FC8B}"/>
            </a:ext>
          </a:extLst>
        </xdr:cNvPr>
        <xdr:cNvSpPr txBox="1"/>
      </xdr:nvSpPr>
      <xdr:spPr>
        <a:xfrm>
          <a:off x="13488459" y="1987550"/>
          <a:ext cx="1853142" cy="1905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700" b="1">
              <a:solidFill>
                <a:srgbClr val="6B7280"/>
              </a:solidFill>
              <a:latin typeface="Segoe UI" panose="020B0502040204020203" pitchFamily="34" charset="0"/>
            </a:rPr>
            <a:t>FULL-YEAR EBITDA OUTLOOK</a:t>
          </a:r>
        </a:p>
      </xdr:txBody>
    </xdr:sp>
    <xdr:clientData/>
  </xdr:twoCellAnchor>
  <xdr:twoCellAnchor>
    <xdr:from>
      <xdr:col>18</xdr:col>
      <xdr:colOff>305859</xdr:colOff>
      <xdr:row>5</xdr:row>
      <xdr:rowOff>241300</xdr:rowOff>
    </xdr:from>
    <xdr:to>
      <xdr:col>21</xdr:col>
      <xdr:colOff>501651</xdr:colOff>
      <xdr:row>5</xdr:row>
      <xdr:rowOff>596900</xdr:rowOff>
    </xdr:to>
    <xdr:sp macro="" textlink="Analytics!$B$171">
      <xdr:nvSpPr>
        <xdr:cNvPr id="78" name="kpi6_5">
          <a:extLst>
            <a:ext uri="{FF2B5EF4-FFF2-40B4-BE49-F238E27FC236}">
              <a16:creationId xmlns:a16="http://schemas.microsoft.com/office/drawing/2014/main" id="{B6BC2C37-2D9A-3473-5163-043F406B055A}"/>
            </a:ext>
          </a:extLst>
        </xdr:cNvPr>
        <xdr:cNvSpPr txBox="1"/>
      </xdr:nvSpPr>
      <xdr:spPr>
        <a:xfrm>
          <a:off x="13488459" y="2127250"/>
          <a:ext cx="1853142" cy="355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D928DF34-03CA-4411-897C-2EAD9AC84A2E}" type="TxLink">
            <a:rPr lang="en-US" sz="1800" b="1" i="0" u="none" strike="noStrike">
              <a:solidFill>
                <a:srgbClr val="1F2937"/>
              </a:solidFill>
              <a:latin typeface="Segoe UI"/>
              <a:cs typeface="Segoe UI"/>
            </a:rPr>
            <a:pPr/>
            <a:t>$3.14m</a:t>
          </a:fld>
          <a:endParaRPr lang="en-US" sz="1800" b="1"/>
        </a:p>
      </xdr:txBody>
    </xdr:sp>
    <xdr:clientData/>
  </xdr:twoCellAnchor>
  <xdr:twoCellAnchor>
    <xdr:from>
      <xdr:col>18</xdr:col>
      <xdr:colOff>305859</xdr:colOff>
      <xdr:row>5</xdr:row>
      <xdr:rowOff>596900</xdr:rowOff>
    </xdr:from>
    <xdr:to>
      <xdr:col>21</xdr:col>
      <xdr:colOff>501651</xdr:colOff>
      <xdr:row>5</xdr:row>
      <xdr:rowOff>800100</xdr:rowOff>
    </xdr:to>
    <xdr:sp macro="" textlink="Analytics!$B$172">
      <xdr:nvSpPr>
        <xdr:cNvPr id="79" name="TextBox 78">
          <a:extLst>
            <a:ext uri="{FF2B5EF4-FFF2-40B4-BE49-F238E27FC236}">
              <a16:creationId xmlns:a16="http://schemas.microsoft.com/office/drawing/2014/main" id="{1C0DFC94-C9C2-B9FB-9B9C-7AE5286C74A8}"/>
            </a:ext>
          </a:extLst>
        </xdr:cNvPr>
        <xdr:cNvSpPr txBox="1"/>
      </xdr:nvSpPr>
      <xdr:spPr>
        <a:xfrm>
          <a:off x="13488459"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34057C47-B452-4F7F-8121-66B7B5106421}" type="TxLink">
            <a:rPr lang="en-US" sz="900" b="1" i="0" u="none" strike="noStrike">
              <a:solidFill>
                <a:srgbClr val="1E8E5A"/>
              </a:solidFill>
              <a:latin typeface="Segoe UI" panose="020B0502040204020203" pitchFamily="34" charset="0"/>
              <a:cs typeface="Segoe UI"/>
            </a:rPr>
            <a:pPr/>
            <a:t> </a:t>
          </a:fld>
          <a:endParaRPr lang="en-US" sz="1100" b="1">
            <a:solidFill>
              <a:srgbClr val="1E8E5A"/>
            </a:solidFill>
            <a:latin typeface="Segoe UI" panose="020B0502040204020203" pitchFamily="34" charset="0"/>
          </a:endParaRPr>
        </a:p>
      </xdr:txBody>
    </xdr:sp>
    <xdr:clientData/>
  </xdr:twoCellAnchor>
  <xdr:twoCellAnchor>
    <xdr:from>
      <xdr:col>18</xdr:col>
      <xdr:colOff>305859</xdr:colOff>
      <xdr:row>5</xdr:row>
      <xdr:rowOff>596900</xdr:rowOff>
    </xdr:from>
    <xdr:to>
      <xdr:col>21</xdr:col>
      <xdr:colOff>501651</xdr:colOff>
      <xdr:row>5</xdr:row>
      <xdr:rowOff>800100</xdr:rowOff>
    </xdr:to>
    <xdr:sp macro="" textlink="Analytics!$B$173">
      <xdr:nvSpPr>
        <xdr:cNvPr id="80" name="TextBox 79">
          <a:extLst>
            <a:ext uri="{FF2B5EF4-FFF2-40B4-BE49-F238E27FC236}">
              <a16:creationId xmlns:a16="http://schemas.microsoft.com/office/drawing/2014/main" id="{79BD5AD2-A073-3E74-A06F-A0A5B146D68D}"/>
            </a:ext>
          </a:extLst>
        </xdr:cNvPr>
        <xdr:cNvSpPr txBox="1"/>
      </xdr:nvSpPr>
      <xdr:spPr>
        <a:xfrm>
          <a:off x="13488459" y="2482850"/>
          <a:ext cx="1853142" cy="203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fld id="{06469803-AF01-4A57-B955-C161FCEDA082}" type="TxLink">
            <a:rPr lang="en-US" sz="900" b="1" i="0" u="none" strike="noStrike">
              <a:solidFill>
                <a:srgbClr val="C8372D"/>
              </a:solidFill>
              <a:latin typeface="Segoe UI" panose="020B0502040204020203" pitchFamily="34" charset="0"/>
              <a:cs typeface="Segoe UI"/>
            </a:rPr>
            <a:pPr/>
            <a:t>▼ 8.5% vs budget</a:t>
          </a:fld>
          <a:endParaRPr lang="en-US" sz="1100" b="1">
            <a:solidFill>
              <a:srgbClr val="C8372D"/>
            </a:solidFill>
            <a:latin typeface="Segoe UI" panose="020B0502040204020203" pitchFamily="34" charset="0"/>
          </a:endParaRPr>
        </a:p>
      </xdr:txBody>
    </xdr:sp>
    <xdr:clientData/>
  </xdr:twoCellAnchor>
  <xdr:twoCellAnchor editAs="absolute">
    <xdr:from>
      <xdr:col>0</xdr:col>
      <xdr:colOff>152400</xdr:colOff>
      <xdr:row>5</xdr:row>
      <xdr:rowOff>239183</xdr:rowOff>
    </xdr:from>
    <xdr:to>
      <xdr:col>0</xdr:col>
      <xdr:colOff>2794000</xdr:colOff>
      <xdr:row>9</xdr:row>
      <xdr:rowOff>357717</xdr:rowOff>
    </xdr:to>
    <mc:AlternateContent xmlns:mc="http://schemas.openxmlformats.org/markup-compatibility/2006" xmlns:sle15="http://schemas.microsoft.com/office/drawing/2012/slicer">
      <mc:Choice Requires="sle15">
        <xdr:graphicFrame macro="">
          <xdr:nvGraphicFramePr>
            <xdr:cNvPr id="81" name="s1">
              <a:extLst>
                <a:ext uri="{FF2B5EF4-FFF2-40B4-BE49-F238E27FC236}">
                  <a16:creationId xmlns:a16="http://schemas.microsoft.com/office/drawing/2014/main" id="{AA05E03A-C026-9A67-2532-E534DD27BEE4}"/>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1"/>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152400</xdr:colOff>
      <xdr:row>9</xdr:row>
      <xdr:rowOff>433917</xdr:rowOff>
    </xdr:from>
    <xdr:to>
      <xdr:col>0</xdr:col>
      <xdr:colOff>2794000</xdr:colOff>
      <xdr:row>11</xdr:row>
      <xdr:rowOff>0</xdr:rowOff>
    </xdr:to>
    <mc:AlternateContent xmlns:mc="http://schemas.openxmlformats.org/markup-compatibility/2006" xmlns:sle15="http://schemas.microsoft.com/office/drawing/2012/slicer">
      <mc:Choice Requires="sle15">
        <xdr:graphicFrame macro="">
          <xdr:nvGraphicFramePr>
            <xdr:cNvPr id="82" name="s2">
              <a:extLst>
                <a:ext uri="{FF2B5EF4-FFF2-40B4-BE49-F238E27FC236}">
                  <a16:creationId xmlns:a16="http://schemas.microsoft.com/office/drawing/2014/main" id="{5BF92EF3-11D5-460A-5181-9B72519A0B01}"/>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2"/>
            </a:graphicData>
          </a:graphic>
        </xdr:graphicFrame>
      </mc:Choice>
      <mc:Fallback xmlns="">
        <xdr:sp macro="" textlink="">
          <xdr:nvSpPr>
            <xdr:cNvPr id="0" name=""/>
            <xdr:cNvSpPr>
              <a:spLocks noTextEdit="1"/>
            </xdr:cNvSpPr>
          </xdr:nvSpPr>
          <xdr:spPr>
            <a:xfrm>
              <a:off x="152400" y="3810000"/>
              <a:ext cx="2641600" cy="762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152400</xdr:colOff>
      <xdr:row>11</xdr:row>
      <xdr:rowOff>76200</xdr:rowOff>
    </xdr:from>
    <xdr:to>
      <xdr:col>0</xdr:col>
      <xdr:colOff>2794000</xdr:colOff>
      <xdr:row>18</xdr:row>
      <xdr:rowOff>63500</xdr:rowOff>
    </xdr:to>
    <mc:AlternateContent xmlns:mc="http://schemas.openxmlformats.org/markup-compatibility/2006" xmlns:sle15="http://schemas.microsoft.com/office/drawing/2012/slicer">
      <mc:Choice Requires="sle15">
        <xdr:graphicFrame macro="">
          <xdr:nvGraphicFramePr>
            <xdr:cNvPr id="83" name="s3">
              <a:extLst>
                <a:ext uri="{FF2B5EF4-FFF2-40B4-BE49-F238E27FC236}">
                  <a16:creationId xmlns:a16="http://schemas.microsoft.com/office/drawing/2014/main" id="{C5B54EE5-515A-7B34-28CB-106EBC332AC3}"/>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3"/>
            </a:graphicData>
          </a:graphic>
        </xdr:graphicFrame>
      </mc:Choice>
      <mc:Fallback xmlns="">
        <xdr:sp macro="" textlink="">
          <xdr:nvSpPr>
            <xdr:cNvPr id="0" name=""/>
            <xdr:cNvSpPr>
              <a:spLocks noTextEdit="1"/>
            </xdr:cNvSpPr>
          </xdr:nvSpPr>
          <xdr:spPr>
            <a:xfrm>
              <a:off x="152400" y="4648200"/>
              <a:ext cx="2641600" cy="13208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152400</xdr:colOff>
      <xdr:row>18</xdr:row>
      <xdr:rowOff>139700</xdr:rowOff>
    </xdr:from>
    <xdr:to>
      <xdr:col>0</xdr:col>
      <xdr:colOff>2794000</xdr:colOff>
      <xdr:row>35</xdr:row>
      <xdr:rowOff>103717</xdr:rowOff>
    </xdr:to>
    <mc:AlternateContent xmlns:mc="http://schemas.openxmlformats.org/markup-compatibility/2006" xmlns:sle15="http://schemas.microsoft.com/office/drawing/2012/slicer">
      <mc:Choice Requires="sle15">
        <xdr:graphicFrame macro="">
          <xdr:nvGraphicFramePr>
            <xdr:cNvPr id="84" name="s4">
              <a:extLst>
                <a:ext uri="{FF2B5EF4-FFF2-40B4-BE49-F238E27FC236}">
                  <a16:creationId xmlns:a16="http://schemas.microsoft.com/office/drawing/2014/main" id="{4DAD5199-63A0-B277-C1FF-2C153E17A21A}"/>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4"/>
            </a:graphicData>
          </a:graphic>
        </xdr:graphicFrame>
      </mc:Choice>
      <mc:Fallback xmlns="">
        <xdr:sp macro="" textlink="">
          <xdr:nvSpPr>
            <xdr:cNvPr id="0" name=""/>
            <xdr:cNvSpPr>
              <a:spLocks noTextEdit="1"/>
            </xdr:cNvSpPr>
          </xdr:nvSpPr>
          <xdr:spPr>
            <a:xfrm>
              <a:off x="152400" y="6045200"/>
              <a:ext cx="2641600" cy="32766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0</xdr:colOff>
      <xdr:row>43</xdr:row>
      <xdr:rowOff>0</xdr:rowOff>
    </xdr:from>
    <xdr:to>
      <xdr:col>9</xdr:col>
      <xdr:colOff>390525</xdr:colOff>
      <xdr:row>57</xdr:row>
      <xdr:rowOff>95250</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9</xdr:col>
      <xdr:colOff>504825</xdr:colOff>
      <xdr:row>43</xdr:row>
      <xdr:rowOff>0</xdr:rowOff>
    </xdr:from>
    <xdr:to>
      <xdr:col>19</xdr:col>
      <xdr:colOff>0</xdr:colOff>
      <xdr:row>57</xdr:row>
      <xdr:rowOff>95250</xdr:rowOff>
    </xdr:to>
    <xdr:graphicFrame macro="">
      <xdr:nvGraphicFramePr>
        <xdr:cNvPr id="3" name="Chart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2</xdr:col>
      <xdr:colOff>0</xdr:colOff>
      <xdr:row>59</xdr:row>
      <xdr:rowOff>0</xdr:rowOff>
    </xdr:from>
    <xdr:to>
      <xdr:col>9</xdr:col>
      <xdr:colOff>390525</xdr:colOff>
      <xdr:row>73</xdr:row>
      <xdr:rowOff>95250</xdr:rowOff>
    </xdr:to>
    <xdr:graphicFrame macro="">
      <xdr:nvGraphicFramePr>
        <xdr:cNvPr id="4" name="Chart 3">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9</xdr:col>
      <xdr:colOff>504825</xdr:colOff>
      <xdr:row>59</xdr:row>
      <xdr:rowOff>0</xdr:rowOff>
    </xdr:from>
    <xdr:to>
      <xdr:col>19</xdr:col>
      <xdr:colOff>0</xdr:colOff>
      <xdr:row>73</xdr:row>
      <xdr:rowOff>95250</xdr:rowOff>
    </xdr:to>
    <xdr:graphicFrame macro="">
      <xdr:nvGraphicFramePr>
        <xdr:cNvPr id="5" name="Chart 4">
          <a:extLst>
            <a:ext uri="{FF2B5EF4-FFF2-40B4-BE49-F238E27FC236}">
              <a16:creationId xmlns:a16="http://schemas.microsoft.com/office/drawing/2014/main" id="{00000000-0008-0000-0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152400</xdr:colOff>
      <xdr:row>0</xdr:row>
      <xdr:rowOff>127000</xdr:rowOff>
    </xdr:from>
    <xdr:to>
      <xdr:col>0</xdr:col>
      <xdr:colOff>2794000</xdr:colOff>
      <xdr:row>0</xdr:row>
      <xdr:rowOff>457200</xdr:rowOff>
    </xdr:to>
    <xdr:sp macro="" textlink="">
      <xdr:nvSpPr>
        <xdr:cNvPr id="6" name="TextBox 5">
          <a:extLst>
            <a:ext uri="{FF2B5EF4-FFF2-40B4-BE49-F238E27FC236}">
              <a16:creationId xmlns:a16="http://schemas.microsoft.com/office/drawing/2014/main" id="{1929E30F-85B7-B96C-3192-603DE96BD384}"/>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0</xdr:row>
      <xdr:rowOff>457200</xdr:rowOff>
    </xdr:from>
    <xdr:to>
      <xdr:col>0</xdr:col>
      <xdr:colOff>2794000</xdr:colOff>
      <xdr:row>1</xdr:row>
      <xdr:rowOff>167217</xdr:rowOff>
    </xdr:to>
    <xdr:sp macro="" textlink="">
      <xdr:nvSpPr>
        <xdr:cNvPr id="7" name="TextBox 6">
          <a:extLst>
            <a:ext uri="{FF2B5EF4-FFF2-40B4-BE49-F238E27FC236}">
              <a16:creationId xmlns:a16="http://schemas.microsoft.com/office/drawing/2014/main" id="{5A4871F4-2357-21F4-3492-DC35F6169781}"/>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1</xdr:row>
      <xdr:rowOff>243417</xdr:rowOff>
    </xdr:from>
    <xdr:to>
      <xdr:col>0</xdr:col>
      <xdr:colOff>1447800</xdr:colOff>
      <xdr:row>3</xdr:row>
      <xdr:rowOff>99483</xdr:rowOff>
    </xdr:to>
    <xdr:sp macro="" textlink="">
      <xdr:nvSpPr>
        <xdr:cNvPr id="8" name="Rectangle: Rounded Corners 7">
          <a:hlinkClick xmlns:r="http://schemas.openxmlformats.org/officeDocument/2006/relationships" r:id="rId5" tooltip="Dashboard"/>
          <a:extLst>
            <a:ext uri="{FF2B5EF4-FFF2-40B4-BE49-F238E27FC236}">
              <a16:creationId xmlns:a16="http://schemas.microsoft.com/office/drawing/2014/main" id="{EC6E0280-F8A0-0B97-695A-98682C8CA3FF}"/>
            </a:ext>
          </a:extLst>
        </xdr:cNvPr>
        <xdr:cNvSpPr/>
      </xdr:nvSpPr>
      <xdr:spPr>
        <a:xfrm>
          <a:off x="1524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Dashboard</a:t>
          </a:r>
        </a:p>
      </xdr:txBody>
    </xdr:sp>
    <xdr:clientData/>
  </xdr:twoCellAnchor>
  <xdr:twoCellAnchor>
    <xdr:from>
      <xdr:col>0</xdr:col>
      <xdr:colOff>1498600</xdr:colOff>
      <xdr:row>1</xdr:row>
      <xdr:rowOff>243417</xdr:rowOff>
    </xdr:from>
    <xdr:to>
      <xdr:col>0</xdr:col>
      <xdr:colOff>2794000</xdr:colOff>
      <xdr:row>3</xdr:row>
      <xdr:rowOff>99483</xdr:rowOff>
    </xdr:to>
    <xdr:sp macro="" textlink="">
      <xdr:nvSpPr>
        <xdr:cNvPr id="9" name="Rectangle: Rounded Corners 8">
          <a:hlinkClick xmlns:r="http://schemas.openxmlformats.org/officeDocument/2006/relationships" r:id="rId6" tooltip="Trends"/>
          <a:extLst>
            <a:ext uri="{FF2B5EF4-FFF2-40B4-BE49-F238E27FC236}">
              <a16:creationId xmlns:a16="http://schemas.microsoft.com/office/drawing/2014/main" id="{04947179-01A7-0482-18B8-E23DADA75C86}"/>
            </a:ext>
          </a:extLst>
        </xdr:cNvPr>
        <xdr:cNvSpPr/>
      </xdr:nvSpPr>
      <xdr:spPr>
        <a:xfrm>
          <a:off x="1498600" y="7620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Trends</a:t>
          </a:r>
        </a:p>
      </xdr:txBody>
    </xdr:sp>
    <xdr:clientData/>
  </xdr:twoCellAnchor>
  <xdr:twoCellAnchor>
    <xdr:from>
      <xdr:col>0</xdr:col>
      <xdr:colOff>152400</xdr:colOff>
      <xdr:row>3</xdr:row>
      <xdr:rowOff>137583</xdr:rowOff>
    </xdr:from>
    <xdr:to>
      <xdr:col>0</xdr:col>
      <xdr:colOff>1447800</xdr:colOff>
      <xdr:row>4</xdr:row>
      <xdr:rowOff>152400</xdr:rowOff>
    </xdr:to>
    <xdr:sp macro="" textlink="">
      <xdr:nvSpPr>
        <xdr:cNvPr id="10" name="Rectangle: Rounded Corners 9">
          <a:hlinkClick xmlns:r="http://schemas.openxmlformats.org/officeDocument/2006/relationships" r:id="rId7" tooltip="Income Stmt"/>
          <a:extLst>
            <a:ext uri="{FF2B5EF4-FFF2-40B4-BE49-F238E27FC236}">
              <a16:creationId xmlns:a16="http://schemas.microsoft.com/office/drawing/2014/main" id="{95E1447A-4144-9C57-8209-D3DD286FF87E}"/>
            </a:ext>
          </a:extLst>
        </xdr:cNvPr>
        <xdr:cNvSpPr/>
      </xdr:nvSpPr>
      <xdr:spPr>
        <a:xfrm>
          <a:off x="1524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Income Stmt</a:t>
          </a:r>
        </a:p>
      </xdr:txBody>
    </xdr:sp>
    <xdr:clientData/>
  </xdr:twoCellAnchor>
  <xdr:twoCellAnchor>
    <xdr:from>
      <xdr:col>0</xdr:col>
      <xdr:colOff>1498600</xdr:colOff>
      <xdr:row>3</xdr:row>
      <xdr:rowOff>137583</xdr:rowOff>
    </xdr:from>
    <xdr:to>
      <xdr:col>0</xdr:col>
      <xdr:colOff>2794000</xdr:colOff>
      <xdr:row>4</xdr:row>
      <xdr:rowOff>152400</xdr:rowOff>
    </xdr:to>
    <xdr:sp macro="" textlink="">
      <xdr:nvSpPr>
        <xdr:cNvPr id="11" name="Rectangle: Rounded Corners 10">
          <a:hlinkClick xmlns:r="http://schemas.openxmlformats.org/officeDocument/2006/relationships" r:id="rId8" tooltip="Balance Sheet"/>
          <a:extLst>
            <a:ext uri="{FF2B5EF4-FFF2-40B4-BE49-F238E27FC236}">
              <a16:creationId xmlns:a16="http://schemas.microsoft.com/office/drawing/2014/main" id="{EF2B781D-51AE-7061-FDC4-3239A74D2D71}"/>
            </a:ext>
          </a:extLst>
        </xdr:cNvPr>
        <xdr:cNvSpPr/>
      </xdr:nvSpPr>
      <xdr:spPr>
        <a:xfrm>
          <a:off x="14986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Balance Sheet</a:t>
          </a:r>
        </a:p>
      </xdr:txBody>
    </xdr:sp>
    <xdr:clientData/>
  </xdr:twoCellAnchor>
  <xdr:twoCellAnchor>
    <xdr:from>
      <xdr:col>0</xdr:col>
      <xdr:colOff>152400</xdr:colOff>
      <xdr:row>4</xdr:row>
      <xdr:rowOff>190500</xdr:rowOff>
    </xdr:from>
    <xdr:to>
      <xdr:col>0</xdr:col>
      <xdr:colOff>1447800</xdr:colOff>
      <xdr:row>6</xdr:row>
      <xdr:rowOff>14817</xdr:rowOff>
    </xdr:to>
    <xdr:sp macro="" textlink="">
      <xdr:nvSpPr>
        <xdr:cNvPr id="12" name="Rectangle: Rounded Corners 11">
          <a:hlinkClick xmlns:r="http://schemas.openxmlformats.org/officeDocument/2006/relationships" r:id="rId9" tooltip="Cash Flow"/>
          <a:extLst>
            <a:ext uri="{FF2B5EF4-FFF2-40B4-BE49-F238E27FC236}">
              <a16:creationId xmlns:a16="http://schemas.microsoft.com/office/drawing/2014/main" id="{E33F9AA6-97DF-52C0-031D-6BF124BC5AD2}"/>
            </a:ext>
          </a:extLst>
        </xdr:cNvPr>
        <xdr:cNvSpPr/>
      </xdr:nvSpPr>
      <xdr:spPr>
        <a:xfrm>
          <a:off x="1524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Cash Flow</a:t>
          </a:r>
        </a:p>
      </xdr:txBody>
    </xdr:sp>
    <xdr:clientData/>
  </xdr:twoCellAnchor>
  <xdr:twoCellAnchor>
    <xdr:from>
      <xdr:col>0</xdr:col>
      <xdr:colOff>1498600</xdr:colOff>
      <xdr:row>4</xdr:row>
      <xdr:rowOff>190500</xdr:rowOff>
    </xdr:from>
    <xdr:to>
      <xdr:col>0</xdr:col>
      <xdr:colOff>2794000</xdr:colOff>
      <xdr:row>6</xdr:row>
      <xdr:rowOff>14817</xdr:rowOff>
    </xdr:to>
    <xdr:sp macro="" textlink="">
      <xdr:nvSpPr>
        <xdr:cNvPr id="13" name="Rectangle: Rounded Corners 12">
          <a:hlinkClick xmlns:r="http://schemas.openxmlformats.org/officeDocument/2006/relationships" r:id="rId10" tooltip="KPIs"/>
          <a:extLst>
            <a:ext uri="{FF2B5EF4-FFF2-40B4-BE49-F238E27FC236}">
              <a16:creationId xmlns:a16="http://schemas.microsoft.com/office/drawing/2014/main" id="{6E04F1AD-283C-1B4D-A932-6853A7F8F03E}"/>
            </a:ext>
          </a:extLst>
        </xdr:cNvPr>
        <xdr:cNvSpPr/>
      </xdr:nvSpPr>
      <xdr:spPr>
        <a:xfrm>
          <a:off x="14986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KPIs</a:t>
          </a:r>
        </a:p>
      </xdr:txBody>
    </xdr:sp>
    <xdr:clientData/>
  </xdr:twoCellAnchor>
  <xdr:twoCellAnchor>
    <xdr:from>
      <xdr:col>0</xdr:col>
      <xdr:colOff>152400</xdr:colOff>
      <xdr:row>6</xdr:row>
      <xdr:rowOff>52917</xdr:rowOff>
    </xdr:from>
    <xdr:to>
      <xdr:col>0</xdr:col>
      <xdr:colOff>1447800</xdr:colOff>
      <xdr:row>7</xdr:row>
      <xdr:rowOff>141817</xdr:rowOff>
    </xdr:to>
    <xdr:sp macro="" textlink="">
      <xdr:nvSpPr>
        <xdr:cNvPr id="14" name="Rectangle: Rounded Corners 13">
          <a:hlinkClick xmlns:r="http://schemas.openxmlformats.org/officeDocument/2006/relationships" r:id="rId11" tooltip="Commentary"/>
          <a:extLst>
            <a:ext uri="{FF2B5EF4-FFF2-40B4-BE49-F238E27FC236}">
              <a16:creationId xmlns:a16="http://schemas.microsoft.com/office/drawing/2014/main" id="{90338E9F-5E08-EBF6-464D-3AC62FA8B556}"/>
            </a:ext>
          </a:extLst>
        </xdr:cNvPr>
        <xdr:cNvSpPr/>
      </xdr:nvSpPr>
      <xdr:spPr>
        <a:xfrm>
          <a:off x="1524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Commentary</a:t>
          </a:r>
        </a:p>
      </xdr:txBody>
    </xdr:sp>
    <xdr:clientData/>
  </xdr:twoCellAnchor>
  <xdr:twoCellAnchor>
    <xdr:from>
      <xdr:col>0</xdr:col>
      <xdr:colOff>1498600</xdr:colOff>
      <xdr:row>6</xdr:row>
      <xdr:rowOff>52917</xdr:rowOff>
    </xdr:from>
    <xdr:to>
      <xdr:col>0</xdr:col>
      <xdr:colOff>2794000</xdr:colOff>
      <xdr:row>7</xdr:row>
      <xdr:rowOff>141817</xdr:rowOff>
    </xdr:to>
    <xdr:sp macro="" textlink="">
      <xdr:nvSpPr>
        <xdr:cNvPr id="15" name="Rectangle: Rounded Corners 14">
          <a:hlinkClick xmlns:r="http://schemas.openxmlformats.org/officeDocument/2006/relationships" r:id="rId12" tooltip="Guide"/>
          <a:extLst>
            <a:ext uri="{FF2B5EF4-FFF2-40B4-BE49-F238E27FC236}">
              <a16:creationId xmlns:a16="http://schemas.microsoft.com/office/drawing/2014/main" id="{F752995F-5947-269C-A389-52F2902C6095}"/>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editAs="absolute">
    <xdr:from>
      <xdr:col>0</xdr:col>
      <xdr:colOff>152400</xdr:colOff>
      <xdr:row>8</xdr:row>
      <xdr:rowOff>91017</xdr:rowOff>
    </xdr:from>
    <xdr:to>
      <xdr:col>0</xdr:col>
      <xdr:colOff>2794000</xdr:colOff>
      <xdr:row>16</xdr:row>
      <xdr:rowOff>167217</xdr:rowOff>
    </xdr:to>
    <mc:AlternateContent xmlns:mc="http://schemas.openxmlformats.org/markup-compatibility/2006" xmlns:sle15="http://schemas.microsoft.com/office/drawing/2012/slicer">
      <mc:Choice Requires="sle15">
        <xdr:graphicFrame macro="">
          <xdr:nvGraphicFramePr>
            <xdr:cNvPr id="16" name="s5">
              <a:extLst>
                <a:ext uri="{FF2B5EF4-FFF2-40B4-BE49-F238E27FC236}">
                  <a16:creationId xmlns:a16="http://schemas.microsoft.com/office/drawing/2014/main" id="{291C4D3C-167D-CE62-5BFC-AA801EFDF14E}"/>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5"/>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152400</xdr:colOff>
      <xdr:row>17</xdr:row>
      <xdr:rowOff>52917</xdr:rowOff>
    </xdr:from>
    <xdr:to>
      <xdr:col>0</xdr:col>
      <xdr:colOff>2794000</xdr:colOff>
      <xdr:row>24</xdr:row>
      <xdr:rowOff>40217</xdr:rowOff>
    </xdr:to>
    <mc:AlternateContent xmlns:mc="http://schemas.openxmlformats.org/markup-compatibility/2006" xmlns:sle15="http://schemas.microsoft.com/office/drawing/2012/slicer">
      <mc:Choice Requires="sle15">
        <xdr:graphicFrame macro="">
          <xdr:nvGraphicFramePr>
            <xdr:cNvPr id="17" name="s6">
              <a:extLst>
                <a:ext uri="{FF2B5EF4-FFF2-40B4-BE49-F238E27FC236}">
                  <a16:creationId xmlns:a16="http://schemas.microsoft.com/office/drawing/2014/main" id="{E6850DDE-B17F-384D-CA03-52238D29282E}"/>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6"/>
            </a:graphicData>
          </a:graphic>
        </xdr:graphicFrame>
      </mc:Choice>
      <mc:Fallback xmlns="">
        <xdr:sp macro="" textlink="">
          <xdr:nvSpPr>
            <xdr:cNvPr id="0" name=""/>
            <xdr:cNvSpPr>
              <a:spLocks noTextEdit="1"/>
            </xdr:cNvSpPr>
          </xdr:nvSpPr>
          <xdr:spPr>
            <a:xfrm>
              <a:off x="152400" y="3810000"/>
              <a:ext cx="2641600" cy="13208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0</xdr:col>
      <xdr:colOff>152400</xdr:colOff>
      <xdr:row>24</xdr:row>
      <xdr:rowOff>116417</xdr:rowOff>
    </xdr:from>
    <xdr:to>
      <xdr:col>0</xdr:col>
      <xdr:colOff>2794000</xdr:colOff>
      <xdr:row>41</xdr:row>
      <xdr:rowOff>80433</xdr:rowOff>
    </xdr:to>
    <mc:AlternateContent xmlns:mc="http://schemas.openxmlformats.org/markup-compatibility/2006" xmlns:sle15="http://schemas.microsoft.com/office/drawing/2012/slicer">
      <mc:Choice Requires="sle15">
        <xdr:graphicFrame macro="">
          <xdr:nvGraphicFramePr>
            <xdr:cNvPr id="18" name="s7">
              <a:extLst>
                <a:ext uri="{FF2B5EF4-FFF2-40B4-BE49-F238E27FC236}">
                  <a16:creationId xmlns:a16="http://schemas.microsoft.com/office/drawing/2014/main" id="{E7919400-EBD3-067F-00F6-27B57A961D3E}"/>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7"/>
            </a:graphicData>
          </a:graphic>
        </xdr:graphicFrame>
      </mc:Choice>
      <mc:Fallback xmlns="">
        <xdr:sp macro="" textlink="">
          <xdr:nvSpPr>
            <xdr:cNvPr id="0" name=""/>
            <xdr:cNvSpPr>
              <a:spLocks noTextEdit="1"/>
            </xdr:cNvSpPr>
          </xdr:nvSpPr>
          <xdr:spPr>
            <a:xfrm>
              <a:off x="152400" y="5207000"/>
              <a:ext cx="2641600" cy="32766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152400</xdr:colOff>
      <xdr:row>0</xdr:row>
      <xdr:rowOff>127000</xdr:rowOff>
    </xdr:from>
    <xdr:to>
      <xdr:col>0</xdr:col>
      <xdr:colOff>2794000</xdr:colOff>
      <xdr:row>1</xdr:row>
      <xdr:rowOff>129117</xdr:rowOff>
    </xdr:to>
    <xdr:sp macro="" textlink="">
      <xdr:nvSpPr>
        <xdr:cNvPr id="2" name="TextBox 1">
          <a:extLst>
            <a:ext uri="{FF2B5EF4-FFF2-40B4-BE49-F238E27FC236}">
              <a16:creationId xmlns:a16="http://schemas.microsoft.com/office/drawing/2014/main" id="{D1EBFECF-B61F-26E6-8201-025AACC5D935}"/>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1</xdr:row>
      <xdr:rowOff>129117</xdr:rowOff>
    </xdr:from>
    <xdr:to>
      <xdr:col>0</xdr:col>
      <xdr:colOff>2794000</xdr:colOff>
      <xdr:row>2</xdr:row>
      <xdr:rowOff>146050</xdr:rowOff>
    </xdr:to>
    <xdr:sp macro="" textlink="">
      <xdr:nvSpPr>
        <xdr:cNvPr id="3" name="TextBox 2">
          <a:extLst>
            <a:ext uri="{FF2B5EF4-FFF2-40B4-BE49-F238E27FC236}">
              <a16:creationId xmlns:a16="http://schemas.microsoft.com/office/drawing/2014/main" id="{C9F5A759-7BC8-D943-CDBF-1E83FA39DAEF}"/>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3</xdr:row>
      <xdr:rowOff>52917</xdr:rowOff>
    </xdr:from>
    <xdr:to>
      <xdr:col>0</xdr:col>
      <xdr:colOff>1447800</xdr:colOff>
      <xdr:row>4</xdr:row>
      <xdr:rowOff>162983</xdr:rowOff>
    </xdr:to>
    <xdr:sp macro="" textlink="">
      <xdr:nvSpPr>
        <xdr:cNvPr id="4" name="Rectangle: Rounded Corners 3">
          <a:hlinkClick xmlns:r="http://schemas.openxmlformats.org/officeDocument/2006/relationships" r:id="rId1" tooltip="Dashboard"/>
          <a:extLst>
            <a:ext uri="{FF2B5EF4-FFF2-40B4-BE49-F238E27FC236}">
              <a16:creationId xmlns:a16="http://schemas.microsoft.com/office/drawing/2014/main" id="{0039CAC9-3947-1DC4-2075-51BE29A07502}"/>
            </a:ext>
          </a:extLst>
        </xdr:cNvPr>
        <xdr:cNvSpPr/>
      </xdr:nvSpPr>
      <xdr:spPr>
        <a:xfrm>
          <a:off x="1524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Dashboard</a:t>
          </a:r>
        </a:p>
      </xdr:txBody>
    </xdr:sp>
    <xdr:clientData/>
  </xdr:twoCellAnchor>
  <xdr:twoCellAnchor>
    <xdr:from>
      <xdr:col>0</xdr:col>
      <xdr:colOff>1498600</xdr:colOff>
      <xdr:row>3</xdr:row>
      <xdr:rowOff>52917</xdr:rowOff>
    </xdr:from>
    <xdr:to>
      <xdr:col>0</xdr:col>
      <xdr:colOff>2794000</xdr:colOff>
      <xdr:row>4</xdr:row>
      <xdr:rowOff>162983</xdr:rowOff>
    </xdr:to>
    <xdr:sp macro="" textlink="">
      <xdr:nvSpPr>
        <xdr:cNvPr id="5" name="Rectangle: Rounded Corners 4">
          <a:hlinkClick xmlns:r="http://schemas.openxmlformats.org/officeDocument/2006/relationships" r:id="rId2" tooltip="Trends"/>
          <a:extLst>
            <a:ext uri="{FF2B5EF4-FFF2-40B4-BE49-F238E27FC236}">
              <a16:creationId xmlns:a16="http://schemas.microsoft.com/office/drawing/2014/main" id="{60A0CBF8-85DB-F5BB-E172-803ED79114BC}"/>
            </a:ext>
          </a:extLst>
        </xdr:cNvPr>
        <xdr:cNvSpPr/>
      </xdr:nvSpPr>
      <xdr:spPr>
        <a:xfrm>
          <a:off x="14986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Trends</a:t>
          </a:r>
        </a:p>
      </xdr:txBody>
    </xdr:sp>
    <xdr:clientData/>
  </xdr:twoCellAnchor>
  <xdr:twoCellAnchor>
    <xdr:from>
      <xdr:col>0</xdr:col>
      <xdr:colOff>152400</xdr:colOff>
      <xdr:row>5</xdr:row>
      <xdr:rowOff>10583</xdr:rowOff>
    </xdr:from>
    <xdr:to>
      <xdr:col>0</xdr:col>
      <xdr:colOff>1447800</xdr:colOff>
      <xdr:row>6</xdr:row>
      <xdr:rowOff>99483</xdr:rowOff>
    </xdr:to>
    <xdr:sp macro="" textlink="">
      <xdr:nvSpPr>
        <xdr:cNvPr id="6" name="Rectangle: Rounded Corners 5">
          <a:hlinkClick xmlns:r="http://schemas.openxmlformats.org/officeDocument/2006/relationships" r:id="rId3" tooltip="Income Stmt"/>
          <a:extLst>
            <a:ext uri="{FF2B5EF4-FFF2-40B4-BE49-F238E27FC236}">
              <a16:creationId xmlns:a16="http://schemas.microsoft.com/office/drawing/2014/main" id="{FFD76BA2-E5D3-473A-45BE-BEA82D587EAE}"/>
            </a:ext>
          </a:extLst>
        </xdr:cNvPr>
        <xdr:cNvSpPr/>
      </xdr:nvSpPr>
      <xdr:spPr>
        <a:xfrm>
          <a:off x="152400" y="10795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Income Stmt</a:t>
          </a:r>
        </a:p>
      </xdr:txBody>
    </xdr:sp>
    <xdr:clientData/>
  </xdr:twoCellAnchor>
  <xdr:twoCellAnchor>
    <xdr:from>
      <xdr:col>0</xdr:col>
      <xdr:colOff>1498600</xdr:colOff>
      <xdr:row>5</xdr:row>
      <xdr:rowOff>10583</xdr:rowOff>
    </xdr:from>
    <xdr:to>
      <xdr:col>0</xdr:col>
      <xdr:colOff>2794000</xdr:colOff>
      <xdr:row>6</xdr:row>
      <xdr:rowOff>99483</xdr:rowOff>
    </xdr:to>
    <xdr:sp macro="" textlink="">
      <xdr:nvSpPr>
        <xdr:cNvPr id="7" name="Rectangle: Rounded Corners 6">
          <a:hlinkClick xmlns:r="http://schemas.openxmlformats.org/officeDocument/2006/relationships" r:id="rId4" tooltip="Balance Sheet"/>
          <a:extLst>
            <a:ext uri="{FF2B5EF4-FFF2-40B4-BE49-F238E27FC236}">
              <a16:creationId xmlns:a16="http://schemas.microsoft.com/office/drawing/2014/main" id="{88255C38-C295-DBD0-A71B-2B769133D27D}"/>
            </a:ext>
          </a:extLst>
        </xdr:cNvPr>
        <xdr:cNvSpPr/>
      </xdr:nvSpPr>
      <xdr:spPr>
        <a:xfrm>
          <a:off x="14986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Balance Sheet</a:t>
          </a:r>
        </a:p>
      </xdr:txBody>
    </xdr:sp>
    <xdr:clientData/>
  </xdr:twoCellAnchor>
  <xdr:twoCellAnchor>
    <xdr:from>
      <xdr:col>0</xdr:col>
      <xdr:colOff>152400</xdr:colOff>
      <xdr:row>6</xdr:row>
      <xdr:rowOff>137583</xdr:rowOff>
    </xdr:from>
    <xdr:to>
      <xdr:col>0</xdr:col>
      <xdr:colOff>1447800</xdr:colOff>
      <xdr:row>8</xdr:row>
      <xdr:rowOff>35983</xdr:rowOff>
    </xdr:to>
    <xdr:sp macro="" textlink="">
      <xdr:nvSpPr>
        <xdr:cNvPr id="8" name="Rectangle: Rounded Corners 7">
          <a:hlinkClick xmlns:r="http://schemas.openxmlformats.org/officeDocument/2006/relationships" r:id="rId5" tooltip="Cash Flow"/>
          <a:extLst>
            <a:ext uri="{FF2B5EF4-FFF2-40B4-BE49-F238E27FC236}">
              <a16:creationId xmlns:a16="http://schemas.microsoft.com/office/drawing/2014/main" id="{073CEB59-F8CE-8AFE-BF6C-5562D1396028}"/>
            </a:ext>
          </a:extLst>
        </xdr:cNvPr>
        <xdr:cNvSpPr/>
      </xdr:nvSpPr>
      <xdr:spPr>
        <a:xfrm>
          <a:off x="1524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Cash Flow</a:t>
          </a:r>
        </a:p>
      </xdr:txBody>
    </xdr:sp>
    <xdr:clientData/>
  </xdr:twoCellAnchor>
  <xdr:twoCellAnchor>
    <xdr:from>
      <xdr:col>0</xdr:col>
      <xdr:colOff>1498600</xdr:colOff>
      <xdr:row>6</xdr:row>
      <xdr:rowOff>137583</xdr:rowOff>
    </xdr:from>
    <xdr:to>
      <xdr:col>0</xdr:col>
      <xdr:colOff>2794000</xdr:colOff>
      <xdr:row>8</xdr:row>
      <xdr:rowOff>35983</xdr:rowOff>
    </xdr:to>
    <xdr:sp macro="" textlink="">
      <xdr:nvSpPr>
        <xdr:cNvPr id="9" name="Rectangle: Rounded Corners 8">
          <a:hlinkClick xmlns:r="http://schemas.openxmlformats.org/officeDocument/2006/relationships" r:id="rId6" tooltip="KPIs"/>
          <a:extLst>
            <a:ext uri="{FF2B5EF4-FFF2-40B4-BE49-F238E27FC236}">
              <a16:creationId xmlns:a16="http://schemas.microsoft.com/office/drawing/2014/main" id="{EA28E40E-1AE2-A14E-98A0-0DBCCCC6B061}"/>
            </a:ext>
          </a:extLst>
        </xdr:cNvPr>
        <xdr:cNvSpPr/>
      </xdr:nvSpPr>
      <xdr:spPr>
        <a:xfrm>
          <a:off x="14986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KPIs</a:t>
          </a:r>
        </a:p>
      </xdr:txBody>
    </xdr:sp>
    <xdr:clientData/>
  </xdr:twoCellAnchor>
  <xdr:twoCellAnchor>
    <xdr:from>
      <xdr:col>0</xdr:col>
      <xdr:colOff>152400</xdr:colOff>
      <xdr:row>8</xdr:row>
      <xdr:rowOff>74083</xdr:rowOff>
    </xdr:from>
    <xdr:to>
      <xdr:col>0</xdr:col>
      <xdr:colOff>1447800</xdr:colOff>
      <xdr:row>9</xdr:row>
      <xdr:rowOff>162983</xdr:rowOff>
    </xdr:to>
    <xdr:sp macro="" textlink="">
      <xdr:nvSpPr>
        <xdr:cNvPr id="10" name="Rectangle: Rounded Corners 9">
          <a:hlinkClick xmlns:r="http://schemas.openxmlformats.org/officeDocument/2006/relationships" r:id="rId7" tooltip="Commentary"/>
          <a:extLst>
            <a:ext uri="{FF2B5EF4-FFF2-40B4-BE49-F238E27FC236}">
              <a16:creationId xmlns:a16="http://schemas.microsoft.com/office/drawing/2014/main" id="{F4028725-4FA0-8827-4AAD-7D27147AB982}"/>
            </a:ext>
          </a:extLst>
        </xdr:cNvPr>
        <xdr:cNvSpPr/>
      </xdr:nvSpPr>
      <xdr:spPr>
        <a:xfrm>
          <a:off x="1524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Commentary</a:t>
          </a:r>
        </a:p>
      </xdr:txBody>
    </xdr:sp>
    <xdr:clientData/>
  </xdr:twoCellAnchor>
  <xdr:twoCellAnchor>
    <xdr:from>
      <xdr:col>0</xdr:col>
      <xdr:colOff>1498600</xdr:colOff>
      <xdr:row>8</xdr:row>
      <xdr:rowOff>74083</xdr:rowOff>
    </xdr:from>
    <xdr:to>
      <xdr:col>0</xdr:col>
      <xdr:colOff>2794000</xdr:colOff>
      <xdr:row>9</xdr:row>
      <xdr:rowOff>162983</xdr:rowOff>
    </xdr:to>
    <xdr:sp macro="" textlink="">
      <xdr:nvSpPr>
        <xdr:cNvPr id="11" name="Rectangle: Rounded Corners 10">
          <a:hlinkClick xmlns:r="http://schemas.openxmlformats.org/officeDocument/2006/relationships" r:id="rId8" tooltip="Guide"/>
          <a:extLst>
            <a:ext uri="{FF2B5EF4-FFF2-40B4-BE49-F238E27FC236}">
              <a16:creationId xmlns:a16="http://schemas.microsoft.com/office/drawing/2014/main" id="{0E9ED0C7-C289-13F9-FEB5-4D25D8704C71}"/>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editAs="absolute">
    <xdr:from>
      <xdr:col>0</xdr:col>
      <xdr:colOff>152400</xdr:colOff>
      <xdr:row>10</xdr:row>
      <xdr:rowOff>112183</xdr:rowOff>
    </xdr:from>
    <xdr:to>
      <xdr:col>0</xdr:col>
      <xdr:colOff>2794000</xdr:colOff>
      <xdr:row>18</xdr:row>
      <xdr:rowOff>188383</xdr:rowOff>
    </xdr:to>
    <mc:AlternateContent xmlns:mc="http://schemas.openxmlformats.org/markup-compatibility/2006" xmlns:sle15="http://schemas.microsoft.com/office/drawing/2012/slicer">
      <mc:Choice Requires="sle15">
        <xdr:graphicFrame macro="">
          <xdr:nvGraphicFramePr>
            <xdr:cNvPr id="12" name="s8">
              <a:extLst>
                <a:ext uri="{FF2B5EF4-FFF2-40B4-BE49-F238E27FC236}">
                  <a16:creationId xmlns:a16="http://schemas.microsoft.com/office/drawing/2014/main" id="{4361176D-53A1-227F-C77F-F4CA575AAB9F}"/>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8"/>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152400</xdr:colOff>
      <xdr:row>0</xdr:row>
      <xdr:rowOff>127000</xdr:rowOff>
    </xdr:from>
    <xdr:to>
      <xdr:col>0</xdr:col>
      <xdr:colOff>2794000</xdr:colOff>
      <xdr:row>1</xdr:row>
      <xdr:rowOff>129117</xdr:rowOff>
    </xdr:to>
    <xdr:sp macro="" textlink="">
      <xdr:nvSpPr>
        <xdr:cNvPr id="2" name="TextBox 1">
          <a:extLst>
            <a:ext uri="{FF2B5EF4-FFF2-40B4-BE49-F238E27FC236}">
              <a16:creationId xmlns:a16="http://schemas.microsoft.com/office/drawing/2014/main" id="{0A41E4B7-4096-21FC-223D-06AFFBB789A2}"/>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1</xdr:row>
      <xdr:rowOff>129117</xdr:rowOff>
    </xdr:from>
    <xdr:to>
      <xdr:col>0</xdr:col>
      <xdr:colOff>2794000</xdr:colOff>
      <xdr:row>2</xdr:row>
      <xdr:rowOff>146050</xdr:rowOff>
    </xdr:to>
    <xdr:sp macro="" textlink="">
      <xdr:nvSpPr>
        <xdr:cNvPr id="3" name="TextBox 2">
          <a:extLst>
            <a:ext uri="{FF2B5EF4-FFF2-40B4-BE49-F238E27FC236}">
              <a16:creationId xmlns:a16="http://schemas.microsoft.com/office/drawing/2014/main" id="{0D99D583-A83D-A21C-AB6E-BC8F6544C28C}"/>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3</xdr:row>
      <xdr:rowOff>52917</xdr:rowOff>
    </xdr:from>
    <xdr:to>
      <xdr:col>0</xdr:col>
      <xdr:colOff>1447800</xdr:colOff>
      <xdr:row>4</xdr:row>
      <xdr:rowOff>162983</xdr:rowOff>
    </xdr:to>
    <xdr:sp macro="" textlink="">
      <xdr:nvSpPr>
        <xdr:cNvPr id="4" name="Rectangle: Rounded Corners 3">
          <a:hlinkClick xmlns:r="http://schemas.openxmlformats.org/officeDocument/2006/relationships" r:id="rId1" tooltip="Dashboard"/>
          <a:extLst>
            <a:ext uri="{FF2B5EF4-FFF2-40B4-BE49-F238E27FC236}">
              <a16:creationId xmlns:a16="http://schemas.microsoft.com/office/drawing/2014/main" id="{F5A4D244-FB53-7F11-296F-34CDC209609E}"/>
            </a:ext>
          </a:extLst>
        </xdr:cNvPr>
        <xdr:cNvSpPr/>
      </xdr:nvSpPr>
      <xdr:spPr>
        <a:xfrm>
          <a:off x="1524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Dashboard</a:t>
          </a:r>
        </a:p>
      </xdr:txBody>
    </xdr:sp>
    <xdr:clientData/>
  </xdr:twoCellAnchor>
  <xdr:twoCellAnchor>
    <xdr:from>
      <xdr:col>0</xdr:col>
      <xdr:colOff>1498600</xdr:colOff>
      <xdr:row>3</xdr:row>
      <xdr:rowOff>52917</xdr:rowOff>
    </xdr:from>
    <xdr:to>
      <xdr:col>0</xdr:col>
      <xdr:colOff>2794000</xdr:colOff>
      <xdr:row>4</xdr:row>
      <xdr:rowOff>162983</xdr:rowOff>
    </xdr:to>
    <xdr:sp macro="" textlink="">
      <xdr:nvSpPr>
        <xdr:cNvPr id="5" name="Rectangle: Rounded Corners 4">
          <a:hlinkClick xmlns:r="http://schemas.openxmlformats.org/officeDocument/2006/relationships" r:id="rId2" tooltip="Trends"/>
          <a:extLst>
            <a:ext uri="{FF2B5EF4-FFF2-40B4-BE49-F238E27FC236}">
              <a16:creationId xmlns:a16="http://schemas.microsoft.com/office/drawing/2014/main" id="{36E4B995-4F4D-8294-9807-87746718CE6F}"/>
            </a:ext>
          </a:extLst>
        </xdr:cNvPr>
        <xdr:cNvSpPr/>
      </xdr:nvSpPr>
      <xdr:spPr>
        <a:xfrm>
          <a:off x="14986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Trends</a:t>
          </a:r>
        </a:p>
      </xdr:txBody>
    </xdr:sp>
    <xdr:clientData/>
  </xdr:twoCellAnchor>
  <xdr:twoCellAnchor>
    <xdr:from>
      <xdr:col>0</xdr:col>
      <xdr:colOff>152400</xdr:colOff>
      <xdr:row>5</xdr:row>
      <xdr:rowOff>10583</xdr:rowOff>
    </xdr:from>
    <xdr:to>
      <xdr:col>0</xdr:col>
      <xdr:colOff>1447800</xdr:colOff>
      <xdr:row>6</xdr:row>
      <xdr:rowOff>99483</xdr:rowOff>
    </xdr:to>
    <xdr:sp macro="" textlink="">
      <xdr:nvSpPr>
        <xdr:cNvPr id="6" name="Rectangle: Rounded Corners 5">
          <a:hlinkClick xmlns:r="http://schemas.openxmlformats.org/officeDocument/2006/relationships" r:id="rId3" tooltip="Income Stmt"/>
          <a:extLst>
            <a:ext uri="{FF2B5EF4-FFF2-40B4-BE49-F238E27FC236}">
              <a16:creationId xmlns:a16="http://schemas.microsoft.com/office/drawing/2014/main" id="{ED35580C-CB27-C116-5BBC-AE913832497C}"/>
            </a:ext>
          </a:extLst>
        </xdr:cNvPr>
        <xdr:cNvSpPr/>
      </xdr:nvSpPr>
      <xdr:spPr>
        <a:xfrm>
          <a:off x="1524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Income Stmt</a:t>
          </a:r>
        </a:p>
      </xdr:txBody>
    </xdr:sp>
    <xdr:clientData/>
  </xdr:twoCellAnchor>
  <xdr:twoCellAnchor>
    <xdr:from>
      <xdr:col>0</xdr:col>
      <xdr:colOff>1498600</xdr:colOff>
      <xdr:row>5</xdr:row>
      <xdr:rowOff>10583</xdr:rowOff>
    </xdr:from>
    <xdr:to>
      <xdr:col>0</xdr:col>
      <xdr:colOff>2794000</xdr:colOff>
      <xdr:row>6</xdr:row>
      <xdr:rowOff>99483</xdr:rowOff>
    </xdr:to>
    <xdr:sp macro="" textlink="">
      <xdr:nvSpPr>
        <xdr:cNvPr id="7" name="Rectangle: Rounded Corners 6">
          <a:hlinkClick xmlns:r="http://schemas.openxmlformats.org/officeDocument/2006/relationships" r:id="rId4" tooltip="Balance Sheet"/>
          <a:extLst>
            <a:ext uri="{FF2B5EF4-FFF2-40B4-BE49-F238E27FC236}">
              <a16:creationId xmlns:a16="http://schemas.microsoft.com/office/drawing/2014/main" id="{CDC0D0D4-B0FD-882D-D6EE-54B488301854}"/>
            </a:ext>
          </a:extLst>
        </xdr:cNvPr>
        <xdr:cNvSpPr/>
      </xdr:nvSpPr>
      <xdr:spPr>
        <a:xfrm>
          <a:off x="1498600" y="10795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Balance Sheet</a:t>
          </a:r>
        </a:p>
      </xdr:txBody>
    </xdr:sp>
    <xdr:clientData/>
  </xdr:twoCellAnchor>
  <xdr:twoCellAnchor>
    <xdr:from>
      <xdr:col>0</xdr:col>
      <xdr:colOff>152400</xdr:colOff>
      <xdr:row>6</xdr:row>
      <xdr:rowOff>137583</xdr:rowOff>
    </xdr:from>
    <xdr:to>
      <xdr:col>0</xdr:col>
      <xdr:colOff>1447800</xdr:colOff>
      <xdr:row>8</xdr:row>
      <xdr:rowOff>35983</xdr:rowOff>
    </xdr:to>
    <xdr:sp macro="" textlink="">
      <xdr:nvSpPr>
        <xdr:cNvPr id="8" name="Rectangle: Rounded Corners 7">
          <a:hlinkClick xmlns:r="http://schemas.openxmlformats.org/officeDocument/2006/relationships" r:id="rId5" tooltip="Cash Flow"/>
          <a:extLst>
            <a:ext uri="{FF2B5EF4-FFF2-40B4-BE49-F238E27FC236}">
              <a16:creationId xmlns:a16="http://schemas.microsoft.com/office/drawing/2014/main" id="{A53829D1-2418-3CB2-93BB-A78F217D2CDB}"/>
            </a:ext>
          </a:extLst>
        </xdr:cNvPr>
        <xdr:cNvSpPr/>
      </xdr:nvSpPr>
      <xdr:spPr>
        <a:xfrm>
          <a:off x="1524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Cash Flow</a:t>
          </a:r>
        </a:p>
      </xdr:txBody>
    </xdr:sp>
    <xdr:clientData/>
  </xdr:twoCellAnchor>
  <xdr:twoCellAnchor>
    <xdr:from>
      <xdr:col>0</xdr:col>
      <xdr:colOff>1498600</xdr:colOff>
      <xdr:row>6</xdr:row>
      <xdr:rowOff>137583</xdr:rowOff>
    </xdr:from>
    <xdr:to>
      <xdr:col>0</xdr:col>
      <xdr:colOff>2794000</xdr:colOff>
      <xdr:row>8</xdr:row>
      <xdr:rowOff>35983</xdr:rowOff>
    </xdr:to>
    <xdr:sp macro="" textlink="">
      <xdr:nvSpPr>
        <xdr:cNvPr id="9" name="Rectangle: Rounded Corners 8">
          <a:hlinkClick xmlns:r="http://schemas.openxmlformats.org/officeDocument/2006/relationships" r:id="rId6" tooltip="KPIs"/>
          <a:extLst>
            <a:ext uri="{FF2B5EF4-FFF2-40B4-BE49-F238E27FC236}">
              <a16:creationId xmlns:a16="http://schemas.microsoft.com/office/drawing/2014/main" id="{FC8BBFB9-55EA-6E39-0AEA-39F8E373DD65}"/>
            </a:ext>
          </a:extLst>
        </xdr:cNvPr>
        <xdr:cNvSpPr/>
      </xdr:nvSpPr>
      <xdr:spPr>
        <a:xfrm>
          <a:off x="14986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KPIs</a:t>
          </a:r>
        </a:p>
      </xdr:txBody>
    </xdr:sp>
    <xdr:clientData/>
  </xdr:twoCellAnchor>
  <xdr:twoCellAnchor>
    <xdr:from>
      <xdr:col>0</xdr:col>
      <xdr:colOff>152400</xdr:colOff>
      <xdr:row>8</xdr:row>
      <xdr:rowOff>74083</xdr:rowOff>
    </xdr:from>
    <xdr:to>
      <xdr:col>0</xdr:col>
      <xdr:colOff>1447800</xdr:colOff>
      <xdr:row>9</xdr:row>
      <xdr:rowOff>162983</xdr:rowOff>
    </xdr:to>
    <xdr:sp macro="" textlink="">
      <xdr:nvSpPr>
        <xdr:cNvPr id="10" name="Rectangle: Rounded Corners 9">
          <a:hlinkClick xmlns:r="http://schemas.openxmlformats.org/officeDocument/2006/relationships" r:id="rId7" tooltip="Commentary"/>
          <a:extLst>
            <a:ext uri="{FF2B5EF4-FFF2-40B4-BE49-F238E27FC236}">
              <a16:creationId xmlns:a16="http://schemas.microsoft.com/office/drawing/2014/main" id="{AF86DFC4-E9D7-38F6-D492-8B87C1AF72F7}"/>
            </a:ext>
          </a:extLst>
        </xdr:cNvPr>
        <xdr:cNvSpPr/>
      </xdr:nvSpPr>
      <xdr:spPr>
        <a:xfrm>
          <a:off x="1524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Commentary</a:t>
          </a:r>
        </a:p>
      </xdr:txBody>
    </xdr:sp>
    <xdr:clientData/>
  </xdr:twoCellAnchor>
  <xdr:twoCellAnchor>
    <xdr:from>
      <xdr:col>0</xdr:col>
      <xdr:colOff>1498600</xdr:colOff>
      <xdr:row>8</xdr:row>
      <xdr:rowOff>74083</xdr:rowOff>
    </xdr:from>
    <xdr:to>
      <xdr:col>0</xdr:col>
      <xdr:colOff>2794000</xdr:colOff>
      <xdr:row>9</xdr:row>
      <xdr:rowOff>162983</xdr:rowOff>
    </xdr:to>
    <xdr:sp macro="" textlink="">
      <xdr:nvSpPr>
        <xdr:cNvPr id="11" name="Rectangle: Rounded Corners 10">
          <a:hlinkClick xmlns:r="http://schemas.openxmlformats.org/officeDocument/2006/relationships" r:id="rId8" tooltip="Guide"/>
          <a:extLst>
            <a:ext uri="{FF2B5EF4-FFF2-40B4-BE49-F238E27FC236}">
              <a16:creationId xmlns:a16="http://schemas.microsoft.com/office/drawing/2014/main" id="{E0C1523E-AAF8-02AC-31EE-3F5868BE85D0}"/>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editAs="absolute">
    <xdr:from>
      <xdr:col>0</xdr:col>
      <xdr:colOff>152400</xdr:colOff>
      <xdr:row>10</xdr:row>
      <xdr:rowOff>112183</xdr:rowOff>
    </xdr:from>
    <xdr:to>
      <xdr:col>0</xdr:col>
      <xdr:colOff>2794000</xdr:colOff>
      <xdr:row>18</xdr:row>
      <xdr:rowOff>188383</xdr:rowOff>
    </xdr:to>
    <mc:AlternateContent xmlns:mc="http://schemas.openxmlformats.org/markup-compatibility/2006" xmlns:sle15="http://schemas.microsoft.com/office/drawing/2012/slicer">
      <mc:Choice Requires="sle15">
        <xdr:graphicFrame macro="">
          <xdr:nvGraphicFramePr>
            <xdr:cNvPr id="12" name="s9">
              <a:extLst>
                <a:ext uri="{FF2B5EF4-FFF2-40B4-BE49-F238E27FC236}">
                  <a16:creationId xmlns:a16="http://schemas.microsoft.com/office/drawing/2014/main" id="{35B930DC-64C6-8141-5299-EE1059F61E66}"/>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9"/>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0</xdr:row>
      <xdr:rowOff>127000</xdr:rowOff>
    </xdr:from>
    <xdr:to>
      <xdr:col>0</xdr:col>
      <xdr:colOff>2794000</xdr:colOff>
      <xdr:row>1</xdr:row>
      <xdr:rowOff>129117</xdr:rowOff>
    </xdr:to>
    <xdr:sp macro="" textlink="">
      <xdr:nvSpPr>
        <xdr:cNvPr id="2" name="TextBox 1">
          <a:extLst>
            <a:ext uri="{FF2B5EF4-FFF2-40B4-BE49-F238E27FC236}">
              <a16:creationId xmlns:a16="http://schemas.microsoft.com/office/drawing/2014/main" id="{86EE8D22-00D2-FF39-BB62-73DE68381DCC}"/>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1</xdr:row>
      <xdr:rowOff>129117</xdr:rowOff>
    </xdr:from>
    <xdr:to>
      <xdr:col>0</xdr:col>
      <xdr:colOff>2794000</xdr:colOff>
      <xdr:row>2</xdr:row>
      <xdr:rowOff>146050</xdr:rowOff>
    </xdr:to>
    <xdr:sp macro="" textlink="">
      <xdr:nvSpPr>
        <xdr:cNvPr id="3" name="TextBox 2">
          <a:extLst>
            <a:ext uri="{FF2B5EF4-FFF2-40B4-BE49-F238E27FC236}">
              <a16:creationId xmlns:a16="http://schemas.microsoft.com/office/drawing/2014/main" id="{E7F0963C-14E5-D3FD-1112-C19932A3E909}"/>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3</xdr:row>
      <xdr:rowOff>52917</xdr:rowOff>
    </xdr:from>
    <xdr:to>
      <xdr:col>0</xdr:col>
      <xdr:colOff>1447800</xdr:colOff>
      <xdr:row>4</xdr:row>
      <xdr:rowOff>162983</xdr:rowOff>
    </xdr:to>
    <xdr:sp macro="" textlink="">
      <xdr:nvSpPr>
        <xdr:cNvPr id="4" name="Rectangle: Rounded Corners 3">
          <a:hlinkClick xmlns:r="http://schemas.openxmlformats.org/officeDocument/2006/relationships" r:id="rId1" tooltip="Dashboard"/>
          <a:extLst>
            <a:ext uri="{FF2B5EF4-FFF2-40B4-BE49-F238E27FC236}">
              <a16:creationId xmlns:a16="http://schemas.microsoft.com/office/drawing/2014/main" id="{90DE2F53-9288-4E82-DB5B-47F79F761ED7}"/>
            </a:ext>
          </a:extLst>
        </xdr:cNvPr>
        <xdr:cNvSpPr/>
      </xdr:nvSpPr>
      <xdr:spPr>
        <a:xfrm>
          <a:off x="1524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Dashboard</a:t>
          </a:r>
        </a:p>
      </xdr:txBody>
    </xdr:sp>
    <xdr:clientData/>
  </xdr:twoCellAnchor>
  <xdr:twoCellAnchor>
    <xdr:from>
      <xdr:col>0</xdr:col>
      <xdr:colOff>1498600</xdr:colOff>
      <xdr:row>3</xdr:row>
      <xdr:rowOff>52917</xdr:rowOff>
    </xdr:from>
    <xdr:to>
      <xdr:col>0</xdr:col>
      <xdr:colOff>2794000</xdr:colOff>
      <xdr:row>4</xdr:row>
      <xdr:rowOff>162983</xdr:rowOff>
    </xdr:to>
    <xdr:sp macro="" textlink="">
      <xdr:nvSpPr>
        <xdr:cNvPr id="5" name="Rectangle: Rounded Corners 4">
          <a:hlinkClick xmlns:r="http://schemas.openxmlformats.org/officeDocument/2006/relationships" r:id="rId2" tooltip="Trends"/>
          <a:extLst>
            <a:ext uri="{FF2B5EF4-FFF2-40B4-BE49-F238E27FC236}">
              <a16:creationId xmlns:a16="http://schemas.microsoft.com/office/drawing/2014/main" id="{36873873-D3D0-EF05-09F6-9322312C0DBC}"/>
            </a:ext>
          </a:extLst>
        </xdr:cNvPr>
        <xdr:cNvSpPr/>
      </xdr:nvSpPr>
      <xdr:spPr>
        <a:xfrm>
          <a:off x="14986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Trends</a:t>
          </a:r>
        </a:p>
      </xdr:txBody>
    </xdr:sp>
    <xdr:clientData/>
  </xdr:twoCellAnchor>
  <xdr:twoCellAnchor>
    <xdr:from>
      <xdr:col>0</xdr:col>
      <xdr:colOff>152400</xdr:colOff>
      <xdr:row>5</xdr:row>
      <xdr:rowOff>10583</xdr:rowOff>
    </xdr:from>
    <xdr:to>
      <xdr:col>0</xdr:col>
      <xdr:colOff>1447800</xdr:colOff>
      <xdr:row>6</xdr:row>
      <xdr:rowOff>99483</xdr:rowOff>
    </xdr:to>
    <xdr:sp macro="" textlink="">
      <xdr:nvSpPr>
        <xdr:cNvPr id="6" name="Rectangle: Rounded Corners 5">
          <a:hlinkClick xmlns:r="http://schemas.openxmlformats.org/officeDocument/2006/relationships" r:id="rId3" tooltip="Income Stmt"/>
          <a:extLst>
            <a:ext uri="{FF2B5EF4-FFF2-40B4-BE49-F238E27FC236}">
              <a16:creationId xmlns:a16="http://schemas.microsoft.com/office/drawing/2014/main" id="{5AA3948B-E672-F8AD-CB39-1E8F8099B74F}"/>
            </a:ext>
          </a:extLst>
        </xdr:cNvPr>
        <xdr:cNvSpPr/>
      </xdr:nvSpPr>
      <xdr:spPr>
        <a:xfrm>
          <a:off x="1524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Income Stmt</a:t>
          </a:r>
        </a:p>
      </xdr:txBody>
    </xdr:sp>
    <xdr:clientData/>
  </xdr:twoCellAnchor>
  <xdr:twoCellAnchor>
    <xdr:from>
      <xdr:col>0</xdr:col>
      <xdr:colOff>1498600</xdr:colOff>
      <xdr:row>5</xdr:row>
      <xdr:rowOff>10583</xdr:rowOff>
    </xdr:from>
    <xdr:to>
      <xdr:col>0</xdr:col>
      <xdr:colOff>2794000</xdr:colOff>
      <xdr:row>6</xdr:row>
      <xdr:rowOff>99483</xdr:rowOff>
    </xdr:to>
    <xdr:sp macro="" textlink="">
      <xdr:nvSpPr>
        <xdr:cNvPr id="7" name="Rectangle: Rounded Corners 6">
          <a:hlinkClick xmlns:r="http://schemas.openxmlformats.org/officeDocument/2006/relationships" r:id="rId4" tooltip="Balance Sheet"/>
          <a:extLst>
            <a:ext uri="{FF2B5EF4-FFF2-40B4-BE49-F238E27FC236}">
              <a16:creationId xmlns:a16="http://schemas.microsoft.com/office/drawing/2014/main" id="{4D8E5D59-1CA2-3696-E52E-FDFA4956C7D2}"/>
            </a:ext>
          </a:extLst>
        </xdr:cNvPr>
        <xdr:cNvSpPr/>
      </xdr:nvSpPr>
      <xdr:spPr>
        <a:xfrm>
          <a:off x="14986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Balance Sheet</a:t>
          </a:r>
        </a:p>
      </xdr:txBody>
    </xdr:sp>
    <xdr:clientData/>
  </xdr:twoCellAnchor>
  <xdr:twoCellAnchor>
    <xdr:from>
      <xdr:col>0</xdr:col>
      <xdr:colOff>152400</xdr:colOff>
      <xdr:row>6</xdr:row>
      <xdr:rowOff>137583</xdr:rowOff>
    </xdr:from>
    <xdr:to>
      <xdr:col>0</xdr:col>
      <xdr:colOff>1447800</xdr:colOff>
      <xdr:row>8</xdr:row>
      <xdr:rowOff>35983</xdr:rowOff>
    </xdr:to>
    <xdr:sp macro="" textlink="">
      <xdr:nvSpPr>
        <xdr:cNvPr id="8" name="Rectangle: Rounded Corners 7">
          <a:hlinkClick xmlns:r="http://schemas.openxmlformats.org/officeDocument/2006/relationships" r:id="rId5" tooltip="Cash Flow"/>
          <a:extLst>
            <a:ext uri="{FF2B5EF4-FFF2-40B4-BE49-F238E27FC236}">
              <a16:creationId xmlns:a16="http://schemas.microsoft.com/office/drawing/2014/main" id="{5A4E9AC2-CB41-3B9F-A0AF-89C5AEA2BB0C}"/>
            </a:ext>
          </a:extLst>
        </xdr:cNvPr>
        <xdr:cNvSpPr/>
      </xdr:nvSpPr>
      <xdr:spPr>
        <a:xfrm>
          <a:off x="152400" y="13970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Cash Flow</a:t>
          </a:r>
        </a:p>
      </xdr:txBody>
    </xdr:sp>
    <xdr:clientData/>
  </xdr:twoCellAnchor>
  <xdr:twoCellAnchor>
    <xdr:from>
      <xdr:col>0</xdr:col>
      <xdr:colOff>1498600</xdr:colOff>
      <xdr:row>6</xdr:row>
      <xdr:rowOff>137583</xdr:rowOff>
    </xdr:from>
    <xdr:to>
      <xdr:col>0</xdr:col>
      <xdr:colOff>2794000</xdr:colOff>
      <xdr:row>8</xdr:row>
      <xdr:rowOff>35983</xdr:rowOff>
    </xdr:to>
    <xdr:sp macro="" textlink="">
      <xdr:nvSpPr>
        <xdr:cNvPr id="9" name="Rectangle: Rounded Corners 8">
          <a:hlinkClick xmlns:r="http://schemas.openxmlformats.org/officeDocument/2006/relationships" r:id="rId6" tooltip="KPIs"/>
          <a:extLst>
            <a:ext uri="{FF2B5EF4-FFF2-40B4-BE49-F238E27FC236}">
              <a16:creationId xmlns:a16="http://schemas.microsoft.com/office/drawing/2014/main" id="{BB0C2064-7F73-F058-4BE6-84CA08475A18}"/>
            </a:ext>
          </a:extLst>
        </xdr:cNvPr>
        <xdr:cNvSpPr/>
      </xdr:nvSpPr>
      <xdr:spPr>
        <a:xfrm>
          <a:off x="14986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KPIs</a:t>
          </a:r>
        </a:p>
      </xdr:txBody>
    </xdr:sp>
    <xdr:clientData/>
  </xdr:twoCellAnchor>
  <xdr:twoCellAnchor>
    <xdr:from>
      <xdr:col>0</xdr:col>
      <xdr:colOff>152400</xdr:colOff>
      <xdr:row>8</xdr:row>
      <xdr:rowOff>74083</xdr:rowOff>
    </xdr:from>
    <xdr:to>
      <xdr:col>0</xdr:col>
      <xdr:colOff>1447800</xdr:colOff>
      <xdr:row>9</xdr:row>
      <xdr:rowOff>162983</xdr:rowOff>
    </xdr:to>
    <xdr:sp macro="" textlink="">
      <xdr:nvSpPr>
        <xdr:cNvPr id="10" name="Rectangle: Rounded Corners 9">
          <a:hlinkClick xmlns:r="http://schemas.openxmlformats.org/officeDocument/2006/relationships" r:id="rId7" tooltip="Commentary"/>
          <a:extLst>
            <a:ext uri="{FF2B5EF4-FFF2-40B4-BE49-F238E27FC236}">
              <a16:creationId xmlns:a16="http://schemas.microsoft.com/office/drawing/2014/main" id="{D97F1399-4676-5F7F-9D62-B532753FB8DA}"/>
            </a:ext>
          </a:extLst>
        </xdr:cNvPr>
        <xdr:cNvSpPr/>
      </xdr:nvSpPr>
      <xdr:spPr>
        <a:xfrm>
          <a:off x="1524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Commentary</a:t>
          </a:r>
        </a:p>
      </xdr:txBody>
    </xdr:sp>
    <xdr:clientData/>
  </xdr:twoCellAnchor>
  <xdr:twoCellAnchor>
    <xdr:from>
      <xdr:col>0</xdr:col>
      <xdr:colOff>1498600</xdr:colOff>
      <xdr:row>8</xdr:row>
      <xdr:rowOff>74083</xdr:rowOff>
    </xdr:from>
    <xdr:to>
      <xdr:col>0</xdr:col>
      <xdr:colOff>2794000</xdr:colOff>
      <xdr:row>9</xdr:row>
      <xdr:rowOff>162983</xdr:rowOff>
    </xdr:to>
    <xdr:sp macro="" textlink="">
      <xdr:nvSpPr>
        <xdr:cNvPr id="11" name="Rectangle: Rounded Corners 10">
          <a:hlinkClick xmlns:r="http://schemas.openxmlformats.org/officeDocument/2006/relationships" r:id="rId8" tooltip="Guide"/>
          <a:extLst>
            <a:ext uri="{FF2B5EF4-FFF2-40B4-BE49-F238E27FC236}">
              <a16:creationId xmlns:a16="http://schemas.microsoft.com/office/drawing/2014/main" id="{BEC42236-911A-C79C-F075-B4A84C3E71EE}"/>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editAs="absolute">
    <xdr:from>
      <xdr:col>0</xdr:col>
      <xdr:colOff>152400</xdr:colOff>
      <xdr:row>10</xdr:row>
      <xdr:rowOff>112183</xdr:rowOff>
    </xdr:from>
    <xdr:to>
      <xdr:col>0</xdr:col>
      <xdr:colOff>2794000</xdr:colOff>
      <xdr:row>18</xdr:row>
      <xdr:rowOff>188383</xdr:rowOff>
    </xdr:to>
    <mc:AlternateContent xmlns:mc="http://schemas.openxmlformats.org/markup-compatibility/2006" xmlns:sle15="http://schemas.microsoft.com/office/drawing/2012/slicer">
      <mc:Choice Requires="sle15">
        <xdr:graphicFrame macro="">
          <xdr:nvGraphicFramePr>
            <xdr:cNvPr id="12" name="s10">
              <a:extLst>
                <a:ext uri="{FF2B5EF4-FFF2-40B4-BE49-F238E27FC236}">
                  <a16:creationId xmlns:a16="http://schemas.microsoft.com/office/drawing/2014/main" id="{AEDE4C20-7E73-FEA8-44C0-F8D202836909}"/>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10"/>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152400</xdr:colOff>
      <xdr:row>0</xdr:row>
      <xdr:rowOff>127000</xdr:rowOff>
    </xdr:from>
    <xdr:to>
      <xdr:col>0</xdr:col>
      <xdr:colOff>2794000</xdr:colOff>
      <xdr:row>1</xdr:row>
      <xdr:rowOff>129117</xdr:rowOff>
    </xdr:to>
    <xdr:sp macro="" textlink="">
      <xdr:nvSpPr>
        <xdr:cNvPr id="2" name="TextBox 1">
          <a:extLst>
            <a:ext uri="{FF2B5EF4-FFF2-40B4-BE49-F238E27FC236}">
              <a16:creationId xmlns:a16="http://schemas.microsoft.com/office/drawing/2014/main" id="{66CC212C-2175-5ED4-AE07-D34704BCA3E3}"/>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1</xdr:row>
      <xdr:rowOff>129117</xdr:rowOff>
    </xdr:from>
    <xdr:to>
      <xdr:col>0</xdr:col>
      <xdr:colOff>2794000</xdr:colOff>
      <xdr:row>2</xdr:row>
      <xdr:rowOff>146050</xdr:rowOff>
    </xdr:to>
    <xdr:sp macro="" textlink="">
      <xdr:nvSpPr>
        <xdr:cNvPr id="3" name="TextBox 2">
          <a:extLst>
            <a:ext uri="{FF2B5EF4-FFF2-40B4-BE49-F238E27FC236}">
              <a16:creationId xmlns:a16="http://schemas.microsoft.com/office/drawing/2014/main" id="{8C84DEAF-4AD9-1F1A-02F0-8A827BA3B4EE}"/>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3</xdr:row>
      <xdr:rowOff>52917</xdr:rowOff>
    </xdr:from>
    <xdr:to>
      <xdr:col>0</xdr:col>
      <xdr:colOff>1447800</xdr:colOff>
      <xdr:row>4</xdr:row>
      <xdr:rowOff>162983</xdr:rowOff>
    </xdr:to>
    <xdr:sp macro="" textlink="">
      <xdr:nvSpPr>
        <xdr:cNvPr id="4" name="Rectangle: Rounded Corners 3">
          <a:hlinkClick xmlns:r="http://schemas.openxmlformats.org/officeDocument/2006/relationships" r:id="rId1" tooltip="Dashboard"/>
          <a:extLst>
            <a:ext uri="{FF2B5EF4-FFF2-40B4-BE49-F238E27FC236}">
              <a16:creationId xmlns:a16="http://schemas.microsoft.com/office/drawing/2014/main" id="{259FA0FE-DF1A-2432-7C40-59D2FE813ACB}"/>
            </a:ext>
          </a:extLst>
        </xdr:cNvPr>
        <xdr:cNvSpPr/>
      </xdr:nvSpPr>
      <xdr:spPr>
        <a:xfrm>
          <a:off x="1524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Dashboard</a:t>
          </a:r>
        </a:p>
      </xdr:txBody>
    </xdr:sp>
    <xdr:clientData/>
  </xdr:twoCellAnchor>
  <xdr:twoCellAnchor>
    <xdr:from>
      <xdr:col>0</xdr:col>
      <xdr:colOff>1498600</xdr:colOff>
      <xdr:row>3</xdr:row>
      <xdr:rowOff>52917</xdr:rowOff>
    </xdr:from>
    <xdr:to>
      <xdr:col>0</xdr:col>
      <xdr:colOff>2794000</xdr:colOff>
      <xdr:row>4</xdr:row>
      <xdr:rowOff>162983</xdr:rowOff>
    </xdr:to>
    <xdr:sp macro="" textlink="">
      <xdr:nvSpPr>
        <xdr:cNvPr id="5" name="Rectangle: Rounded Corners 4">
          <a:hlinkClick xmlns:r="http://schemas.openxmlformats.org/officeDocument/2006/relationships" r:id="rId2" tooltip="Trends"/>
          <a:extLst>
            <a:ext uri="{FF2B5EF4-FFF2-40B4-BE49-F238E27FC236}">
              <a16:creationId xmlns:a16="http://schemas.microsoft.com/office/drawing/2014/main" id="{B564EFE3-7921-D747-B896-C2D774DD4FD0}"/>
            </a:ext>
          </a:extLst>
        </xdr:cNvPr>
        <xdr:cNvSpPr/>
      </xdr:nvSpPr>
      <xdr:spPr>
        <a:xfrm>
          <a:off x="14986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Trends</a:t>
          </a:r>
        </a:p>
      </xdr:txBody>
    </xdr:sp>
    <xdr:clientData/>
  </xdr:twoCellAnchor>
  <xdr:twoCellAnchor>
    <xdr:from>
      <xdr:col>0</xdr:col>
      <xdr:colOff>152400</xdr:colOff>
      <xdr:row>5</xdr:row>
      <xdr:rowOff>10583</xdr:rowOff>
    </xdr:from>
    <xdr:to>
      <xdr:col>0</xdr:col>
      <xdr:colOff>1447800</xdr:colOff>
      <xdr:row>5</xdr:row>
      <xdr:rowOff>289983</xdr:rowOff>
    </xdr:to>
    <xdr:sp macro="" textlink="">
      <xdr:nvSpPr>
        <xdr:cNvPr id="6" name="Rectangle: Rounded Corners 5">
          <a:hlinkClick xmlns:r="http://schemas.openxmlformats.org/officeDocument/2006/relationships" r:id="rId3" tooltip="Income Stmt"/>
          <a:extLst>
            <a:ext uri="{FF2B5EF4-FFF2-40B4-BE49-F238E27FC236}">
              <a16:creationId xmlns:a16="http://schemas.microsoft.com/office/drawing/2014/main" id="{A07504A0-2B87-2124-E13B-D2870E62AB83}"/>
            </a:ext>
          </a:extLst>
        </xdr:cNvPr>
        <xdr:cNvSpPr/>
      </xdr:nvSpPr>
      <xdr:spPr>
        <a:xfrm>
          <a:off x="1524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Income Stmt</a:t>
          </a:r>
        </a:p>
      </xdr:txBody>
    </xdr:sp>
    <xdr:clientData/>
  </xdr:twoCellAnchor>
  <xdr:twoCellAnchor>
    <xdr:from>
      <xdr:col>0</xdr:col>
      <xdr:colOff>1498600</xdr:colOff>
      <xdr:row>5</xdr:row>
      <xdr:rowOff>10583</xdr:rowOff>
    </xdr:from>
    <xdr:to>
      <xdr:col>0</xdr:col>
      <xdr:colOff>2794000</xdr:colOff>
      <xdr:row>5</xdr:row>
      <xdr:rowOff>289983</xdr:rowOff>
    </xdr:to>
    <xdr:sp macro="" textlink="">
      <xdr:nvSpPr>
        <xdr:cNvPr id="7" name="Rectangle: Rounded Corners 6">
          <a:hlinkClick xmlns:r="http://schemas.openxmlformats.org/officeDocument/2006/relationships" r:id="rId4" tooltip="Balance Sheet"/>
          <a:extLst>
            <a:ext uri="{FF2B5EF4-FFF2-40B4-BE49-F238E27FC236}">
              <a16:creationId xmlns:a16="http://schemas.microsoft.com/office/drawing/2014/main" id="{5B0A9599-50BE-AAFC-13B4-5AE9C03AA464}"/>
            </a:ext>
          </a:extLst>
        </xdr:cNvPr>
        <xdr:cNvSpPr/>
      </xdr:nvSpPr>
      <xdr:spPr>
        <a:xfrm>
          <a:off x="14986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Balance Sheet</a:t>
          </a:r>
        </a:p>
      </xdr:txBody>
    </xdr:sp>
    <xdr:clientData/>
  </xdr:twoCellAnchor>
  <xdr:twoCellAnchor>
    <xdr:from>
      <xdr:col>0</xdr:col>
      <xdr:colOff>152400</xdr:colOff>
      <xdr:row>6</xdr:row>
      <xdr:rowOff>0</xdr:rowOff>
    </xdr:from>
    <xdr:to>
      <xdr:col>0</xdr:col>
      <xdr:colOff>1447800</xdr:colOff>
      <xdr:row>7</xdr:row>
      <xdr:rowOff>88900</xdr:rowOff>
    </xdr:to>
    <xdr:sp macro="" textlink="">
      <xdr:nvSpPr>
        <xdr:cNvPr id="8" name="Rectangle: Rounded Corners 7">
          <a:hlinkClick xmlns:r="http://schemas.openxmlformats.org/officeDocument/2006/relationships" r:id="rId5" tooltip="Cash Flow"/>
          <a:extLst>
            <a:ext uri="{FF2B5EF4-FFF2-40B4-BE49-F238E27FC236}">
              <a16:creationId xmlns:a16="http://schemas.microsoft.com/office/drawing/2014/main" id="{70BC02AF-3EB2-94C0-F3D2-07224F01FEEB}"/>
            </a:ext>
          </a:extLst>
        </xdr:cNvPr>
        <xdr:cNvSpPr/>
      </xdr:nvSpPr>
      <xdr:spPr>
        <a:xfrm>
          <a:off x="1524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Cash Flow</a:t>
          </a:r>
        </a:p>
      </xdr:txBody>
    </xdr:sp>
    <xdr:clientData/>
  </xdr:twoCellAnchor>
  <xdr:twoCellAnchor>
    <xdr:from>
      <xdr:col>0</xdr:col>
      <xdr:colOff>1498600</xdr:colOff>
      <xdr:row>6</xdr:row>
      <xdr:rowOff>0</xdr:rowOff>
    </xdr:from>
    <xdr:to>
      <xdr:col>0</xdr:col>
      <xdr:colOff>2794000</xdr:colOff>
      <xdr:row>7</xdr:row>
      <xdr:rowOff>88900</xdr:rowOff>
    </xdr:to>
    <xdr:sp macro="" textlink="">
      <xdr:nvSpPr>
        <xdr:cNvPr id="9" name="Rectangle: Rounded Corners 8">
          <a:hlinkClick xmlns:r="http://schemas.openxmlformats.org/officeDocument/2006/relationships" r:id="rId6" tooltip="KPIs"/>
          <a:extLst>
            <a:ext uri="{FF2B5EF4-FFF2-40B4-BE49-F238E27FC236}">
              <a16:creationId xmlns:a16="http://schemas.microsoft.com/office/drawing/2014/main" id="{920AACC0-F3E7-BD49-5E25-224B46B4955B}"/>
            </a:ext>
          </a:extLst>
        </xdr:cNvPr>
        <xdr:cNvSpPr/>
      </xdr:nvSpPr>
      <xdr:spPr>
        <a:xfrm>
          <a:off x="1498600" y="13970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KPIs</a:t>
          </a:r>
        </a:p>
      </xdr:txBody>
    </xdr:sp>
    <xdr:clientData/>
  </xdr:twoCellAnchor>
  <xdr:twoCellAnchor>
    <xdr:from>
      <xdr:col>0</xdr:col>
      <xdr:colOff>152400</xdr:colOff>
      <xdr:row>7</xdr:row>
      <xdr:rowOff>127000</xdr:rowOff>
    </xdr:from>
    <xdr:to>
      <xdr:col>0</xdr:col>
      <xdr:colOff>1447800</xdr:colOff>
      <xdr:row>9</xdr:row>
      <xdr:rowOff>25400</xdr:rowOff>
    </xdr:to>
    <xdr:sp macro="" textlink="">
      <xdr:nvSpPr>
        <xdr:cNvPr id="10" name="Rectangle: Rounded Corners 9">
          <a:hlinkClick xmlns:r="http://schemas.openxmlformats.org/officeDocument/2006/relationships" r:id="rId7" tooltip="Commentary"/>
          <a:extLst>
            <a:ext uri="{FF2B5EF4-FFF2-40B4-BE49-F238E27FC236}">
              <a16:creationId xmlns:a16="http://schemas.microsoft.com/office/drawing/2014/main" id="{57E1A563-E5BF-1755-9E6C-8210A1760167}"/>
            </a:ext>
          </a:extLst>
        </xdr:cNvPr>
        <xdr:cNvSpPr/>
      </xdr:nvSpPr>
      <xdr:spPr>
        <a:xfrm>
          <a:off x="1524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Commentary</a:t>
          </a:r>
        </a:p>
      </xdr:txBody>
    </xdr:sp>
    <xdr:clientData/>
  </xdr:twoCellAnchor>
  <xdr:twoCellAnchor>
    <xdr:from>
      <xdr:col>0</xdr:col>
      <xdr:colOff>1498600</xdr:colOff>
      <xdr:row>7</xdr:row>
      <xdr:rowOff>127000</xdr:rowOff>
    </xdr:from>
    <xdr:to>
      <xdr:col>0</xdr:col>
      <xdr:colOff>2794000</xdr:colOff>
      <xdr:row>9</xdr:row>
      <xdr:rowOff>25400</xdr:rowOff>
    </xdr:to>
    <xdr:sp macro="" textlink="">
      <xdr:nvSpPr>
        <xdr:cNvPr id="11" name="Rectangle: Rounded Corners 10">
          <a:hlinkClick xmlns:r="http://schemas.openxmlformats.org/officeDocument/2006/relationships" r:id="rId8" tooltip="Guide"/>
          <a:extLst>
            <a:ext uri="{FF2B5EF4-FFF2-40B4-BE49-F238E27FC236}">
              <a16:creationId xmlns:a16="http://schemas.microsoft.com/office/drawing/2014/main" id="{2FC2C1CA-9CD8-1131-72A0-79A8C0648A56}"/>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editAs="absolute">
    <xdr:from>
      <xdr:col>0</xdr:col>
      <xdr:colOff>152400</xdr:colOff>
      <xdr:row>9</xdr:row>
      <xdr:rowOff>165100</xdr:rowOff>
    </xdr:from>
    <xdr:to>
      <xdr:col>0</xdr:col>
      <xdr:colOff>2794000</xdr:colOff>
      <xdr:row>18</xdr:row>
      <xdr:rowOff>50800</xdr:rowOff>
    </xdr:to>
    <mc:AlternateContent xmlns:mc="http://schemas.openxmlformats.org/markup-compatibility/2006" xmlns:sle15="http://schemas.microsoft.com/office/drawing/2012/slicer">
      <mc:Choice Requires="sle15">
        <xdr:graphicFrame macro="">
          <xdr:nvGraphicFramePr>
            <xdr:cNvPr id="12" name="s11">
              <a:extLst>
                <a:ext uri="{FF2B5EF4-FFF2-40B4-BE49-F238E27FC236}">
                  <a16:creationId xmlns:a16="http://schemas.microsoft.com/office/drawing/2014/main" id="{F73A2DD2-3486-253A-484F-82C06F00431F}"/>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11"/>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152400</xdr:colOff>
      <xdr:row>0</xdr:row>
      <xdr:rowOff>127000</xdr:rowOff>
    </xdr:from>
    <xdr:to>
      <xdr:col>0</xdr:col>
      <xdr:colOff>2794000</xdr:colOff>
      <xdr:row>1</xdr:row>
      <xdr:rowOff>129117</xdr:rowOff>
    </xdr:to>
    <xdr:sp macro="" textlink="">
      <xdr:nvSpPr>
        <xdr:cNvPr id="2" name="TextBox 1">
          <a:extLst>
            <a:ext uri="{FF2B5EF4-FFF2-40B4-BE49-F238E27FC236}">
              <a16:creationId xmlns:a16="http://schemas.microsoft.com/office/drawing/2014/main" id="{71C1CD11-6138-E0F7-562D-A6802F947BFC}"/>
            </a:ext>
          </a:extLst>
        </xdr:cNvPr>
        <xdr:cNvSpPr txBox="1"/>
      </xdr:nvSpPr>
      <xdr:spPr>
        <a:xfrm>
          <a:off x="152400" y="127000"/>
          <a:ext cx="2641600" cy="3302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500" b="1">
              <a:solidFill>
                <a:srgbClr val="FFFFFF"/>
              </a:solidFill>
              <a:latin typeface="Segoe UI" panose="020B0502040204020203" pitchFamily="34" charset="0"/>
            </a:rPr>
            <a:t>COSKUN, Inc.</a:t>
          </a:r>
        </a:p>
      </xdr:txBody>
    </xdr:sp>
    <xdr:clientData/>
  </xdr:twoCellAnchor>
  <xdr:twoCellAnchor>
    <xdr:from>
      <xdr:col>0</xdr:col>
      <xdr:colOff>152400</xdr:colOff>
      <xdr:row>1</xdr:row>
      <xdr:rowOff>129117</xdr:rowOff>
    </xdr:from>
    <xdr:to>
      <xdr:col>0</xdr:col>
      <xdr:colOff>2794000</xdr:colOff>
      <xdr:row>2</xdr:row>
      <xdr:rowOff>146050</xdr:rowOff>
    </xdr:to>
    <xdr:sp macro="" textlink="">
      <xdr:nvSpPr>
        <xdr:cNvPr id="3" name="TextBox 2">
          <a:extLst>
            <a:ext uri="{FF2B5EF4-FFF2-40B4-BE49-F238E27FC236}">
              <a16:creationId xmlns:a16="http://schemas.microsoft.com/office/drawing/2014/main" id="{88097832-8634-A643-4BD7-210A6DE851D3}"/>
            </a:ext>
          </a:extLst>
        </xdr:cNvPr>
        <xdr:cNvSpPr txBox="1"/>
      </xdr:nvSpPr>
      <xdr:spPr>
        <a:xfrm>
          <a:off x="152400" y="457200"/>
          <a:ext cx="2641600" cy="2286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800">
              <a:solidFill>
                <a:srgbClr val="C9D6E3"/>
              </a:solidFill>
              <a:latin typeface="Segoe UI" panose="020B0502040204020203" pitchFamily="34" charset="0"/>
            </a:rPr>
            <a:t>Management accounts</a:t>
          </a:r>
        </a:p>
      </xdr:txBody>
    </xdr:sp>
    <xdr:clientData/>
  </xdr:twoCellAnchor>
  <xdr:twoCellAnchor>
    <xdr:from>
      <xdr:col>0</xdr:col>
      <xdr:colOff>152400</xdr:colOff>
      <xdr:row>3</xdr:row>
      <xdr:rowOff>52917</xdr:rowOff>
    </xdr:from>
    <xdr:to>
      <xdr:col>0</xdr:col>
      <xdr:colOff>1447800</xdr:colOff>
      <xdr:row>4</xdr:row>
      <xdr:rowOff>162983</xdr:rowOff>
    </xdr:to>
    <xdr:sp macro="" textlink="">
      <xdr:nvSpPr>
        <xdr:cNvPr id="4" name="Rectangle: Rounded Corners 3">
          <a:hlinkClick xmlns:r="http://schemas.openxmlformats.org/officeDocument/2006/relationships" r:id="rId1" tooltip="Dashboard"/>
          <a:extLst>
            <a:ext uri="{FF2B5EF4-FFF2-40B4-BE49-F238E27FC236}">
              <a16:creationId xmlns:a16="http://schemas.microsoft.com/office/drawing/2014/main" id="{08A2F327-B95D-22A7-89F8-E58B1B2D223D}"/>
            </a:ext>
          </a:extLst>
        </xdr:cNvPr>
        <xdr:cNvSpPr/>
      </xdr:nvSpPr>
      <xdr:spPr>
        <a:xfrm>
          <a:off x="1524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Dashboard</a:t>
          </a:r>
        </a:p>
      </xdr:txBody>
    </xdr:sp>
    <xdr:clientData/>
  </xdr:twoCellAnchor>
  <xdr:twoCellAnchor>
    <xdr:from>
      <xdr:col>0</xdr:col>
      <xdr:colOff>1498600</xdr:colOff>
      <xdr:row>3</xdr:row>
      <xdr:rowOff>52917</xdr:rowOff>
    </xdr:from>
    <xdr:to>
      <xdr:col>0</xdr:col>
      <xdr:colOff>2794000</xdr:colOff>
      <xdr:row>4</xdr:row>
      <xdr:rowOff>162983</xdr:rowOff>
    </xdr:to>
    <xdr:sp macro="" textlink="">
      <xdr:nvSpPr>
        <xdr:cNvPr id="5" name="Rectangle: Rounded Corners 4">
          <a:hlinkClick xmlns:r="http://schemas.openxmlformats.org/officeDocument/2006/relationships" r:id="rId2" tooltip="Trends"/>
          <a:extLst>
            <a:ext uri="{FF2B5EF4-FFF2-40B4-BE49-F238E27FC236}">
              <a16:creationId xmlns:a16="http://schemas.microsoft.com/office/drawing/2014/main" id="{8232AA92-6768-E3D8-6032-B7B5C1EDF232}"/>
            </a:ext>
          </a:extLst>
        </xdr:cNvPr>
        <xdr:cNvSpPr/>
      </xdr:nvSpPr>
      <xdr:spPr>
        <a:xfrm>
          <a:off x="1498600" y="762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Trends</a:t>
          </a:r>
        </a:p>
      </xdr:txBody>
    </xdr:sp>
    <xdr:clientData/>
  </xdr:twoCellAnchor>
  <xdr:twoCellAnchor>
    <xdr:from>
      <xdr:col>0</xdr:col>
      <xdr:colOff>152400</xdr:colOff>
      <xdr:row>5</xdr:row>
      <xdr:rowOff>10583</xdr:rowOff>
    </xdr:from>
    <xdr:to>
      <xdr:col>0</xdr:col>
      <xdr:colOff>1447800</xdr:colOff>
      <xdr:row>6</xdr:row>
      <xdr:rowOff>99483</xdr:rowOff>
    </xdr:to>
    <xdr:sp macro="" textlink="">
      <xdr:nvSpPr>
        <xdr:cNvPr id="6" name="Rectangle: Rounded Corners 5">
          <a:hlinkClick xmlns:r="http://schemas.openxmlformats.org/officeDocument/2006/relationships" r:id="rId3" tooltip="Income Stmt"/>
          <a:extLst>
            <a:ext uri="{FF2B5EF4-FFF2-40B4-BE49-F238E27FC236}">
              <a16:creationId xmlns:a16="http://schemas.microsoft.com/office/drawing/2014/main" id="{228CBEC3-610F-386B-B2E7-FBB56EF0A4EE}"/>
            </a:ext>
          </a:extLst>
        </xdr:cNvPr>
        <xdr:cNvSpPr/>
      </xdr:nvSpPr>
      <xdr:spPr>
        <a:xfrm>
          <a:off x="1524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Income Stmt</a:t>
          </a:r>
        </a:p>
      </xdr:txBody>
    </xdr:sp>
    <xdr:clientData/>
  </xdr:twoCellAnchor>
  <xdr:twoCellAnchor>
    <xdr:from>
      <xdr:col>0</xdr:col>
      <xdr:colOff>1498600</xdr:colOff>
      <xdr:row>5</xdr:row>
      <xdr:rowOff>10583</xdr:rowOff>
    </xdr:from>
    <xdr:to>
      <xdr:col>0</xdr:col>
      <xdr:colOff>2794000</xdr:colOff>
      <xdr:row>6</xdr:row>
      <xdr:rowOff>99483</xdr:rowOff>
    </xdr:to>
    <xdr:sp macro="" textlink="">
      <xdr:nvSpPr>
        <xdr:cNvPr id="7" name="Rectangle: Rounded Corners 6">
          <a:hlinkClick xmlns:r="http://schemas.openxmlformats.org/officeDocument/2006/relationships" r:id="rId4" tooltip="Balance Sheet"/>
          <a:extLst>
            <a:ext uri="{FF2B5EF4-FFF2-40B4-BE49-F238E27FC236}">
              <a16:creationId xmlns:a16="http://schemas.microsoft.com/office/drawing/2014/main" id="{FBFC2628-04F8-5521-86E6-0CA9AFD4E0EA}"/>
            </a:ext>
          </a:extLst>
        </xdr:cNvPr>
        <xdr:cNvSpPr/>
      </xdr:nvSpPr>
      <xdr:spPr>
        <a:xfrm>
          <a:off x="1498600" y="1079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Balance Sheet</a:t>
          </a:r>
        </a:p>
      </xdr:txBody>
    </xdr:sp>
    <xdr:clientData/>
  </xdr:twoCellAnchor>
  <xdr:twoCellAnchor>
    <xdr:from>
      <xdr:col>0</xdr:col>
      <xdr:colOff>152400</xdr:colOff>
      <xdr:row>6</xdr:row>
      <xdr:rowOff>137583</xdr:rowOff>
    </xdr:from>
    <xdr:to>
      <xdr:col>0</xdr:col>
      <xdr:colOff>1447800</xdr:colOff>
      <xdr:row>6</xdr:row>
      <xdr:rowOff>416983</xdr:rowOff>
    </xdr:to>
    <xdr:sp macro="" textlink="">
      <xdr:nvSpPr>
        <xdr:cNvPr id="8" name="Rectangle: Rounded Corners 7">
          <a:hlinkClick xmlns:r="http://schemas.openxmlformats.org/officeDocument/2006/relationships" r:id="rId5" tooltip="Cash Flow"/>
          <a:extLst>
            <a:ext uri="{FF2B5EF4-FFF2-40B4-BE49-F238E27FC236}">
              <a16:creationId xmlns:a16="http://schemas.microsoft.com/office/drawing/2014/main" id="{04D312D4-2490-6C2C-3B7A-DC56C3768D57}"/>
            </a:ext>
          </a:extLst>
        </xdr:cNvPr>
        <xdr:cNvSpPr/>
      </xdr:nvSpPr>
      <xdr:spPr>
        <a:xfrm>
          <a:off x="1524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Cash Flow</a:t>
          </a:r>
        </a:p>
      </xdr:txBody>
    </xdr:sp>
    <xdr:clientData/>
  </xdr:twoCellAnchor>
  <xdr:twoCellAnchor>
    <xdr:from>
      <xdr:col>0</xdr:col>
      <xdr:colOff>1498600</xdr:colOff>
      <xdr:row>6</xdr:row>
      <xdr:rowOff>137583</xdr:rowOff>
    </xdr:from>
    <xdr:to>
      <xdr:col>0</xdr:col>
      <xdr:colOff>2794000</xdr:colOff>
      <xdr:row>6</xdr:row>
      <xdr:rowOff>416983</xdr:rowOff>
    </xdr:to>
    <xdr:sp macro="" textlink="">
      <xdr:nvSpPr>
        <xdr:cNvPr id="9" name="Rectangle: Rounded Corners 8">
          <a:hlinkClick xmlns:r="http://schemas.openxmlformats.org/officeDocument/2006/relationships" r:id="rId6" tooltip="KPIs"/>
          <a:extLst>
            <a:ext uri="{FF2B5EF4-FFF2-40B4-BE49-F238E27FC236}">
              <a16:creationId xmlns:a16="http://schemas.microsoft.com/office/drawing/2014/main" id="{0F76A932-01FC-7208-0490-6A24056AF65B}"/>
            </a:ext>
          </a:extLst>
        </xdr:cNvPr>
        <xdr:cNvSpPr/>
      </xdr:nvSpPr>
      <xdr:spPr>
        <a:xfrm>
          <a:off x="1498600" y="13970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KPIs</a:t>
          </a:r>
        </a:p>
      </xdr:txBody>
    </xdr:sp>
    <xdr:clientData/>
  </xdr:twoCellAnchor>
  <xdr:twoCellAnchor>
    <xdr:from>
      <xdr:col>0</xdr:col>
      <xdr:colOff>152400</xdr:colOff>
      <xdr:row>6</xdr:row>
      <xdr:rowOff>455083</xdr:rowOff>
    </xdr:from>
    <xdr:to>
      <xdr:col>0</xdr:col>
      <xdr:colOff>1447800</xdr:colOff>
      <xdr:row>6</xdr:row>
      <xdr:rowOff>734483</xdr:rowOff>
    </xdr:to>
    <xdr:sp macro="" textlink="">
      <xdr:nvSpPr>
        <xdr:cNvPr id="10" name="Rectangle: Rounded Corners 9">
          <a:hlinkClick xmlns:r="http://schemas.openxmlformats.org/officeDocument/2006/relationships" r:id="rId7" tooltip="Commentary"/>
          <a:extLst>
            <a:ext uri="{FF2B5EF4-FFF2-40B4-BE49-F238E27FC236}">
              <a16:creationId xmlns:a16="http://schemas.microsoft.com/office/drawing/2014/main" id="{8C496BA0-1F7B-6910-C23E-BBC3C45A51FC}"/>
            </a:ext>
          </a:extLst>
        </xdr:cNvPr>
        <xdr:cNvSpPr/>
      </xdr:nvSpPr>
      <xdr:spPr>
        <a:xfrm>
          <a:off x="152400" y="1714500"/>
          <a:ext cx="1295400" cy="279400"/>
        </a:xfrm>
        <a:prstGeom prst="roundRect">
          <a:avLst>
            <a:gd name="adj" fmla="val 30000"/>
          </a:avLst>
        </a:prstGeom>
        <a:solidFill>
          <a:srgbClr val="0E8A8A"/>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FFFFFF"/>
              </a:solidFill>
              <a:latin typeface="Segoe UI" panose="020B0502040204020203" pitchFamily="34" charset="0"/>
            </a:rPr>
            <a:t>Commentary</a:t>
          </a:r>
        </a:p>
      </xdr:txBody>
    </xdr:sp>
    <xdr:clientData/>
  </xdr:twoCellAnchor>
  <xdr:twoCellAnchor>
    <xdr:from>
      <xdr:col>0</xdr:col>
      <xdr:colOff>1498600</xdr:colOff>
      <xdr:row>6</xdr:row>
      <xdr:rowOff>455083</xdr:rowOff>
    </xdr:from>
    <xdr:to>
      <xdr:col>0</xdr:col>
      <xdr:colOff>2794000</xdr:colOff>
      <xdr:row>6</xdr:row>
      <xdr:rowOff>734483</xdr:rowOff>
    </xdr:to>
    <xdr:sp macro="" textlink="">
      <xdr:nvSpPr>
        <xdr:cNvPr id="11" name="Rectangle: Rounded Corners 10">
          <a:hlinkClick xmlns:r="http://schemas.openxmlformats.org/officeDocument/2006/relationships" r:id="rId8" tooltip="Guide"/>
          <a:extLst>
            <a:ext uri="{FF2B5EF4-FFF2-40B4-BE49-F238E27FC236}">
              <a16:creationId xmlns:a16="http://schemas.microsoft.com/office/drawing/2014/main" id="{EAD1E166-431F-33E2-FB02-7350A8C5A0A1}"/>
            </a:ext>
          </a:extLst>
        </xdr:cNvPr>
        <xdr:cNvSpPr/>
      </xdr:nvSpPr>
      <xdr:spPr>
        <a:xfrm>
          <a:off x="1498600" y="1714500"/>
          <a:ext cx="1295400" cy="279400"/>
        </a:xfrm>
        <a:prstGeom prst="roundRect">
          <a:avLst>
            <a:gd name="adj" fmla="val 30000"/>
          </a:avLst>
        </a:prstGeom>
        <a:solidFill>
          <a:srgbClr val="1B355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15000"/>
                </a:schemeClr>
              </a:solidFill>
              <a:prstDash val="solid"/>
            </a14:hiddenLine>
          </a:ext>
        </a:ex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25400" tIns="0" rIns="25400" bIns="0" rtlCol="0" anchor="ctr"/>
        <a:lstStyle/>
        <a:p>
          <a:pPr algn="ctr"/>
          <a:r>
            <a:rPr lang="en-US" sz="800">
              <a:solidFill>
                <a:srgbClr val="C9D6E3"/>
              </a:solidFill>
              <a:latin typeface="Segoe UI" panose="020B0502040204020203" pitchFamily="34" charset="0"/>
            </a:rPr>
            <a:t>Guide</a:t>
          </a:r>
        </a:p>
      </xdr:txBody>
    </xdr:sp>
    <xdr:clientData/>
  </xdr:twoCellAnchor>
  <xdr:twoCellAnchor editAs="absolute">
    <xdr:from>
      <xdr:col>0</xdr:col>
      <xdr:colOff>152400</xdr:colOff>
      <xdr:row>7</xdr:row>
      <xdr:rowOff>91017</xdr:rowOff>
    </xdr:from>
    <xdr:to>
      <xdr:col>0</xdr:col>
      <xdr:colOff>2794000</xdr:colOff>
      <xdr:row>9</xdr:row>
      <xdr:rowOff>124883</xdr:rowOff>
    </xdr:to>
    <mc:AlternateContent xmlns:mc="http://schemas.openxmlformats.org/markup-compatibility/2006" xmlns:sle15="http://schemas.microsoft.com/office/drawing/2012/slicer">
      <mc:Choice Requires="sle15">
        <xdr:graphicFrame macro="">
          <xdr:nvGraphicFramePr>
            <xdr:cNvPr id="12" name="s12">
              <a:extLst>
                <a:ext uri="{FF2B5EF4-FFF2-40B4-BE49-F238E27FC236}">
                  <a16:creationId xmlns:a16="http://schemas.microsoft.com/office/drawing/2014/main" id="{123826CE-53F5-C488-559B-D221580914E6}"/>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s12"/>
            </a:graphicData>
          </a:graphic>
        </xdr:graphicFrame>
      </mc:Choice>
      <mc:Fallback xmlns="">
        <xdr:sp macro="" textlink="">
          <xdr:nvSpPr>
            <xdr:cNvPr id="0" name=""/>
            <xdr:cNvSpPr>
              <a:spLocks noTextEdit="1"/>
            </xdr:cNvSpPr>
          </xdr:nvSpPr>
          <xdr:spPr>
            <a:xfrm>
              <a:off x="152400" y="2133600"/>
              <a:ext cx="2641600" cy="16002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st_line" xr10:uid="{A653EC44-D45F-4DF4-BF43-8872C07AB52A}" sourceName="Cost line">
  <extLst>
    <x:ext xmlns:x15="http://schemas.microsoft.com/office/spreadsheetml/2010/11/main" uri="{2F2917AC-EB37-4324-AD4E-5DD8C200BD13}">
      <x15:tableSlicerCache tableId="4"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iew" xr10:uid="{2D799F94-91B8-4D08-8234-C9677E6FF7E3}" sourceName="View">
  <extLst>
    <x:ext xmlns:x15="http://schemas.microsoft.com/office/spreadsheetml/2010/11/main" uri="{2F2917AC-EB37-4324-AD4E-5DD8C200BD13}">
      <x15:tableSlicerCache tableId="2" column="1"/>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etric" xr10:uid="{2EA758A8-EA4F-4A82-A361-1CF12A71CB82}" sourceName="Metric">
  <extLst>
    <x:ext xmlns:x15="http://schemas.microsoft.com/office/spreadsheetml/2010/11/main" uri="{2F2917AC-EB37-4324-AD4E-5DD8C200BD13}">
      <x15:tableSlicerCache tableId="3" column="1"/>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 xr10:uid="{DE8652C5-90D9-44AF-9356-84A026C29981}" sourceName="Month">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4" xr10:uid="{23072A82-6948-4200-A6AF-D4ED3AF0E861}" cache="Slicer_Cost_line" caption="Cost line" style="RailSlicer" lockedPosition="1" rowHeight="241300"/>
  <slicer name="s2" xr10:uid="{ADB83A2D-2279-43E8-93A8-55E505CDBA48}" cache="Slicer_View" caption="View" columnCount="2" style="RailSlicer" lockedPosition="1" rowHeight="241300"/>
  <slicer name="s3" xr10:uid="{0C4CC5F5-20CF-4F0B-8ADF-B888532C25B3}" cache="Slicer_Metric" caption="Metric" columnCount="2" style="RailSlicer" lockedPosition="1" rowHeight="241300"/>
  <slicer name="s1" xr10:uid="{A9D7B498-1A79-4107-98DA-A58F090CA35B}" cache="Slicer_Month" caption="Month" columnCount="3" style="RailSlicer" lockedPosition="1"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7" xr10:uid="{58168C21-0347-474E-ADC8-FA2F0EC6794F}" cache="Slicer_Cost_line" caption="Cost line" style="RailSlicer" lockedPosition="1" rowHeight="241300"/>
  <slicer name="s6" xr10:uid="{7AC914B0-816D-409F-BB44-E2230505B7DC}" cache="Slicer_Metric" caption="Metric" columnCount="2" style="RailSlicer" lockedPosition="1" rowHeight="241300"/>
  <slicer name="s5" xr10:uid="{D6EB73A5-9851-4090-8D01-1C71066F4B1B}" cache="Slicer_Month" caption="Month" columnCount="3" style="RailSlicer" lockedPosition="1" rowHeight="2413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8" xr10:uid="{1F8711DC-9FB8-47E2-9D93-FBC548347F46}" cache="Slicer_Month" caption="Month" columnCount="3" style="RailSlicer" lockedPosition="1" rowHeight="241300"/>
</slicers>
</file>

<file path=xl/slicers/slicer4.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9" xr10:uid="{4FD54DF8-8817-449F-9378-A70D4CC89DA4}" cache="Slicer_Month" caption="Month" columnCount="3" style="RailSlicer" lockedPosition="1" rowHeight="241300"/>
</slicers>
</file>

<file path=xl/slicers/slicer5.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10" xr10:uid="{CD3B956E-DD6F-4FD4-8EAD-6BD23081CA83}" cache="Slicer_Month" caption="Month" columnCount="3" style="RailSlicer" lockedPosition="1" rowHeight="241300"/>
</slicers>
</file>

<file path=xl/slicers/slicer6.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11" xr10:uid="{1E9C69EC-2B8B-43E0-8B66-F47A418E03AE}" cache="Slicer_Month" caption="Month" columnCount="3" style="RailSlicer" lockedPosition="1" rowHeight="241300"/>
</slicers>
</file>

<file path=xl/slicers/slicer7.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12" xr10:uid="{126DBE40-7320-457C-AE59-D5FF55B41CD8}" cache="Slicer_Month" caption="Month" columnCount="3" style="RailSlicer" lockedPosition="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Month" displayName="tblMonth" ref="B3:D15" totalsRowShown="0">
  <autoFilter ref="B3:D15" xr:uid="{00000000-0009-0000-0100-000001000000}">
    <filterColumn colId="1">
      <filters>
        <filter val="10 Oct"/>
      </filters>
    </filterColumn>
  </autoFilter>
  <tableColumns count="3">
    <tableColumn id="1" xr3:uid="{00000000-0010-0000-0000-000001000000}" name="N"/>
    <tableColumn id="2" xr3:uid="{00000000-0010-0000-0000-000002000000}" name="Month">
      <calculatedColumnFormula>TEXT(tblMonth[[#This Row],[N]],"00")&amp;" "&amp;TEXT(INDEX(Setup!$B$24:$B$35,tblMonth[[#This Row],[N]]),"mmm")</calculatedColumnFormula>
    </tableColumn>
    <tableColumn id="3" xr3:uid="{00000000-0010-0000-0000-000003000000}" name="Vis">
      <calculatedColumnFormula>SUBTOTAL(103,tblMonth[[#This Row],[N]])</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View" displayName="tblView" ref="B19:C21" totalsRowShown="0">
  <autoFilter ref="B19:C21" xr:uid="{00000000-0009-0000-0100-000002000000}">
    <filterColumn colId="0">
      <filters>
        <filter val="YTD"/>
      </filters>
    </filterColumn>
  </autoFilter>
  <tableColumns count="2">
    <tableColumn id="1" xr3:uid="{00000000-0010-0000-0100-000001000000}" name="View"/>
    <tableColumn id="2" xr3:uid="{00000000-0010-0000-0100-000002000000}" name="Vis">
      <calculatedColumnFormula>SUBTOTAL(103,tblView[[#This Row],[View]])</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Metric" displayName="tblMetric" ref="B24:C29" totalsRowShown="0">
  <autoFilter ref="B24:C29" xr:uid="{00000000-0009-0000-0100-000003000000}">
    <filterColumn colId="0">
      <filters>
        <filter val="Revenue"/>
      </filters>
    </filterColumn>
  </autoFilter>
  <tableColumns count="2">
    <tableColumn id="1" xr3:uid="{00000000-0010-0000-0200-000001000000}" name="Metric"/>
    <tableColumn id="2" xr3:uid="{00000000-0010-0000-0200-000002000000}" name="Vis">
      <calculatedColumnFormula>SUBTOTAL(103,tblMetric[[#This Row],[Metric]])</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lCost" displayName="tblCost" ref="B32:C42" totalsRowShown="0">
  <autoFilter ref="B32:C42" xr:uid="{00000000-0009-0000-0100-000004000000}"/>
  <tableColumns count="2">
    <tableColumn id="1" xr3:uid="{00000000-0010-0000-0300-000001000000}" name="Cost line"/>
    <tableColumn id="2" xr3:uid="{00000000-0010-0000-0300-000002000000}" name="Vis">
      <calculatedColumnFormula>SUBTOTAL(103,tblCost[[#This Row],[Cost line]])</calculatedColumnFormula>
    </tableColumn>
  </tableColumns>
  <tableStyleInfo name="TableStyleLight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microsoft.com/office/2007/relationships/slicer" Target="../slicers/slicer2.x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microsoft.com/office/2007/relationships/slicer" Target="../slicers/slicer3.x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microsoft.com/office/2007/relationships/slicer" Target="../slicers/slicer4.x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microsoft.com/office/2007/relationships/slicer" Target="../slicers/slicer5.x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microsoft.com/office/2007/relationships/slicer" Target="../slicers/slicer6.x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microsoft.com/office/2007/relationships/slicer" Target="../slicers/slicer7.xml"/><Relationship Id="rId1" Type="http://schemas.openxmlformats.org/officeDocument/2006/relationships/drawing" Target="../drawings/drawing7.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B4BCC8"/>
  </sheetPr>
  <dimension ref="B1:C27"/>
  <sheetViews>
    <sheetView showGridLines="0" workbookViewId="0">
      <selection activeCell="I6" sqref="I6"/>
    </sheetView>
  </sheetViews>
  <sheetFormatPr defaultRowHeight="15" x14ac:dyDescent="0.25"/>
  <cols>
    <col min="1" max="1" width="2" customWidth="1"/>
    <col min="2" max="2" width="30" customWidth="1"/>
    <col min="3" max="3" width="117.140625" customWidth="1"/>
  </cols>
  <sheetData>
    <row r="1" spans="2:3" ht="25.5" x14ac:dyDescent="0.25">
      <c r="B1" s="81" t="s">
        <v>581</v>
      </c>
    </row>
    <row r="2" spans="2:3" x14ac:dyDescent="0.25">
      <c r="B2" s="82" t="s">
        <v>582</v>
      </c>
    </row>
    <row r="4" spans="2:3" ht="16.5" x14ac:dyDescent="0.25">
      <c r="B4" s="83" t="s">
        <v>583</v>
      </c>
    </row>
    <row r="5" spans="2:3" ht="16.5" customHeight="1" x14ac:dyDescent="0.25">
      <c r="B5" s="84" t="s">
        <v>584</v>
      </c>
      <c r="C5" s="85" t="s">
        <v>585</v>
      </c>
    </row>
    <row r="6" spans="2:3" ht="16.5" x14ac:dyDescent="0.25">
      <c r="B6" s="83" t="s">
        <v>586</v>
      </c>
    </row>
    <row r="7" spans="2:3" ht="16.5" customHeight="1" x14ac:dyDescent="0.25">
      <c r="B7" s="84" t="s">
        <v>587</v>
      </c>
      <c r="C7" s="85" t="s">
        <v>588</v>
      </c>
    </row>
    <row r="8" spans="2:3" ht="25.5" customHeight="1" x14ac:dyDescent="0.25">
      <c r="B8" s="84" t="s">
        <v>589</v>
      </c>
      <c r="C8" s="85" t="s">
        <v>590</v>
      </c>
    </row>
    <row r="9" spans="2:3" ht="16.5" customHeight="1" x14ac:dyDescent="0.25">
      <c r="B9" s="84" t="s">
        <v>591</v>
      </c>
      <c r="C9" s="85" t="s">
        <v>592</v>
      </c>
    </row>
    <row r="10" spans="2:3" ht="16.5" customHeight="1" x14ac:dyDescent="0.25">
      <c r="B10" s="84" t="s">
        <v>593</v>
      </c>
      <c r="C10" s="85" t="s">
        <v>594</v>
      </c>
    </row>
    <row r="11" spans="2:3" ht="16.5" customHeight="1" x14ac:dyDescent="0.25">
      <c r="B11" s="84" t="s">
        <v>595</v>
      </c>
      <c r="C11" s="85" t="s">
        <v>596</v>
      </c>
    </row>
    <row r="12" spans="2:3" ht="16.5" customHeight="1" x14ac:dyDescent="0.25">
      <c r="B12" s="84" t="s">
        <v>597</v>
      </c>
      <c r="C12" s="85" t="s">
        <v>598</v>
      </c>
    </row>
    <row r="13" spans="2:3" ht="16.5" customHeight="1" x14ac:dyDescent="0.25">
      <c r="B13" s="84" t="s">
        <v>599</v>
      </c>
      <c r="C13" s="85" t="s">
        <v>600</v>
      </c>
    </row>
    <row r="14" spans="2:3" ht="16.5" x14ac:dyDescent="0.25">
      <c r="B14" s="83" t="s">
        <v>601</v>
      </c>
    </row>
    <row r="15" spans="2:3" ht="16.5" customHeight="1" x14ac:dyDescent="0.25">
      <c r="B15" s="84" t="s">
        <v>108</v>
      </c>
      <c r="C15" s="85" t="s">
        <v>602</v>
      </c>
    </row>
    <row r="16" spans="2:3" ht="16.5" customHeight="1" x14ac:dyDescent="0.25">
      <c r="B16" s="84" t="s">
        <v>417</v>
      </c>
      <c r="C16" s="85" t="s">
        <v>603</v>
      </c>
    </row>
    <row r="17" spans="2:3" ht="16.5" customHeight="1" x14ac:dyDescent="0.25">
      <c r="B17" s="84" t="s">
        <v>419</v>
      </c>
      <c r="C17" s="85" t="s">
        <v>604</v>
      </c>
    </row>
    <row r="18" spans="2:3" ht="16.5" customHeight="1" x14ac:dyDescent="0.25">
      <c r="B18" s="84" t="s">
        <v>421</v>
      </c>
      <c r="C18" s="85" t="s">
        <v>605</v>
      </c>
    </row>
    <row r="19" spans="2:3" ht="16.5" x14ac:dyDescent="0.25">
      <c r="B19" s="83" t="s">
        <v>606</v>
      </c>
    </row>
    <row r="20" spans="2:3" ht="25.5" customHeight="1" x14ac:dyDescent="0.25">
      <c r="B20" s="84" t="s">
        <v>607</v>
      </c>
      <c r="C20" s="85" t="s">
        <v>608</v>
      </c>
    </row>
    <row r="21" spans="2:3" ht="16.5" customHeight="1" x14ac:dyDescent="0.25">
      <c r="B21" s="84" t="s">
        <v>609</v>
      </c>
      <c r="C21" s="85" t="s">
        <v>610</v>
      </c>
    </row>
    <row r="22" spans="2:3" ht="16.5" customHeight="1" x14ac:dyDescent="0.25">
      <c r="B22" s="84" t="s">
        <v>611</v>
      </c>
      <c r="C22" s="85" t="s">
        <v>612</v>
      </c>
    </row>
    <row r="23" spans="2:3" ht="16.5" customHeight="1" x14ac:dyDescent="0.25">
      <c r="B23" s="84" t="s">
        <v>613</v>
      </c>
      <c r="C23" s="85" t="s">
        <v>614</v>
      </c>
    </row>
    <row r="24" spans="2:3" ht="25.5" customHeight="1" x14ac:dyDescent="0.25">
      <c r="B24" s="84" t="s">
        <v>615</v>
      </c>
      <c r="C24" s="85" t="s">
        <v>616</v>
      </c>
    </row>
    <row r="25" spans="2:3" ht="16.5" x14ac:dyDescent="0.25">
      <c r="B25" s="83" t="s">
        <v>617</v>
      </c>
    </row>
    <row r="26" spans="2:3" ht="16.5" customHeight="1" x14ac:dyDescent="0.25">
      <c r="B26" s="84" t="s">
        <v>618</v>
      </c>
      <c r="C26" s="85" t="s">
        <v>619</v>
      </c>
    </row>
    <row r="27" spans="2:3" ht="25.5" customHeight="1" x14ac:dyDescent="0.25">
      <c r="B27" s="84" t="s">
        <v>620</v>
      </c>
      <c r="C27" s="85" t="s">
        <v>621</v>
      </c>
    </row>
  </sheetData>
  <hyperlinks>
    <hyperlink ref="B2" location="Dashboard!A1" display="Open the Dashboard" xr:uid="{00000000-0004-0000-07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0A100"/>
  </sheetPr>
  <dimension ref="A1:C35"/>
  <sheetViews>
    <sheetView workbookViewId="0">
      <selection activeCell="B21" sqref="B21"/>
    </sheetView>
  </sheetViews>
  <sheetFormatPr defaultRowHeight="15" x14ac:dyDescent="0.25"/>
  <cols>
    <col min="1" max="1" width="52.7109375" customWidth="1"/>
    <col min="2" max="2" width="24.7109375" customWidth="1"/>
    <col min="3" max="3" width="80.7109375" customWidth="1"/>
  </cols>
  <sheetData>
    <row r="1" spans="1:3" ht="18" customHeight="1" x14ac:dyDescent="0.25">
      <c r="A1" s="86" t="s">
        <v>219</v>
      </c>
    </row>
    <row r="2" spans="1:3" x14ac:dyDescent="0.25">
      <c r="A2" s="87" t="s">
        <v>220</v>
      </c>
    </row>
    <row r="4" spans="1:3" x14ac:dyDescent="0.25">
      <c r="A4" s="88" t="s">
        <v>221</v>
      </c>
      <c r="B4" s="89" t="s">
        <v>222</v>
      </c>
      <c r="C4" s="87" t="s">
        <v>223</v>
      </c>
    </row>
    <row r="5" spans="1:3" x14ac:dyDescent="0.25">
      <c r="A5" s="88" t="s">
        <v>622</v>
      </c>
      <c r="B5" s="89" t="s">
        <v>224</v>
      </c>
      <c r="C5" s="87" t="s">
        <v>225</v>
      </c>
    </row>
    <row r="6" spans="1:3" x14ac:dyDescent="0.25">
      <c r="A6" s="88" t="s">
        <v>226</v>
      </c>
      <c r="B6" s="90">
        <v>46387</v>
      </c>
      <c r="C6" s="87" t="s">
        <v>227</v>
      </c>
    </row>
    <row r="7" spans="1:3" x14ac:dyDescent="0.25">
      <c r="A7" s="88" t="s">
        <v>228</v>
      </c>
      <c r="B7" s="91">
        <f>IFERROR(MATCH(1,tblMonth[Vis],0),1)</f>
        <v>10</v>
      </c>
      <c r="C7" s="87" t="s">
        <v>229</v>
      </c>
    </row>
    <row r="8" spans="1:3" x14ac:dyDescent="0.25">
      <c r="A8" s="88" t="s">
        <v>230</v>
      </c>
      <c r="B8" s="89" t="s">
        <v>231</v>
      </c>
      <c r="C8" s="87" t="s">
        <v>232</v>
      </c>
    </row>
    <row r="9" spans="1:3" x14ac:dyDescent="0.25">
      <c r="A9" s="88" t="s">
        <v>233</v>
      </c>
      <c r="B9" s="92">
        <v>0</v>
      </c>
      <c r="C9" s="87" t="s">
        <v>234</v>
      </c>
    </row>
    <row r="10" spans="1:3" x14ac:dyDescent="0.25">
      <c r="A10" s="88" t="s">
        <v>235</v>
      </c>
      <c r="B10" s="89" t="s">
        <v>236</v>
      </c>
      <c r="C10" s="87" t="s">
        <v>237</v>
      </c>
    </row>
    <row r="11" spans="1:3" x14ac:dyDescent="0.25">
      <c r="A11" s="88" t="s">
        <v>238</v>
      </c>
      <c r="B11" s="89" t="s">
        <v>239</v>
      </c>
      <c r="C11" s="87" t="s">
        <v>240</v>
      </c>
    </row>
    <row r="12" spans="1:3" x14ac:dyDescent="0.25">
      <c r="A12" s="88" t="s">
        <v>241</v>
      </c>
      <c r="B12" s="90">
        <v>46335</v>
      </c>
    </row>
    <row r="13" spans="1:3" x14ac:dyDescent="0.25">
      <c r="A13" s="88" t="s">
        <v>242</v>
      </c>
      <c r="B13" s="89" t="s">
        <v>243</v>
      </c>
      <c r="C13" s="87" t="s">
        <v>244</v>
      </c>
    </row>
    <row r="14" spans="1:3" x14ac:dyDescent="0.25">
      <c r="A14" s="93" t="s">
        <v>245</v>
      </c>
    </row>
    <row r="15" spans="1:3" x14ac:dyDescent="0.25">
      <c r="A15" s="94" t="s">
        <v>246</v>
      </c>
      <c r="B15" s="95">
        <f>EOMONTH(B6,-12)+1</f>
        <v>46023</v>
      </c>
    </row>
    <row r="16" spans="1:3" x14ac:dyDescent="0.25">
      <c r="A16" s="94" t="s">
        <v>247</v>
      </c>
      <c r="B16" s="95">
        <f>EOMONTH(B6,B7-12)</f>
        <v>46326</v>
      </c>
    </row>
    <row r="17" spans="1:2" x14ac:dyDescent="0.25">
      <c r="A17" s="94" t="s">
        <v>248</v>
      </c>
      <c r="B17" s="96" t="str">
        <f>TEXT(B16,"mmmm yyyy")</f>
        <v>October 2026</v>
      </c>
    </row>
    <row r="18" spans="1:2" x14ac:dyDescent="0.25">
      <c r="A18" s="94" t="s">
        <v>249</v>
      </c>
      <c r="B18" s="97">
        <f>B16-B15+1</f>
        <v>304</v>
      </c>
    </row>
    <row r="19" spans="1:2" x14ac:dyDescent="0.25">
      <c r="A19" s="94" t="s">
        <v>250</v>
      </c>
      <c r="B19" s="96" t="str">
        <f>"FY"&amp;YEAR(B6)</f>
        <v>FY2026</v>
      </c>
    </row>
    <row r="20" spans="1:2" x14ac:dyDescent="0.25">
      <c r="A20" s="94" t="s">
        <v>251</v>
      </c>
      <c r="B20" s="98">
        <f>IF(B8="Yes",B9,0)</f>
        <v>0</v>
      </c>
    </row>
    <row r="22" spans="1:2" x14ac:dyDescent="0.25">
      <c r="A22" s="93" t="s">
        <v>252</v>
      </c>
    </row>
    <row r="23" spans="1:2" x14ac:dyDescent="0.25">
      <c r="A23" s="99" t="s">
        <v>253</v>
      </c>
      <c r="B23" s="100" t="s">
        <v>254</v>
      </c>
    </row>
    <row r="24" spans="1:2" x14ac:dyDescent="0.25">
      <c r="A24" s="101">
        <v>1</v>
      </c>
      <c r="B24" s="102">
        <f t="shared" ref="B24:B35" si="0">EOMONTH($B$6,A24-12)</f>
        <v>46053</v>
      </c>
    </row>
    <row r="25" spans="1:2" x14ac:dyDescent="0.25">
      <c r="A25" s="101">
        <v>2</v>
      </c>
      <c r="B25" s="102">
        <f t="shared" si="0"/>
        <v>46081</v>
      </c>
    </row>
    <row r="26" spans="1:2" x14ac:dyDescent="0.25">
      <c r="A26" s="101">
        <v>3</v>
      </c>
      <c r="B26" s="102">
        <f t="shared" si="0"/>
        <v>46112</v>
      </c>
    </row>
    <row r="27" spans="1:2" x14ac:dyDescent="0.25">
      <c r="A27" s="101">
        <v>4</v>
      </c>
      <c r="B27" s="102">
        <f t="shared" si="0"/>
        <v>46142</v>
      </c>
    </row>
    <row r="28" spans="1:2" x14ac:dyDescent="0.25">
      <c r="A28" s="101">
        <v>5</v>
      </c>
      <c r="B28" s="102">
        <f t="shared" si="0"/>
        <v>46173</v>
      </c>
    </row>
    <row r="29" spans="1:2" x14ac:dyDescent="0.25">
      <c r="A29" s="101">
        <v>6</v>
      </c>
      <c r="B29" s="102">
        <f t="shared" si="0"/>
        <v>46203</v>
      </c>
    </row>
    <row r="30" spans="1:2" x14ac:dyDescent="0.25">
      <c r="A30" s="101">
        <v>7</v>
      </c>
      <c r="B30" s="102">
        <f t="shared" si="0"/>
        <v>46234</v>
      </c>
    </row>
    <row r="31" spans="1:2" x14ac:dyDescent="0.25">
      <c r="A31" s="101">
        <v>8</v>
      </c>
      <c r="B31" s="102">
        <f t="shared" si="0"/>
        <v>46265</v>
      </c>
    </row>
    <row r="32" spans="1:2" x14ac:dyDescent="0.25">
      <c r="A32" s="101">
        <v>9</v>
      </c>
      <c r="B32" s="102">
        <f t="shared" si="0"/>
        <v>46295</v>
      </c>
    </row>
    <row r="33" spans="1:2" x14ac:dyDescent="0.25">
      <c r="A33" s="101">
        <v>10</v>
      </c>
      <c r="B33" s="102">
        <f t="shared" si="0"/>
        <v>46326</v>
      </c>
    </row>
    <row r="34" spans="1:2" x14ac:dyDescent="0.25">
      <c r="A34" s="101">
        <v>11</v>
      </c>
      <c r="B34" s="102">
        <f t="shared" si="0"/>
        <v>46356</v>
      </c>
    </row>
    <row r="35" spans="1:2" x14ac:dyDescent="0.25">
      <c r="A35" s="101">
        <v>12</v>
      </c>
      <c r="B35" s="102">
        <f t="shared" si="0"/>
        <v>46387</v>
      </c>
    </row>
  </sheetData>
  <dataValidations count="1">
    <dataValidation type="list" allowBlank="1" showInputMessage="1" showErrorMessage="1" sqref="B8" xr:uid="{00000000-0002-0000-0800-000000000000}">
      <formula1>"Yes,No"</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E8A8A"/>
    <pageSetUpPr fitToPage="1"/>
  </sheetPr>
  <dimension ref="A1:W79"/>
  <sheetViews>
    <sheetView showGridLines="0" showRowColHeaders="0" tabSelected="1" zoomScale="90" zoomScaleNormal="90" workbookViewId="0">
      <pane xSplit="2" topLeftCell="C1" activePane="topRight" state="frozen"/>
      <selection pane="topRight"/>
    </sheetView>
  </sheetViews>
  <sheetFormatPr defaultColWidth="0" defaultRowHeight="15" x14ac:dyDescent="0.25"/>
  <cols>
    <col min="1" max="1" width="42.85546875" style="1" customWidth="1"/>
    <col min="2" max="2" width="2.5703125" style="2" customWidth="1"/>
    <col min="3" max="3" width="28" style="2" customWidth="1"/>
    <col min="4" max="22" width="8.28515625" style="2" customWidth="1"/>
    <col min="23" max="23" width="2.5703125" style="2" customWidth="1"/>
    <col min="24" max="24" width="0" hidden="1" customWidth="1"/>
  </cols>
  <sheetData>
    <row r="1" spans="3:22" ht="40.5" customHeight="1" x14ac:dyDescent="0.45">
      <c r="C1" s="3" t="str">
        <f>Setup!$B$4&amp;": management accounts"</f>
        <v>COSKUN, Inc.: management accounts</v>
      </c>
      <c r="D1" s="4"/>
      <c r="E1" s="4"/>
      <c r="F1" s="4"/>
      <c r="G1" s="4"/>
      <c r="H1" s="4"/>
      <c r="I1" s="4"/>
      <c r="J1" s="4"/>
      <c r="K1" s="4"/>
      <c r="L1" s="4"/>
      <c r="M1" s="4"/>
      <c r="N1" s="4"/>
      <c r="O1" s="4"/>
      <c r="P1" s="4"/>
      <c r="Q1" s="4"/>
      <c r="R1" s="4"/>
      <c r="S1" s="4"/>
      <c r="T1" s="4"/>
      <c r="U1" s="4"/>
      <c r="V1" s="4"/>
    </row>
    <row r="2" spans="3:22" ht="25.5" customHeight="1" x14ac:dyDescent="0.25">
      <c r="C2" s="5" t="str">
        <f>viewLbl&amp;"  |  "&amp;Setup!$B$19&amp;"  |  US dollars  |  "&amp;Checks!$C$3</f>
        <v>YTD October 2026  |  FY2026  |  US dollars  |  OK - all checks passed</v>
      </c>
      <c r="D2" s="4"/>
      <c r="E2" s="4"/>
      <c r="F2" s="4"/>
      <c r="G2" s="4"/>
      <c r="H2" s="4"/>
      <c r="I2" s="4"/>
      <c r="J2" s="4"/>
      <c r="K2" s="4"/>
      <c r="L2" s="4"/>
      <c r="M2" s="4"/>
      <c r="N2" s="4"/>
      <c r="O2" s="4"/>
      <c r="P2" s="4"/>
      <c r="Q2" s="4"/>
      <c r="R2" s="4"/>
      <c r="S2" s="4"/>
      <c r="T2" s="4"/>
      <c r="U2" s="4"/>
      <c r="V2" s="4"/>
    </row>
    <row r="3" spans="3:22" ht="7.5" customHeight="1" x14ac:dyDescent="0.25"/>
    <row r="4" spans="3:22" ht="72" customHeight="1" x14ac:dyDescent="0.25"/>
    <row r="5" spans="3:22" ht="3" customHeight="1" x14ac:dyDescent="0.25"/>
    <row r="6" spans="3:22" ht="72" customHeight="1" x14ac:dyDescent="0.25"/>
    <row r="7" spans="3:22" ht="6" customHeight="1" x14ac:dyDescent="0.25"/>
    <row r="8" spans="3:22" ht="21" customHeight="1" x14ac:dyDescent="0.3">
      <c r="C8" s="6" t="s">
        <v>549</v>
      </c>
      <c r="D8" s="6"/>
      <c r="E8" s="6"/>
      <c r="F8" s="6"/>
      <c r="G8" s="6"/>
      <c r="H8" s="6"/>
      <c r="I8" s="6"/>
      <c r="J8" s="6"/>
      <c r="K8" s="6"/>
      <c r="L8" s="6"/>
      <c r="M8" s="6"/>
      <c r="N8" s="6"/>
      <c r="O8" s="6"/>
      <c r="P8" s="6"/>
      <c r="Q8" s="6"/>
      <c r="R8" s="6"/>
      <c r="S8" s="6"/>
      <c r="T8" s="6"/>
      <c r="U8" s="6"/>
      <c r="V8" s="6"/>
    </row>
    <row r="9" spans="3:22" ht="18" customHeight="1" x14ac:dyDescent="0.25">
      <c r="C9" s="133" t="s">
        <v>158</v>
      </c>
      <c r="D9" s="133"/>
      <c r="E9" s="133"/>
      <c r="F9" s="133"/>
      <c r="G9" s="133"/>
      <c r="H9" s="133" t="s">
        <v>7</v>
      </c>
      <c r="I9" s="133"/>
      <c r="J9" s="133"/>
      <c r="K9" s="133"/>
      <c r="L9" s="133"/>
      <c r="M9" s="133" t="s">
        <v>161</v>
      </c>
      <c r="N9" s="133"/>
      <c r="O9" s="133"/>
      <c r="P9" s="133"/>
      <c r="Q9" s="133"/>
      <c r="R9" s="133" t="s">
        <v>550</v>
      </c>
      <c r="S9" s="133"/>
      <c r="T9" s="133"/>
      <c r="U9" s="133"/>
      <c r="V9" s="133"/>
    </row>
    <row r="10" spans="3:22" ht="73.5" customHeight="1" x14ac:dyDescent="0.25">
      <c r="C10" s="134" t="str">
        <f>Commentary!$D$7</f>
        <v>For October 2026, net profit was $218,543 against a budget of $212,100. Year to date, net profit is $1,308,156, versus a YTD budget of $1,525,600.</v>
      </c>
      <c r="D10" s="134"/>
      <c r="E10" s="134"/>
      <c r="F10" s="134"/>
      <c r="G10" s="134"/>
      <c r="H10" s="134" t="str">
        <f>Commentary!$D$8</f>
        <v>Revenue was $2,023,647, 1.6% above budget. Year to date revenue is $17,893,959, 1.1% behind budget.</v>
      </c>
      <c r="I10" s="134"/>
      <c r="J10" s="134"/>
      <c r="K10" s="134"/>
      <c r="L10" s="134"/>
      <c r="M10" s="134" t="str">
        <f>Commentary!$D$10</f>
        <v>Operating expenses were $641,590 for the month (31.7% of revenue). Year to date they are $115,301 over budget. Largest YTD overspend: Marketing and advertising ($108,272).</v>
      </c>
      <c r="N10" s="134"/>
      <c r="O10" s="134"/>
      <c r="P10" s="134"/>
      <c r="Q10" s="134"/>
      <c r="R10" s="134" t="str">
        <f>Commentary!$D$11</f>
        <v>Net cash and bank at period end is $1,922,964 (1.2 months of operating cost cover). Receivable days are 46 and inventory days 56. Operating activities generated $171,207 of cash in the month.</v>
      </c>
      <c r="S10" s="134"/>
      <c r="T10" s="134"/>
      <c r="U10" s="134"/>
      <c r="V10" s="134"/>
    </row>
    <row r="11" spans="3:22" ht="21" customHeight="1" x14ac:dyDescent="0.3">
      <c r="C11" s="6" t="str">
        <f>"Income statement at a glance, $k: "&amp;Setup!$B$17</f>
        <v>Income statement at a glance, $k: October 2026</v>
      </c>
      <c r="D11" s="6"/>
      <c r="E11" s="6"/>
      <c r="F11" s="6"/>
      <c r="G11" s="6"/>
      <c r="H11" s="6"/>
      <c r="I11" s="6"/>
      <c r="J11" s="6"/>
      <c r="K11" s="6"/>
      <c r="L11" s="6"/>
      <c r="M11" s="6"/>
      <c r="N11" s="6"/>
      <c r="O11" s="6"/>
      <c r="P11" s="6"/>
      <c r="Q11" s="6"/>
      <c r="R11" s="6"/>
      <c r="S11" s="6"/>
      <c r="T11" s="6"/>
      <c r="U11" s="6"/>
      <c r="V11" s="6"/>
    </row>
    <row r="12" spans="3:22" x14ac:dyDescent="0.25">
      <c r="C12" s="7"/>
      <c r="D12" s="135" t="s">
        <v>551</v>
      </c>
      <c r="E12" s="135"/>
      <c r="F12" s="135"/>
      <c r="G12" s="135"/>
      <c r="H12" s="135" t="s">
        <v>552</v>
      </c>
      <c r="I12" s="135"/>
      <c r="J12" s="135"/>
      <c r="K12" s="135"/>
      <c r="L12" s="135" t="s">
        <v>553</v>
      </c>
      <c r="M12" s="135"/>
      <c r="N12" s="135"/>
      <c r="O12" s="135"/>
      <c r="P12" s="135" t="s">
        <v>554</v>
      </c>
      <c r="Q12" s="135"/>
      <c r="R12" s="135"/>
      <c r="S12" s="135"/>
      <c r="T12" s="135"/>
      <c r="U12" s="135"/>
    </row>
    <row r="13" spans="3:22" x14ac:dyDescent="0.25">
      <c r="C13" s="8" t="s">
        <v>555</v>
      </c>
      <c r="D13" s="9" t="s">
        <v>3</v>
      </c>
      <c r="E13" s="9" t="s">
        <v>4</v>
      </c>
      <c r="F13" s="9" t="s">
        <v>463</v>
      </c>
      <c r="G13" s="9" t="s">
        <v>6</v>
      </c>
      <c r="H13" s="9" t="s">
        <v>3</v>
      </c>
      <c r="I13" s="9" t="s">
        <v>4</v>
      </c>
      <c r="J13" s="9" t="s">
        <v>463</v>
      </c>
      <c r="K13" s="9" t="s">
        <v>6</v>
      </c>
      <c r="L13" s="9" t="s">
        <v>498</v>
      </c>
      <c r="M13" s="9" t="s">
        <v>4</v>
      </c>
      <c r="N13" s="9" t="s">
        <v>463</v>
      </c>
      <c r="O13" s="9" t="s">
        <v>6</v>
      </c>
      <c r="P13" s="132" t="s">
        <v>556</v>
      </c>
      <c r="Q13" s="132"/>
      <c r="R13" s="132"/>
      <c r="S13" s="132"/>
      <c r="T13" s="132"/>
      <c r="U13" s="132"/>
    </row>
    <row r="14" spans="3:22" x14ac:dyDescent="0.25">
      <c r="C14" s="10" t="s">
        <v>7</v>
      </c>
      <c r="D14" s="11">
        <f>'Income Statement'!$D$8</f>
        <v>2023647</v>
      </c>
      <c r="E14" s="11">
        <f>'Income Statement'!$E$8</f>
        <v>1991600</v>
      </c>
      <c r="F14" s="12">
        <f>'Income Statement'!$F$8</f>
        <v>32047</v>
      </c>
      <c r="G14" s="13">
        <f>'Income Statement'!$G$8</f>
        <v>1.6091082546696122E-2</v>
      </c>
      <c r="H14" s="11">
        <f>'Income Statement'!$H$8</f>
        <v>17893959</v>
      </c>
      <c r="I14" s="11">
        <f>'Income Statement'!$I$8</f>
        <v>18093300</v>
      </c>
      <c r="J14" s="12">
        <f>'Income Statement'!$J$8</f>
        <v>-199341</v>
      </c>
      <c r="K14" s="13">
        <f>'Income Statement'!$K$8</f>
        <v>-1.1017393178690455E-2</v>
      </c>
      <c r="L14" s="11">
        <f>'Income Statement'!$H$8+SUMIF(Calc!$E$3:$P$3,"&gt;"&amp;mSel,Calc!$E$88:$P$88)</f>
        <v>22234359</v>
      </c>
      <c r="M14" s="11">
        <f>SUM(Calc!$E$88:$P$88)</f>
        <v>22433700</v>
      </c>
      <c r="N14" s="12">
        <f>L14-M14</f>
        <v>-199341</v>
      </c>
      <c r="O14" s="13">
        <f>IFERROR(N14/ABS(M14),0)</f>
        <v>-8.8857834418753934E-3</v>
      </c>
      <c r="P14" s="130"/>
      <c r="Q14" s="130"/>
      <c r="R14" s="130"/>
      <c r="S14" s="130"/>
      <c r="T14" s="130"/>
      <c r="U14" s="130"/>
    </row>
    <row r="15" spans="3:22" x14ac:dyDescent="0.25">
      <c r="C15" s="10" t="s">
        <v>8</v>
      </c>
      <c r="D15" s="11">
        <f>'Income Statement'!$D$9</f>
        <v>1040935</v>
      </c>
      <c r="E15" s="11">
        <f>'Income Statement'!$E$9</f>
        <v>1007800</v>
      </c>
      <c r="F15" s="12">
        <f>'Income Statement'!$F$9</f>
        <v>-33135</v>
      </c>
      <c r="G15" s="13">
        <f>'Income Statement'!$G$9</f>
        <v>-3.2878547330819609E-2</v>
      </c>
      <c r="H15" s="11">
        <f>'Income Statement'!$H$9</f>
        <v>9133110</v>
      </c>
      <c r="I15" s="11">
        <f>'Income Statement'!$I$9</f>
        <v>9156000</v>
      </c>
      <c r="J15" s="12">
        <f>'Income Statement'!$J$9</f>
        <v>22890</v>
      </c>
      <c r="K15" s="13">
        <f>'Income Statement'!$K$9</f>
        <v>2.5000000000000001E-3</v>
      </c>
      <c r="L15" s="11">
        <f>'Income Statement'!$H$9+SUMIF(Calc!$E$3:$P$3,"&gt;"&amp;mSel,Calc!$E$89:$P$89)</f>
        <v>11329510</v>
      </c>
      <c r="M15" s="11">
        <f>SUM(Calc!$E$89:$P$89)</f>
        <v>11352400</v>
      </c>
      <c r="N15" s="12">
        <f>M15-L15</f>
        <v>22890</v>
      </c>
      <c r="O15" s="13">
        <f>IFERROR(N15/ABS(M15),0)</f>
        <v>2.0163137310172299E-3</v>
      </c>
      <c r="P15" s="130"/>
      <c r="Q15" s="130"/>
      <c r="R15" s="130"/>
      <c r="S15" s="130"/>
      <c r="T15" s="130"/>
      <c r="U15" s="130"/>
    </row>
    <row r="16" spans="3:22" x14ac:dyDescent="0.25">
      <c r="C16" s="14" t="s">
        <v>9</v>
      </c>
      <c r="D16" s="15">
        <f>'Income Statement'!$D$10</f>
        <v>982712</v>
      </c>
      <c r="E16" s="15">
        <f>'Income Statement'!$E$10</f>
        <v>983800</v>
      </c>
      <c r="F16" s="16">
        <f>'Income Statement'!$F$10</f>
        <v>-1088</v>
      </c>
      <c r="G16" s="17">
        <f>'Income Statement'!$G$10</f>
        <v>-1.1059158365521447E-3</v>
      </c>
      <c r="H16" s="15">
        <f>'Income Statement'!$H$10</f>
        <v>8760849</v>
      </c>
      <c r="I16" s="15">
        <f>'Income Statement'!$I$10</f>
        <v>8937300</v>
      </c>
      <c r="J16" s="16">
        <f>'Income Statement'!$J$10</f>
        <v>-176451</v>
      </c>
      <c r="K16" s="17">
        <f>'Income Statement'!$K$10</f>
        <v>-1.9743211036890335E-2</v>
      </c>
      <c r="L16" s="15">
        <f>L14-L15</f>
        <v>10904849</v>
      </c>
      <c r="M16" s="15">
        <f>M14-M15</f>
        <v>11081300</v>
      </c>
      <c r="N16" s="16">
        <f>L16-M16</f>
        <v>-176451</v>
      </c>
      <c r="O16" s="17">
        <f>IFERROR(N16/ABS(M16),0)</f>
        <v>-1.5923312246758053E-2</v>
      </c>
      <c r="P16" s="131"/>
      <c r="Q16" s="131"/>
      <c r="R16" s="131"/>
      <c r="S16" s="131"/>
      <c r="T16" s="131"/>
      <c r="U16" s="131"/>
    </row>
    <row r="17" spans="3:22" x14ac:dyDescent="0.25">
      <c r="C17" s="18" t="s">
        <v>557</v>
      </c>
      <c r="D17" s="19">
        <f>'Income Statement'!$D$11</f>
        <v>0.48561433886443633</v>
      </c>
      <c r="E17" s="19">
        <f>'Income Statement'!$E$11</f>
        <v>0.49397469371359709</v>
      </c>
      <c r="F17" s="20">
        <f>('Income Statement'!$D$11-'Income Statement'!$E$11)*100</f>
        <v>-0.8360354849160756</v>
      </c>
      <c r="G17" s="13"/>
      <c r="H17" s="19">
        <f>'Income Statement'!$H$11</f>
        <v>0.48959813756139714</v>
      </c>
      <c r="I17" s="19">
        <f>'Income Statement'!$I$11</f>
        <v>0.49395632637495646</v>
      </c>
      <c r="J17" s="20">
        <f>('Income Statement'!$H$11-'Income Statement'!$I$11)*100</f>
        <v>-0.43581888135593161</v>
      </c>
      <c r="K17" s="13"/>
      <c r="L17" s="19">
        <f>IFERROR(L16/L14,0)</f>
        <v>0.49045034309286811</v>
      </c>
      <c r="M17" s="19">
        <f>IFERROR(M16/M14,0)</f>
        <v>0.49395775106201828</v>
      </c>
      <c r="N17" s="20">
        <f>(L17-M17)*100</f>
        <v>-0.35074079691501669</v>
      </c>
      <c r="O17" s="13"/>
      <c r="P17" s="130"/>
      <c r="Q17" s="130"/>
      <c r="R17" s="130"/>
      <c r="S17" s="130"/>
      <c r="T17" s="130"/>
      <c r="U17" s="130"/>
    </row>
    <row r="18" spans="3:22" x14ac:dyDescent="0.25">
      <c r="C18" s="10" t="s">
        <v>11</v>
      </c>
      <c r="D18" s="11">
        <f>'Income Statement'!$D$12</f>
        <v>5839</v>
      </c>
      <c r="E18" s="11">
        <f>'Income Statement'!$E$12</f>
        <v>6000</v>
      </c>
      <c r="F18" s="12">
        <f>'Income Statement'!$F$12</f>
        <v>-161</v>
      </c>
      <c r="G18" s="13">
        <f>'Income Statement'!$G$12</f>
        <v>-2.6833333333333334E-2</v>
      </c>
      <c r="H18" s="11">
        <f>'Income Statement'!$H$12</f>
        <v>58997</v>
      </c>
      <c r="I18" s="11">
        <f>'Income Statement'!$I$12</f>
        <v>60000</v>
      </c>
      <c r="J18" s="12">
        <f>'Income Statement'!$J$12</f>
        <v>-1003</v>
      </c>
      <c r="K18" s="13">
        <f>'Income Statement'!$K$12</f>
        <v>-1.6716666666666668E-2</v>
      </c>
      <c r="L18" s="11">
        <f>'Income Statement'!$H$12+SUMIF(Calc!$E$3:$P$3,"&gt;"&amp;mSel,Calc!$E$90:$P$90)</f>
        <v>70997</v>
      </c>
      <c r="M18" s="11">
        <f>SUM(Calc!$E$90:$P$90)</f>
        <v>72000</v>
      </c>
      <c r="N18" s="12">
        <f>L18-M18</f>
        <v>-1003</v>
      </c>
      <c r="O18" s="13">
        <f t="shared" ref="O18:O27" si="0">IFERROR(N18/ABS(M18),0)</f>
        <v>-1.3930555555555555E-2</v>
      </c>
      <c r="P18" s="130"/>
      <c r="Q18" s="130"/>
      <c r="R18" s="130"/>
      <c r="S18" s="130"/>
      <c r="T18" s="130"/>
      <c r="U18" s="130"/>
    </row>
    <row r="19" spans="3:22" x14ac:dyDescent="0.25">
      <c r="C19" s="14" t="s">
        <v>12</v>
      </c>
      <c r="D19" s="15">
        <f>'Income Statement'!$D$24</f>
        <v>641590</v>
      </c>
      <c r="E19" s="15">
        <f>'Income Statement'!$E$24</f>
        <v>650300</v>
      </c>
      <c r="F19" s="16">
        <f>'Income Statement'!$F$24</f>
        <v>8710</v>
      </c>
      <c r="G19" s="17">
        <f>'Income Statement'!$G$24</f>
        <v>1.339381823773643E-2</v>
      </c>
      <c r="H19" s="15">
        <f>'Income Statement'!$H$24</f>
        <v>6533801</v>
      </c>
      <c r="I19" s="15">
        <f>'Income Statement'!$I$24</f>
        <v>6418500</v>
      </c>
      <c r="J19" s="16">
        <f>'Income Statement'!$J$24</f>
        <v>-115301</v>
      </c>
      <c r="K19" s="17">
        <f>'Income Statement'!$K$24</f>
        <v>-1.796385448313469E-2</v>
      </c>
      <c r="L19" s="15">
        <f>'Income Statement'!$H$24+SUMIF(Calc!$E$3:$P$3,"&gt;"&amp;mSel,Calc!$E$91:$P$91)+SUMIF(Calc!$E$3:$P$3,"&gt;"&amp;mSel,Calc!$E$92:$P$92)+SUMIF(Calc!$E$3:$P$3,"&gt;"&amp;mSel,Calc!$E$93:$P$93)+SUMIF(Calc!$E$3:$P$3,"&gt;"&amp;mSel,Calc!$E$94:$P$94)+SUMIF(Calc!$E$3:$P$3,"&gt;"&amp;mSel,Calc!$E$95:$P$95)+SUMIF(Calc!$E$3:$P$3,"&gt;"&amp;mSel,Calc!$E$96:$P$96)+SUMIF(Calc!$E$3:$P$3,"&gt;"&amp;mSel,Calc!$E$97:$P$97)+SUMIF(Calc!$E$3:$P$3,"&gt;"&amp;mSel,Calc!$E$98:$P$98)+SUMIF(Calc!$E$3:$P$3,"&gt;"&amp;mSel,Calc!$E$99:$P$99)+SUMIF(Calc!$E$3:$P$3,"&gt;"&amp;mSel,Calc!$E$100:$P$100)</f>
        <v>7840301</v>
      </c>
      <c r="M19" s="15">
        <f>SUM(Calc!$E$91:$P$100)</f>
        <v>7725000</v>
      </c>
      <c r="N19" s="16">
        <f>M19-L19</f>
        <v>-115301</v>
      </c>
      <c r="O19" s="17">
        <f t="shared" si="0"/>
        <v>-1.4925695792880259E-2</v>
      </c>
      <c r="P19" s="131"/>
      <c r="Q19" s="131"/>
      <c r="R19" s="131"/>
      <c r="S19" s="131"/>
      <c r="T19" s="131"/>
      <c r="U19" s="131"/>
    </row>
    <row r="20" spans="3:22" x14ac:dyDescent="0.25">
      <c r="C20" s="14" t="s">
        <v>24</v>
      </c>
      <c r="D20" s="15">
        <f>'Income Statement'!$D$25</f>
        <v>346961</v>
      </c>
      <c r="E20" s="15">
        <f>'Income Statement'!$E$25</f>
        <v>339500</v>
      </c>
      <c r="F20" s="16">
        <f>'Income Statement'!$F$25</f>
        <v>7461</v>
      </c>
      <c r="G20" s="17">
        <f>'Income Statement'!$G$25</f>
        <v>2.197643593519882E-2</v>
      </c>
      <c r="H20" s="15">
        <f>'Income Statement'!$H$25</f>
        <v>2286045</v>
      </c>
      <c r="I20" s="15">
        <f>'Income Statement'!$I$25</f>
        <v>2578800</v>
      </c>
      <c r="J20" s="16">
        <f>'Income Statement'!$J$25</f>
        <v>-292755</v>
      </c>
      <c r="K20" s="17">
        <f>'Income Statement'!$K$25</f>
        <v>-0.11352373196835737</v>
      </c>
      <c r="L20" s="15">
        <f>L16+L18-L19</f>
        <v>3135545</v>
      </c>
      <c r="M20" s="15">
        <f>M16+M18-M19</f>
        <v>3428300</v>
      </c>
      <c r="N20" s="16">
        <f>L20-M20</f>
        <v>-292755</v>
      </c>
      <c r="O20" s="17">
        <f t="shared" si="0"/>
        <v>-8.5393635329463577E-2</v>
      </c>
      <c r="P20" s="131"/>
      <c r="Q20" s="131"/>
      <c r="R20" s="131"/>
      <c r="S20" s="131"/>
      <c r="T20" s="131"/>
      <c r="U20" s="131"/>
    </row>
    <row r="21" spans="3:22" x14ac:dyDescent="0.25">
      <c r="C21" s="10" t="s">
        <v>25</v>
      </c>
      <c r="D21" s="11">
        <f>'Income Statement'!$D$26</f>
        <v>46844</v>
      </c>
      <c r="E21" s="11">
        <f>'Income Statement'!$E$26</f>
        <v>47000</v>
      </c>
      <c r="F21" s="12">
        <f>'Income Statement'!$F$26</f>
        <v>156</v>
      </c>
      <c r="G21" s="13">
        <f>'Income Statement'!$G$26</f>
        <v>3.3191489361702126E-3</v>
      </c>
      <c r="H21" s="11">
        <f>'Income Statement'!$H$26</f>
        <v>437188</v>
      </c>
      <c r="I21" s="11">
        <f>'Income Statement'!$I$26</f>
        <v>437200</v>
      </c>
      <c r="J21" s="12">
        <f>'Income Statement'!$J$26</f>
        <v>12</v>
      </c>
      <c r="K21" s="13">
        <f>'Income Statement'!$K$26</f>
        <v>2.7447392497712717E-5</v>
      </c>
      <c r="L21" s="11">
        <f>'Income Statement'!$H$26+SUMIF(Calc!$E$3:$P$3,"&gt;"&amp;mSel,Calc!$E$101:$P$101)</f>
        <v>531188</v>
      </c>
      <c r="M21" s="11">
        <f>SUM(Calc!$E$101:$P$101)</f>
        <v>531200</v>
      </c>
      <c r="N21" s="12">
        <f>M21-L21</f>
        <v>12</v>
      </c>
      <c r="O21" s="13">
        <f t="shared" si="0"/>
        <v>2.2590361445783133E-5</v>
      </c>
      <c r="P21" s="130"/>
      <c r="Q21" s="130"/>
      <c r="R21" s="130"/>
      <c r="S21" s="130"/>
      <c r="T21" s="130"/>
      <c r="U21" s="130"/>
    </row>
    <row r="22" spans="3:22" x14ac:dyDescent="0.25">
      <c r="C22" s="14" t="s">
        <v>26</v>
      </c>
      <c r="D22" s="15">
        <f>'Income Statement'!$D$27</f>
        <v>300117</v>
      </c>
      <c r="E22" s="15">
        <f>'Income Statement'!$E$27</f>
        <v>292500</v>
      </c>
      <c r="F22" s="16">
        <f>'Income Statement'!$F$27</f>
        <v>7617</v>
      </c>
      <c r="G22" s="17">
        <f>'Income Statement'!$G$27</f>
        <v>2.6041025641025641E-2</v>
      </c>
      <c r="H22" s="15">
        <f>'Income Statement'!$H$27</f>
        <v>1848857</v>
      </c>
      <c r="I22" s="15">
        <f>'Income Statement'!$I$27</f>
        <v>2141600</v>
      </c>
      <c r="J22" s="16">
        <f>'Income Statement'!$J$27</f>
        <v>-292743</v>
      </c>
      <c r="K22" s="17">
        <f>'Income Statement'!$K$27</f>
        <v>-0.13669359357489727</v>
      </c>
      <c r="L22" s="15">
        <f>L20-L21</f>
        <v>2604357</v>
      </c>
      <c r="M22" s="15">
        <f>M20-M21</f>
        <v>2897100</v>
      </c>
      <c r="N22" s="16">
        <f>L22-M22</f>
        <v>-292743</v>
      </c>
      <c r="O22" s="17">
        <f t="shared" si="0"/>
        <v>-0.10104690897794347</v>
      </c>
      <c r="P22" s="131"/>
      <c r="Q22" s="131"/>
      <c r="R22" s="131"/>
      <c r="S22" s="131"/>
      <c r="T22" s="131"/>
      <c r="U22" s="131"/>
    </row>
    <row r="23" spans="3:22" x14ac:dyDescent="0.25">
      <c r="C23" s="10" t="s">
        <v>27</v>
      </c>
      <c r="D23" s="11">
        <f>'Income Statement'!$D$28</f>
        <v>1472</v>
      </c>
      <c r="E23" s="11">
        <f>'Income Statement'!$E$28</f>
        <v>1400</v>
      </c>
      <c r="F23" s="12">
        <f>'Income Statement'!$F$28</f>
        <v>72</v>
      </c>
      <c r="G23" s="13">
        <f>'Income Statement'!$G$28</f>
        <v>5.1428571428571428E-2</v>
      </c>
      <c r="H23" s="11">
        <f>'Income Statement'!$H$28</f>
        <v>14500</v>
      </c>
      <c r="I23" s="11">
        <f>'Income Statement'!$I$28</f>
        <v>14000</v>
      </c>
      <c r="J23" s="12">
        <f>'Income Statement'!$J$28</f>
        <v>500</v>
      </c>
      <c r="K23" s="13">
        <f>'Income Statement'!$K$28</f>
        <v>3.5714285714285712E-2</v>
      </c>
      <c r="L23" s="11">
        <f>'Income Statement'!$H$28+SUMIF(Calc!$E$3:$P$3,"&gt;"&amp;mSel,Calc!$E$102:$P$102)</f>
        <v>17300</v>
      </c>
      <c r="M23" s="11">
        <f>SUM(Calc!$E$102:$P$102)</f>
        <v>16800</v>
      </c>
      <c r="N23" s="12">
        <f>L23-M23</f>
        <v>500</v>
      </c>
      <c r="O23" s="13">
        <f t="shared" si="0"/>
        <v>2.976190476190476E-2</v>
      </c>
      <c r="P23" s="130"/>
      <c r="Q23" s="130"/>
      <c r="R23" s="130"/>
      <c r="S23" s="130"/>
      <c r="T23" s="130"/>
      <c r="U23" s="130"/>
    </row>
    <row r="24" spans="3:22" x14ac:dyDescent="0.25">
      <c r="C24" s="10" t="s">
        <v>28</v>
      </c>
      <c r="D24" s="11">
        <f>'Income Statement'!$D$29</f>
        <v>10200</v>
      </c>
      <c r="E24" s="11">
        <f>'Income Statement'!$E$29</f>
        <v>11100</v>
      </c>
      <c r="F24" s="12">
        <f>'Income Statement'!$F$29</f>
        <v>900</v>
      </c>
      <c r="G24" s="13">
        <f>'Income Statement'!$G$29</f>
        <v>8.1081081081081086E-2</v>
      </c>
      <c r="H24" s="11">
        <f>'Income Statement'!$H$29</f>
        <v>119150</v>
      </c>
      <c r="I24" s="11">
        <f>'Income Statement'!$I$29</f>
        <v>121400</v>
      </c>
      <c r="J24" s="12">
        <f>'Income Statement'!$J$29</f>
        <v>2250</v>
      </c>
      <c r="K24" s="13">
        <f>'Income Statement'!$K$29</f>
        <v>1.8533772652388796E-2</v>
      </c>
      <c r="L24" s="11">
        <f>'Income Statement'!$H$29+SUMIF(Calc!$E$3:$P$3,"&gt;"&amp;mSel,Calc!$E$103:$P$103)</f>
        <v>140550</v>
      </c>
      <c r="M24" s="11">
        <f>SUM(Calc!$E$103:$P$103)</f>
        <v>142800</v>
      </c>
      <c r="N24" s="12">
        <f>M24-L24</f>
        <v>2250</v>
      </c>
      <c r="O24" s="13">
        <f t="shared" si="0"/>
        <v>1.5756302521008403E-2</v>
      </c>
      <c r="P24" s="130"/>
      <c r="Q24" s="130"/>
      <c r="R24" s="130"/>
      <c r="S24" s="130"/>
      <c r="T24" s="130"/>
      <c r="U24" s="130"/>
    </row>
    <row r="25" spans="3:22" x14ac:dyDescent="0.25">
      <c r="C25" s="14" t="s">
        <v>29</v>
      </c>
      <c r="D25" s="15">
        <f>'Income Statement'!$D$30</f>
        <v>291389</v>
      </c>
      <c r="E25" s="15">
        <f>'Income Statement'!$E$30</f>
        <v>282800</v>
      </c>
      <c r="F25" s="16">
        <f>'Income Statement'!$F$30</f>
        <v>8589</v>
      </c>
      <c r="G25" s="17">
        <f>'Income Statement'!$G$30</f>
        <v>3.0371287128712871E-2</v>
      </c>
      <c r="H25" s="15">
        <f>'Income Statement'!$H$30</f>
        <v>1744207</v>
      </c>
      <c r="I25" s="15">
        <f>'Income Statement'!$I$30</f>
        <v>2034200</v>
      </c>
      <c r="J25" s="16">
        <f>'Income Statement'!$J$30</f>
        <v>-289993</v>
      </c>
      <c r="K25" s="17">
        <f>'Income Statement'!$K$30</f>
        <v>-0.14255874545275785</v>
      </c>
      <c r="L25" s="15">
        <f>L22+L23-L24</f>
        <v>2481107</v>
      </c>
      <c r="M25" s="15">
        <f>M22+M23-M24</f>
        <v>2771100</v>
      </c>
      <c r="N25" s="16">
        <f>L25-M25</f>
        <v>-289993</v>
      </c>
      <c r="O25" s="17">
        <f t="shared" si="0"/>
        <v>-0.10464905633142074</v>
      </c>
      <c r="P25" s="131"/>
      <c r="Q25" s="131"/>
      <c r="R25" s="131"/>
      <c r="S25" s="131"/>
      <c r="T25" s="131"/>
      <c r="U25" s="131"/>
    </row>
    <row r="26" spans="3:22" x14ac:dyDescent="0.25">
      <c r="C26" s="10" t="s">
        <v>30</v>
      </c>
      <c r="D26" s="11">
        <f>'Income Statement'!$D$31</f>
        <v>72846</v>
      </c>
      <c r="E26" s="11">
        <f>'Income Statement'!$E$31</f>
        <v>70700</v>
      </c>
      <c r="F26" s="12">
        <f>'Income Statement'!$F$31</f>
        <v>-2146</v>
      </c>
      <c r="G26" s="13">
        <f>'Income Statement'!$G$31</f>
        <v>-3.0353606789250354E-2</v>
      </c>
      <c r="H26" s="11">
        <f>'Income Statement'!$H$31</f>
        <v>436051</v>
      </c>
      <c r="I26" s="11">
        <f>'Income Statement'!$I$31</f>
        <v>508600</v>
      </c>
      <c r="J26" s="12">
        <f>'Income Statement'!$J$31</f>
        <v>72549</v>
      </c>
      <c r="K26" s="13">
        <f>'Income Statement'!$K$31</f>
        <v>0.14264451435312622</v>
      </c>
      <c r="L26" s="11">
        <f>'Income Statement'!$H$31+SUMIF(Calc!$E$3:$P$3,"&gt;"&amp;mSel,Calc!$E$104:$P$104)</f>
        <v>620251</v>
      </c>
      <c r="M26" s="11">
        <f>SUM(Calc!$E$104:$P$104)</f>
        <v>692800</v>
      </c>
      <c r="N26" s="12">
        <f>M26-L26</f>
        <v>72549</v>
      </c>
      <c r="O26" s="13">
        <f t="shared" si="0"/>
        <v>0.10471853348729793</v>
      </c>
      <c r="P26" s="130"/>
      <c r="Q26" s="130"/>
      <c r="R26" s="130"/>
      <c r="S26" s="130"/>
      <c r="T26" s="130"/>
      <c r="U26" s="130"/>
    </row>
    <row r="27" spans="3:22" x14ac:dyDescent="0.25">
      <c r="C27" s="14" t="s">
        <v>420</v>
      </c>
      <c r="D27" s="15">
        <f>'Income Statement'!$D$32</f>
        <v>218543</v>
      </c>
      <c r="E27" s="15">
        <f>'Income Statement'!$E$32</f>
        <v>212100</v>
      </c>
      <c r="F27" s="16">
        <f>'Income Statement'!$F$32</f>
        <v>6443</v>
      </c>
      <c r="G27" s="17">
        <f>'Income Statement'!$G$32</f>
        <v>3.0377180575200377E-2</v>
      </c>
      <c r="H27" s="15">
        <f>'Income Statement'!$H$32</f>
        <v>1308156</v>
      </c>
      <c r="I27" s="15">
        <f>'Income Statement'!$I$32</f>
        <v>1525600</v>
      </c>
      <c r="J27" s="16">
        <f>'Income Statement'!$J$32</f>
        <v>-217444</v>
      </c>
      <c r="K27" s="17">
        <f>'Income Statement'!$K$32</f>
        <v>-0.1425301520713162</v>
      </c>
      <c r="L27" s="15">
        <f>L25-L26</f>
        <v>1860856</v>
      </c>
      <c r="M27" s="15">
        <f>M25-M26</f>
        <v>2078300</v>
      </c>
      <c r="N27" s="16">
        <f>L27-M27</f>
        <v>-217444</v>
      </c>
      <c r="O27" s="17">
        <f t="shared" si="0"/>
        <v>-0.10462589616513497</v>
      </c>
      <c r="P27" s="131"/>
      <c r="Q27" s="131"/>
      <c r="R27" s="131"/>
      <c r="S27" s="131"/>
      <c r="T27" s="131"/>
      <c r="U27" s="131"/>
    </row>
    <row r="28" spans="3:22" x14ac:dyDescent="0.25">
      <c r="C28" s="18" t="s">
        <v>558</v>
      </c>
      <c r="D28" s="19">
        <f>'Income Statement'!$D$33</f>
        <v>0.10799462554487023</v>
      </c>
      <c r="E28" s="19">
        <f>'Income Statement'!$E$33</f>
        <v>0.10649728861217111</v>
      </c>
      <c r="F28" s="20">
        <f>('Income Statement'!$D$33-'Income Statement'!$E$33)*100</f>
        <v>0.14973369326991143</v>
      </c>
      <c r="G28" s="13"/>
      <c r="H28" s="19">
        <f>'Income Statement'!$H$33</f>
        <v>7.3106013040490372E-2</v>
      </c>
      <c r="I28" s="19">
        <f>'Income Statement'!$I$33</f>
        <v>8.4318504639839059E-2</v>
      </c>
      <c r="J28" s="20">
        <f>('Income Statement'!$H$33-'Income Statement'!$I$33)*100</f>
        <v>-1.1212491599348686</v>
      </c>
      <c r="K28" s="13"/>
      <c r="L28" s="19">
        <f>IFERROR(L27/L14,0)</f>
        <v>8.3692810752943228E-2</v>
      </c>
      <c r="M28" s="19">
        <f>IFERROR(M27/M14,0)</f>
        <v>9.2641873609792411E-2</v>
      </c>
      <c r="N28" s="20">
        <f>(L28-M28)*100</f>
        <v>-0.89490628568491826</v>
      </c>
      <c r="O28" s="13"/>
      <c r="P28" s="130"/>
      <c r="Q28" s="130"/>
      <c r="R28" s="130"/>
      <c r="S28" s="130"/>
      <c r="T28" s="130"/>
      <c r="U28" s="130"/>
    </row>
    <row r="29" spans="3:22" ht="21" customHeight="1" x14ac:dyDescent="0.3">
      <c r="C29" s="6" t="s">
        <v>559</v>
      </c>
      <c r="D29" s="6"/>
      <c r="E29" s="6"/>
      <c r="F29" s="6"/>
      <c r="G29" s="6"/>
      <c r="H29" s="6"/>
      <c r="I29" s="6"/>
      <c r="J29" s="6"/>
      <c r="K29" s="6"/>
      <c r="L29" s="6"/>
      <c r="M29" s="6"/>
      <c r="N29" s="6"/>
      <c r="O29" s="6"/>
      <c r="P29" s="6"/>
      <c r="Q29" s="6"/>
      <c r="R29" s="6"/>
      <c r="S29" s="6"/>
      <c r="T29" s="6"/>
      <c r="U29" s="6"/>
      <c r="V29" s="6"/>
    </row>
    <row r="45" spans="3:22" ht="21" customHeight="1" x14ac:dyDescent="0.3">
      <c r="C45" s="6" t="s">
        <v>560</v>
      </c>
      <c r="D45" s="6"/>
      <c r="E45" s="6"/>
      <c r="F45" s="6"/>
      <c r="G45" s="6"/>
      <c r="H45" s="6"/>
      <c r="I45" s="6"/>
      <c r="J45" s="6"/>
      <c r="K45" s="6"/>
      <c r="L45" s="6"/>
      <c r="M45" s="6"/>
      <c r="N45" s="6"/>
      <c r="O45" s="6"/>
      <c r="P45" s="6"/>
      <c r="Q45" s="6"/>
      <c r="R45" s="6"/>
      <c r="S45" s="6"/>
      <c r="T45" s="6"/>
      <c r="U45" s="6"/>
      <c r="V45" s="6"/>
    </row>
    <row r="62" spans="3:22" ht="21" customHeight="1" x14ac:dyDescent="0.3">
      <c r="C62" s="6" t="s">
        <v>561</v>
      </c>
      <c r="D62" s="6"/>
      <c r="E62" s="6"/>
      <c r="F62" s="6"/>
      <c r="G62" s="6"/>
      <c r="H62" s="6"/>
      <c r="I62" s="6"/>
      <c r="J62" s="6"/>
      <c r="K62" s="6"/>
      <c r="L62" s="6"/>
      <c r="M62" s="6"/>
      <c r="N62" s="6"/>
      <c r="O62" s="6"/>
      <c r="P62" s="6"/>
      <c r="Q62" s="6"/>
      <c r="R62" s="6"/>
      <c r="S62" s="6"/>
      <c r="T62" s="6"/>
      <c r="U62" s="6"/>
      <c r="V62" s="6"/>
    </row>
    <row r="79" spans="3:3" x14ac:dyDescent="0.25">
      <c r="C79" s="21" t="s">
        <v>562</v>
      </c>
    </row>
  </sheetData>
  <mergeCells count="28">
    <mergeCell ref="R9:V9"/>
    <mergeCell ref="R10:V10"/>
    <mergeCell ref="D12:G12"/>
    <mergeCell ref="H12:K12"/>
    <mergeCell ref="L12:O12"/>
    <mergeCell ref="P12:U12"/>
    <mergeCell ref="C9:G9"/>
    <mergeCell ref="C10:G10"/>
    <mergeCell ref="H9:L9"/>
    <mergeCell ref="H10:L10"/>
    <mergeCell ref="M9:Q9"/>
    <mergeCell ref="M10:Q10"/>
    <mergeCell ref="P13:U13"/>
    <mergeCell ref="P14:U14"/>
    <mergeCell ref="P15:U15"/>
    <mergeCell ref="P16:U16"/>
    <mergeCell ref="P17:U17"/>
    <mergeCell ref="P18:U18"/>
    <mergeCell ref="P19:U19"/>
    <mergeCell ref="P20:U20"/>
    <mergeCell ref="P21:U21"/>
    <mergeCell ref="P22:U22"/>
    <mergeCell ref="P28:U28"/>
    <mergeCell ref="P23:U23"/>
    <mergeCell ref="P24:U24"/>
    <mergeCell ref="P25:U25"/>
    <mergeCell ref="P26:U26"/>
    <mergeCell ref="P27:U27"/>
  </mergeCells>
  <conditionalFormatting sqref="F14:G28">
    <cfRule type="cellIs" dxfId="38" priority="1" operator="greaterThan">
      <formula>0</formula>
    </cfRule>
    <cfRule type="cellIs" dxfId="37" priority="2" operator="lessThan">
      <formula>0</formula>
    </cfRule>
  </conditionalFormatting>
  <conditionalFormatting sqref="J14:K28">
    <cfRule type="cellIs" dxfId="36" priority="5" operator="greaterThan">
      <formula>0</formula>
    </cfRule>
    <cfRule type="cellIs" dxfId="35" priority="6" operator="lessThan">
      <formula>0</formula>
    </cfRule>
  </conditionalFormatting>
  <conditionalFormatting sqref="N14:O28">
    <cfRule type="cellIs" dxfId="34" priority="9" operator="greaterThan">
      <formula>0</formula>
    </cfRule>
    <cfRule type="cellIs" dxfId="33" priority="10" operator="lessThan">
      <formula>0</formula>
    </cfRule>
  </conditionalFormatting>
  <pageMargins left="0.7" right="0.7" top="0.75" bottom="0.75" header="0.3" footer="0.3"/>
  <pageSetup paperSize="9" orientation="landscape"/>
  <drawing r:id="rId1"/>
  <extLst>
    <ext xmlns:x14="http://schemas.microsoft.com/office/spreadsheetml/2009/9/main" uri="{05C60535-1F16-4fd2-B633-F4F36F0B64E0}">
      <x14:sparklineGroups xmlns:xm="http://schemas.microsoft.com/office/excel/2006/main">
        <x14:sparklineGroup type="column" displayEmptyCellsAs="gap" xr2:uid="{00000000-0003-0000-0000-000000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Analytics!C78:N78</xm:f>
              <xm:sqref>P28</xm:sqref>
            </x14:sparkline>
          </x14:sparklines>
        </x14:sparklineGroup>
        <x14:sparklineGroup type="column" displayEmptyCellsAs="gap" xr2:uid="{00000000-0003-0000-0000-000001000000}">
          <x14:colorSeries rgb="FF10243E"/>
          <x14:colorNegative theme="5"/>
          <x14:colorAxis rgb="FF000000"/>
          <x14:colorMarkers theme="4" tint="-0.499984740745262"/>
          <x14:colorFirst theme="4" tint="0.39997558519241921"/>
          <x14:colorLast theme="4" tint="0.39997558519241921"/>
          <x14:colorHigh theme="4"/>
          <x14:colorLow theme="4"/>
          <x14:sparklines>
            <x14:sparkline>
              <xm:f>Analytics!C49:N49</xm:f>
              <xm:sqref>P27</xm:sqref>
            </x14:sparkline>
          </x14:sparklines>
        </x14:sparklineGroup>
        <x14:sparklineGroup type="column" displayEmptyCellsAs="gap" xr2:uid="{00000000-0003-0000-0000-000002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Analytics!C26:N26</xm:f>
              <xm:sqref>P26</xm:sqref>
            </x14:sparkline>
          </x14:sparklines>
        </x14:sparklineGroup>
        <x14:sparklineGroup type="column" displayEmptyCellsAs="gap" xr2:uid="{00000000-0003-0000-0000-000003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Analytics!C25:N25</xm:f>
              <xm:sqref>P24</xm:sqref>
            </x14:sparkline>
          </x14:sparklines>
        </x14:sparklineGroup>
        <x14:sparklineGroup type="column" displayEmptyCellsAs="gap" xr2:uid="{00000000-0003-0000-0000-000004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Analytics!C24:N24</xm:f>
              <xm:sqref>P23</xm:sqref>
            </x14:sparkline>
          </x14:sparklines>
        </x14:sparklineGroup>
        <x14:sparklineGroup type="column" displayEmptyCellsAs="gap" xr2:uid="{00000000-0003-0000-0000-000005000000}">
          <x14:colorSeries rgb="FF10243E"/>
          <x14:colorNegative theme="5"/>
          <x14:colorAxis rgb="FF000000"/>
          <x14:colorMarkers theme="4" tint="-0.499984740745262"/>
          <x14:colorFirst theme="4" tint="0.39997558519241921"/>
          <x14:colorLast theme="4" tint="0.39997558519241921"/>
          <x14:colorHigh theme="4"/>
          <x14:colorLow theme="4"/>
          <x14:sparklines>
            <x14:sparkline>
              <xm:f>Analytics!C48:N48</xm:f>
              <xm:sqref>P22</xm:sqref>
            </x14:sparkline>
          </x14:sparklines>
        </x14:sparklineGroup>
        <x14:sparklineGroup type="column" displayEmptyCellsAs="gap" xr2:uid="{00000000-0003-0000-0000-000006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Analytics!C23:N23</xm:f>
              <xm:sqref>P21</xm:sqref>
            </x14:sparkline>
          </x14:sparklines>
        </x14:sparklineGroup>
        <x14:sparklineGroup type="column" displayEmptyCellsAs="gap" xr2:uid="{00000000-0003-0000-0000-000007000000}">
          <x14:colorSeries rgb="FF10243E"/>
          <x14:colorNegative theme="5"/>
          <x14:colorAxis rgb="FF000000"/>
          <x14:colorMarkers theme="4" tint="-0.499984740745262"/>
          <x14:colorFirst theme="4" tint="0.39997558519241921"/>
          <x14:colorLast theme="4" tint="0.39997558519241921"/>
          <x14:colorHigh theme="4"/>
          <x14:colorLow theme="4"/>
          <x14:sparklines>
            <x14:sparkline>
              <xm:f>Analytics!C47:N47</xm:f>
              <xm:sqref>P20</xm:sqref>
            </x14:sparkline>
          </x14:sparklines>
        </x14:sparklineGroup>
        <x14:sparklineGroup type="column" displayEmptyCellsAs="gap" xr2:uid="{00000000-0003-0000-0000-000008000000}">
          <x14:colorSeries rgb="FF10243E"/>
          <x14:colorNegative theme="5"/>
          <x14:colorAxis rgb="FF000000"/>
          <x14:colorMarkers theme="4" tint="-0.499984740745262"/>
          <x14:colorFirst theme="4" tint="0.39997558519241921"/>
          <x14:colorLast theme="4" tint="0.39997558519241921"/>
          <x14:colorHigh theme="4"/>
          <x14:colorLow theme="4"/>
          <x14:sparklines>
            <x14:sparkline>
              <xm:f>Analytics!C46:N46</xm:f>
              <xm:sqref>P19</xm:sqref>
            </x14:sparkline>
          </x14:sparklines>
        </x14:sparklineGroup>
        <x14:sparklineGroup type="column" displayEmptyCellsAs="gap" xr2:uid="{00000000-0003-0000-0000-000009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Analytics!C12:N12</xm:f>
              <xm:sqref>P18</xm:sqref>
            </x14:sparkline>
          </x14:sparklines>
        </x14:sparklineGroup>
        <x14:sparklineGroup type="column" displayEmptyCellsAs="gap" xr2:uid="{00000000-0003-0000-0000-00000A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Analytics!C76:N76</xm:f>
              <xm:sqref>P17</xm:sqref>
            </x14:sparkline>
          </x14:sparklines>
        </x14:sparklineGroup>
        <x14:sparklineGroup type="column" displayEmptyCellsAs="gap" xr2:uid="{00000000-0003-0000-0000-00000B000000}">
          <x14:colorSeries rgb="FF10243E"/>
          <x14:colorNegative theme="5"/>
          <x14:colorAxis rgb="FF000000"/>
          <x14:colorMarkers theme="4" tint="-0.499984740745262"/>
          <x14:colorFirst theme="4" tint="0.39997558519241921"/>
          <x14:colorLast theme="4" tint="0.39997558519241921"/>
          <x14:colorHigh theme="4"/>
          <x14:colorLow theme="4"/>
          <x14:sparklines>
            <x14:sparkline>
              <xm:f>Analytics!C45:N45</xm:f>
              <xm:sqref>P16</xm:sqref>
            </x14:sparkline>
          </x14:sparklines>
        </x14:sparklineGroup>
        <x14:sparklineGroup type="column" displayEmptyCellsAs="gap" xr2:uid="{00000000-0003-0000-0000-00000C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Analytics!C11:N11</xm:f>
              <xm:sqref>P15</xm:sqref>
            </x14:sparkline>
          </x14:sparklines>
        </x14:sparklineGroup>
        <x14:sparklineGroup type="column" displayEmptyCellsAs="gap" xr2:uid="{00000000-0003-0000-0000-00000D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Analytics!C10:N10</xm:f>
              <xm:sqref>P14</xm:sqref>
            </x14:sparkline>
          </x14:sparklines>
        </x14:sparklineGroup>
      </x14:sparklineGroups>
    </ext>
    <ext xmlns:x15="http://schemas.microsoft.com/office/spreadsheetml/2010/11/main" uri="{3A4CF648-6AED-40f4-86FF-DC5316D8AED3}">
      <x14:slicerList xmlns:x14="http://schemas.microsoft.com/office/spreadsheetml/2009/9/main">
        <x14:slicer r:id="rId2"/>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E8A8A"/>
    <pageSetUpPr fitToPage="1"/>
  </sheetPr>
  <dimension ref="A1:T43"/>
  <sheetViews>
    <sheetView showGridLines="0" showRowColHeaders="0" zoomScale="90" zoomScaleNormal="90" workbookViewId="0">
      <pane xSplit="2" topLeftCell="C1" activePane="topRight" state="frozen"/>
      <selection pane="topRight" activeCell="D6" sqref="D6"/>
    </sheetView>
  </sheetViews>
  <sheetFormatPr defaultColWidth="0" defaultRowHeight="15" x14ac:dyDescent="0.25"/>
  <cols>
    <col min="1" max="1" width="42.85546875" style="1" customWidth="1"/>
    <col min="2" max="2" width="2.5703125" style="2" customWidth="1"/>
    <col min="3" max="3" width="30" style="2" customWidth="1"/>
    <col min="4" max="15" width="9.42578125" style="2" customWidth="1"/>
    <col min="16" max="19" width="10.85546875" style="2" customWidth="1"/>
    <col min="20" max="20" width="2.5703125" style="2" customWidth="1"/>
    <col min="21" max="21" width="0" hidden="1" customWidth="1"/>
  </cols>
  <sheetData>
    <row r="1" spans="3:19" ht="40.5" customHeight="1" x14ac:dyDescent="0.45">
      <c r="C1" s="3" t="str">
        <f>Setup!$B$4&amp;": monthly trends"</f>
        <v>COSKUN, Inc.: monthly trends</v>
      </c>
      <c r="D1" s="4"/>
      <c r="E1" s="4"/>
      <c r="F1" s="4"/>
      <c r="G1" s="4"/>
      <c r="H1" s="4"/>
      <c r="I1" s="4"/>
      <c r="J1" s="4"/>
      <c r="K1" s="4"/>
      <c r="L1" s="4"/>
      <c r="M1" s="4"/>
      <c r="N1" s="4"/>
      <c r="O1" s="4"/>
      <c r="P1" s="4"/>
      <c r="Q1" s="4"/>
      <c r="R1" s="4"/>
      <c r="S1" s="4"/>
    </row>
    <row r="2" spans="3:19" ht="25.5" customHeight="1" x14ac:dyDescent="0.25">
      <c r="C2" s="5" t="str">
        <f>"Reported to "&amp;Setup!$B$17&amp;"  |  "&amp;Setup!$B$19&amp;"  |  US dollars, thousands where shown"</f>
        <v>Reported to October 2026  |  FY2026  |  US dollars, thousands where shown</v>
      </c>
      <c r="D2" s="4"/>
      <c r="E2" s="4"/>
      <c r="F2" s="4"/>
      <c r="G2" s="4"/>
      <c r="H2" s="4"/>
      <c r="I2" s="4"/>
      <c r="J2" s="4"/>
      <c r="K2" s="4"/>
      <c r="L2" s="4"/>
      <c r="M2" s="4"/>
      <c r="N2" s="4"/>
      <c r="O2" s="4"/>
      <c r="P2" s="4"/>
      <c r="Q2" s="4"/>
      <c r="R2" s="4"/>
      <c r="S2" s="4"/>
    </row>
    <row r="3" spans="3:19" ht="7.5" customHeight="1" x14ac:dyDescent="0.25"/>
    <row r="4" spans="3:19" ht="21" customHeight="1" x14ac:dyDescent="0.3">
      <c r="C4" s="6" t="s">
        <v>563</v>
      </c>
      <c r="D4" s="6"/>
      <c r="E4" s="6"/>
      <c r="F4" s="6"/>
      <c r="G4" s="6"/>
      <c r="H4" s="6"/>
      <c r="I4" s="6"/>
      <c r="J4" s="6"/>
      <c r="K4" s="6"/>
      <c r="L4" s="6"/>
      <c r="M4" s="6"/>
      <c r="N4" s="6"/>
      <c r="O4" s="6"/>
      <c r="P4" s="6"/>
      <c r="Q4" s="6"/>
      <c r="R4" s="6"/>
      <c r="S4" s="6"/>
    </row>
    <row r="5" spans="3:19" ht="21" x14ac:dyDescent="0.25">
      <c r="C5" s="8" t="s">
        <v>564</v>
      </c>
      <c r="D5" s="9" t="str">
        <f>Analytics!C$3</f>
        <v>Jan</v>
      </c>
      <c r="E5" s="9" t="str">
        <f>Analytics!D$3</f>
        <v>Feb</v>
      </c>
      <c r="F5" s="9" t="str">
        <f>Analytics!E$3</f>
        <v>Mar</v>
      </c>
      <c r="G5" s="9" t="str">
        <f>Analytics!F$3</f>
        <v>Apr</v>
      </c>
      <c r="H5" s="9" t="str">
        <f>Analytics!G$3</f>
        <v>May</v>
      </c>
      <c r="I5" s="9" t="str">
        <f>Analytics!H$3</f>
        <v>Jun</v>
      </c>
      <c r="J5" s="9" t="str">
        <f>Analytics!I$3</f>
        <v>Jul</v>
      </c>
      <c r="K5" s="9" t="str">
        <f>Analytics!J$3</f>
        <v>Aug</v>
      </c>
      <c r="L5" s="9" t="str">
        <f>Analytics!K$3</f>
        <v>Sep</v>
      </c>
      <c r="M5" s="9" t="str">
        <f>Analytics!L$3</f>
        <v>Oct</v>
      </c>
      <c r="N5" s="9" t="str">
        <f>Analytics!M$3</f>
        <v>Nov</v>
      </c>
      <c r="O5" s="9" t="str">
        <f>Analytics!N$3</f>
        <v>Dec</v>
      </c>
      <c r="P5" s="9" t="s">
        <v>418</v>
      </c>
      <c r="Q5" s="9" t="s">
        <v>565</v>
      </c>
      <c r="R5" s="9" t="s">
        <v>463</v>
      </c>
      <c r="S5" s="9" t="s">
        <v>566</v>
      </c>
    </row>
    <row r="6" spans="3:19" x14ac:dyDescent="0.25">
      <c r="C6" s="22" t="s">
        <v>7</v>
      </c>
      <c r="D6" s="23">
        <f>Analytics!C10</f>
        <v>1591543</v>
      </c>
      <c r="E6" s="23">
        <f>Analytics!D10</f>
        <v>1574867</v>
      </c>
      <c r="F6" s="23">
        <f>Analytics!E10</f>
        <v>1713781</v>
      </c>
      <c r="G6" s="23">
        <f>Analytics!F10</f>
        <v>1763614</v>
      </c>
      <c r="H6" s="23">
        <f>Analytics!G10</f>
        <v>1817445</v>
      </c>
      <c r="I6" s="23">
        <f>Analytics!H10</f>
        <v>1802093</v>
      </c>
      <c r="J6" s="23">
        <f>Analytics!I10</f>
        <v>1803935</v>
      </c>
      <c r="K6" s="23">
        <f>Analytics!J10</f>
        <v>1861913</v>
      </c>
      <c r="L6" s="23">
        <f>Analytics!K10</f>
        <v>1941121</v>
      </c>
      <c r="M6" s="23">
        <f>Analytics!L10</f>
        <v>2023647</v>
      </c>
      <c r="N6" s="23">
        <f>Analytics!M10</f>
        <v>0</v>
      </c>
      <c r="O6" s="23">
        <f>Analytics!N10</f>
        <v>0</v>
      </c>
      <c r="P6" s="23">
        <f t="shared" ref="P6:P27" si="0">SUM(D6:O6)</f>
        <v>17893959</v>
      </c>
      <c r="Q6" s="23">
        <f>SUMIF(Analytics!$C$2:$N$2,"&lt;="&amp;mSel,Analytics!$C28:$N28)</f>
        <v>18093300</v>
      </c>
      <c r="R6" s="24">
        <f>P6-Q6</f>
        <v>-199341</v>
      </c>
      <c r="S6" s="23">
        <f>SUM(Analytics!$C28:$N28)</f>
        <v>22433700</v>
      </c>
    </row>
    <row r="7" spans="3:19" x14ac:dyDescent="0.25">
      <c r="C7" s="22" t="s">
        <v>8</v>
      </c>
      <c r="D7" s="23">
        <f>Analytics!C11</f>
        <v>805384</v>
      </c>
      <c r="E7" s="23">
        <f>Analytics!D11</f>
        <v>798406</v>
      </c>
      <c r="F7" s="23">
        <f>Analytics!E11</f>
        <v>870421</v>
      </c>
      <c r="G7" s="23">
        <f>Analytics!F11</f>
        <v>897365</v>
      </c>
      <c r="H7" s="23">
        <f>Analytics!G11</f>
        <v>926441</v>
      </c>
      <c r="I7" s="23">
        <f>Analytics!H11</f>
        <v>920286</v>
      </c>
      <c r="J7" s="23">
        <f>Analytics!I11</f>
        <v>922900</v>
      </c>
      <c r="K7" s="23">
        <f>Analytics!J11</f>
        <v>954287</v>
      </c>
      <c r="L7" s="23">
        <f>Analytics!K11</f>
        <v>996685</v>
      </c>
      <c r="M7" s="23">
        <f>Analytics!L11</f>
        <v>1040935</v>
      </c>
      <c r="N7" s="23">
        <f>Analytics!M11</f>
        <v>0</v>
      </c>
      <c r="O7" s="23">
        <f>Analytics!N11</f>
        <v>0</v>
      </c>
      <c r="P7" s="23">
        <f t="shared" si="0"/>
        <v>9133110</v>
      </c>
      <c r="Q7" s="23">
        <f>SUMIF(Analytics!$C$2:$N$2,"&lt;="&amp;mSel,Analytics!$C29:$N29)</f>
        <v>9156000</v>
      </c>
      <c r="R7" s="24">
        <f>Q7-P7</f>
        <v>22890</v>
      </c>
      <c r="S7" s="23">
        <f>SUM(Analytics!$C29:$N29)</f>
        <v>11352400</v>
      </c>
    </row>
    <row r="8" spans="3:19" x14ac:dyDescent="0.25">
      <c r="C8" s="14" t="s">
        <v>9</v>
      </c>
      <c r="D8" s="25">
        <f>Analytics!C45</f>
        <v>786159</v>
      </c>
      <c r="E8" s="25">
        <f>Analytics!D45</f>
        <v>776461</v>
      </c>
      <c r="F8" s="25">
        <f>Analytics!E45</f>
        <v>843360</v>
      </c>
      <c r="G8" s="25">
        <f>Analytics!F45</f>
        <v>866249</v>
      </c>
      <c r="H8" s="25">
        <f>Analytics!G45</f>
        <v>891004</v>
      </c>
      <c r="I8" s="25">
        <f>Analytics!H45</f>
        <v>881807</v>
      </c>
      <c r="J8" s="25">
        <f>Analytics!I45</f>
        <v>881035</v>
      </c>
      <c r="K8" s="25">
        <f>Analytics!J45</f>
        <v>907626</v>
      </c>
      <c r="L8" s="25">
        <f>Analytics!K45</f>
        <v>944436</v>
      </c>
      <c r="M8" s="25">
        <f>Analytics!L45</f>
        <v>982712</v>
      </c>
      <c r="N8" s="25">
        <f>Analytics!M45</f>
        <v>0</v>
      </c>
      <c r="O8" s="25">
        <f>Analytics!N45</f>
        <v>0</v>
      </c>
      <c r="P8" s="25">
        <f t="shared" si="0"/>
        <v>8760849</v>
      </c>
      <c r="Q8" s="25">
        <f>SUMIF(Analytics!$C$2:$N$2,"&lt;="&amp;mSel,Analytics!$C50:$N50)</f>
        <v>8937300</v>
      </c>
      <c r="R8" s="26">
        <f>P8-Q8</f>
        <v>-176451</v>
      </c>
      <c r="S8" s="25">
        <f>SUM(Analytics!$C50:$N50)</f>
        <v>11081300</v>
      </c>
    </row>
    <row r="9" spans="3:19" x14ac:dyDescent="0.25">
      <c r="C9" s="22" t="s">
        <v>11</v>
      </c>
      <c r="D9" s="23">
        <f>Analytics!C12</f>
        <v>7422</v>
      </c>
      <c r="E9" s="23">
        <f>Analytics!D12</f>
        <v>5848</v>
      </c>
      <c r="F9" s="23">
        <f>Analytics!E12</f>
        <v>6744</v>
      </c>
      <c r="G9" s="23">
        <f>Analytics!F12</f>
        <v>5485</v>
      </c>
      <c r="H9" s="23">
        <f>Analytics!G12</f>
        <v>5202</v>
      </c>
      <c r="I9" s="23">
        <f>Analytics!H12</f>
        <v>5733</v>
      </c>
      <c r="J9" s="23">
        <f>Analytics!I12</f>
        <v>4979</v>
      </c>
      <c r="K9" s="23">
        <f>Analytics!J12</f>
        <v>5745</v>
      </c>
      <c r="L9" s="23">
        <f>Analytics!K12</f>
        <v>6000</v>
      </c>
      <c r="M9" s="23">
        <f>Analytics!L12</f>
        <v>5839</v>
      </c>
      <c r="N9" s="23">
        <f>Analytics!M12</f>
        <v>0</v>
      </c>
      <c r="O9" s="23">
        <f>Analytics!N12</f>
        <v>0</v>
      </c>
      <c r="P9" s="23">
        <f t="shared" si="0"/>
        <v>58997</v>
      </c>
      <c r="Q9" s="23">
        <f>SUMIF(Analytics!$C$2:$N$2,"&lt;="&amp;mSel,Analytics!$C30:$N30)</f>
        <v>60000</v>
      </c>
      <c r="R9" s="24">
        <f>P9-Q9</f>
        <v>-1003</v>
      </c>
      <c r="S9" s="23">
        <f>SUM(Analytics!$C30:$N30)</f>
        <v>72000</v>
      </c>
    </row>
    <row r="10" spans="3:19" x14ac:dyDescent="0.25">
      <c r="C10" s="22" t="s">
        <v>315</v>
      </c>
      <c r="D10" s="23">
        <f>Analytics!C13</f>
        <v>350476</v>
      </c>
      <c r="E10" s="23">
        <f>Analytics!D13</f>
        <v>348525</v>
      </c>
      <c r="F10" s="23">
        <f>Analytics!E13</f>
        <v>352616</v>
      </c>
      <c r="G10" s="23">
        <f>Analytics!F13</f>
        <v>351626</v>
      </c>
      <c r="H10" s="23">
        <f>Analytics!G13</f>
        <v>355472</v>
      </c>
      <c r="I10" s="23">
        <f>Analytics!H13</f>
        <v>353494</v>
      </c>
      <c r="J10" s="23">
        <f>Analytics!I13</f>
        <v>359207</v>
      </c>
      <c r="K10" s="23">
        <f>Analytics!J13</f>
        <v>359011</v>
      </c>
      <c r="L10" s="23">
        <f>Analytics!K13</f>
        <v>360267</v>
      </c>
      <c r="M10" s="23">
        <f>Analytics!L13</f>
        <v>359010</v>
      </c>
      <c r="N10" s="23">
        <f>Analytics!M13</f>
        <v>0</v>
      </c>
      <c r="O10" s="23">
        <f>Analytics!N13</f>
        <v>0</v>
      </c>
      <c r="P10" s="23">
        <f t="shared" si="0"/>
        <v>3549704</v>
      </c>
      <c r="Q10" s="23">
        <f>SUMIF(Analytics!$C$2:$N$2,"&lt;="&amp;mSel,Analytics!$C31:$N31)</f>
        <v>3568200</v>
      </c>
      <c r="R10" s="24">
        <f t="shared" ref="R10:R20" si="1">Q10-P10</f>
        <v>18496</v>
      </c>
      <c r="S10" s="23">
        <f>SUM(Analytics!$C31:$N31)</f>
        <v>4294500</v>
      </c>
    </row>
    <row r="11" spans="3:19" x14ac:dyDescent="0.25">
      <c r="C11" s="22" t="s">
        <v>319</v>
      </c>
      <c r="D11" s="23">
        <f>Analytics!C14</f>
        <v>75500</v>
      </c>
      <c r="E11" s="23">
        <f>Analytics!D14</f>
        <v>75726</v>
      </c>
      <c r="F11" s="23">
        <f>Analytics!E14</f>
        <v>75954</v>
      </c>
      <c r="G11" s="23">
        <f>Analytics!F14</f>
        <v>76179</v>
      </c>
      <c r="H11" s="23">
        <f>Analytics!G14</f>
        <v>76406</v>
      </c>
      <c r="I11" s="23">
        <f>Analytics!H14</f>
        <v>76633</v>
      </c>
      <c r="J11" s="23">
        <f>Analytics!I14</f>
        <v>76858</v>
      </c>
      <c r="K11" s="23">
        <f>Analytics!J14</f>
        <v>77086</v>
      </c>
      <c r="L11" s="23">
        <f>Analytics!K14</f>
        <v>77312</v>
      </c>
      <c r="M11" s="23">
        <f>Analytics!L14</f>
        <v>77538</v>
      </c>
      <c r="N11" s="23">
        <f>Analytics!M14</f>
        <v>0</v>
      </c>
      <c r="O11" s="23">
        <f>Analytics!N14</f>
        <v>0</v>
      </c>
      <c r="P11" s="23">
        <f t="shared" si="0"/>
        <v>765192</v>
      </c>
      <c r="Q11" s="23">
        <f>SUMIF(Analytics!$C$2:$N$2,"&lt;="&amp;mSel,Analytics!$C32:$N32)</f>
        <v>765200</v>
      </c>
      <c r="R11" s="24">
        <f t="shared" si="1"/>
        <v>8</v>
      </c>
      <c r="S11" s="23">
        <f>SUM(Analytics!$C32:$N32)</f>
        <v>921000</v>
      </c>
    </row>
    <row r="12" spans="3:19" x14ac:dyDescent="0.25">
      <c r="C12" s="22" t="s">
        <v>322</v>
      </c>
      <c r="D12" s="23">
        <f>Analytics!C15</f>
        <v>79351</v>
      </c>
      <c r="E12" s="23">
        <f>Analytics!D15</f>
        <v>83898</v>
      </c>
      <c r="F12" s="23">
        <f>Analytics!E15</f>
        <v>75827</v>
      </c>
      <c r="G12" s="23">
        <f>Analytics!F15</f>
        <v>76763</v>
      </c>
      <c r="H12" s="23">
        <f>Analytics!G15</f>
        <v>79654</v>
      </c>
      <c r="I12" s="23">
        <f>Analytics!H15</f>
        <v>80360</v>
      </c>
      <c r="J12" s="23">
        <f>Analytics!I15</f>
        <v>72442</v>
      </c>
      <c r="K12" s="23">
        <f>Analytics!J15</f>
        <v>66281</v>
      </c>
      <c r="L12" s="23">
        <f>Analytics!K15</f>
        <v>89201</v>
      </c>
      <c r="M12" s="23">
        <f>Analytics!L15</f>
        <v>64195</v>
      </c>
      <c r="N12" s="23">
        <f>Analytics!M15</f>
        <v>0</v>
      </c>
      <c r="O12" s="23">
        <f>Analytics!N15</f>
        <v>0</v>
      </c>
      <c r="P12" s="23">
        <f t="shared" si="0"/>
        <v>767972</v>
      </c>
      <c r="Q12" s="23">
        <f>SUMIF(Analytics!$C$2:$N$2,"&lt;="&amp;mSel,Analytics!$C33:$N33)</f>
        <v>659700</v>
      </c>
      <c r="R12" s="24">
        <f t="shared" si="1"/>
        <v>-108272</v>
      </c>
      <c r="S12" s="23">
        <f>SUM(Analytics!$C33:$N33)</f>
        <v>793900</v>
      </c>
    </row>
    <row r="13" spans="3:19" x14ac:dyDescent="0.25">
      <c r="C13" s="22" t="s">
        <v>325</v>
      </c>
      <c r="D13" s="23">
        <f>Analytics!C16</f>
        <v>23805</v>
      </c>
      <c r="E13" s="23">
        <f>Analytics!D16</f>
        <v>24118</v>
      </c>
      <c r="F13" s="23">
        <f>Analytics!E16</f>
        <v>31605</v>
      </c>
      <c r="G13" s="23">
        <f>Analytics!F16</f>
        <v>21234</v>
      </c>
      <c r="H13" s="23">
        <f>Analytics!G16</f>
        <v>16122</v>
      </c>
      <c r="I13" s="23">
        <f>Analytics!H16</f>
        <v>30542</v>
      </c>
      <c r="J13" s="23">
        <f>Analytics!I16</f>
        <v>24493</v>
      </c>
      <c r="K13" s="23">
        <f>Analytics!J16</f>
        <v>21698</v>
      </c>
      <c r="L13" s="23">
        <f>Analytics!K16</f>
        <v>27441</v>
      </c>
      <c r="M13" s="23">
        <f>Analytics!L16</f>
        <v>21130</v>
      </c>
      <c r="N13" s="23">
        <f>Analytics!M16</f>
        <v>0</v>
      </c>
      <c r="O13" s="23">
        <f>Analytics!N16</f>
        <v>0</v>
      </c>
      <c r="P13" s="23">
        <f t="shared" si="0"/>
        <v>242188</v>
      </c>
      <c r="Q13" s="23">
        <f>SUMIF(Analytics!$C$2:$N$2,"&lt;="&amp;mSel,Analytics!$C34:$N34)</f>
        <v>234900</v>
      </c>
      <c r="R13" s="24">
        <f t="shared" si="1"/>
        <v>-7288</v>
      </c>
      <c r="S13" s="23">
        <f>SUM(Analytics!$C34:$N34)</f>
        <v>282700</v>
      </c>
    </row>
    <row r="14" spans="3:19" x14ac:dyDescent="0.25">
      <c r="C14" s="22" t="s">
        <v>329</v>
      </c>
      <c r="D14" s="23">
        <f>Analytics!C17</f>
        <v>26585</v>
      </c>
      <c r="E14" s="23">
        <f>Analytics!D17</f>
        <v>33167</v>
      </c>
      <c r="F14" s="23">
        <f>Analytics!E17</f>
        <v>32569</v>
      </c>
      <c r="G14" s="23">
        <f>Analytics!F17</f>
        <v>33962</v>
      </c>
      <c r="H14" s="23">
        <f>Analytics!G17</f>
        <v>35462</v>
      </c>
      <c r="I14" s="23">
        <f>Analytics!H17</f>
        <v>31584</v>
      </c>
      <c r="J14" s="23">
        <f>Analytics!I17</f>
        <v>29129</v>
      </c>
      <c r="K14" s="23">
        <f>Analytics!J17</f>
        <v>37671</v>
      </c>
      <c r="L14" s="23">
        <f>Analytics!K17</f>
        <v>26031</v>
      </c>
      <c r="M14" s="23">
        <f>Analytics!L17</f>
        <v>23496</v>
      </c>
      <c r="N14" s="23">
        <f>Analytics!M17</f>
        <v>0</v>
      </c>
      <c r="O14" s="23">
        <f>Analytics!N17</f>
        <v>0</v>
      </c>
      <c r="P14" s="23">
        <f t="shared" si="0"/>
        <v>309656</v>
      </c>
      <c r="Q14" s="23">
        <f>SUMIF(Analytics!$C$2:$N$2,"&lt;="&amp;mSel,Analytics!$C35:$N35)</f>
        <v>306900</v>
      </c>
      <c r="R14" s="24">
        <f t="shared" si="1"/>
        <v>-2756</v>
      </c>
      <c r="S14" s="23">
        <f>SUM(Analytics!$C35:$N35)</f>
        <v>369400</v>
      </c>
    </row>
    <row r="15" spans="3:19" x14ac:dyDescent="0.25">
      <c r="C15" s="22" t="s">
        <v>333</v>
      </c>
      <c r="D15" s="23">
        <f>Analytics!C18</f>
        <v>26620</v>
      </c>
      <c r="E15" s="23">
        <f>Analytics!D18</f>
        <v>25079</v>
      </c>
      <c r="F15" s="23">
        <f>Analytics!E18</f>
        <v>24495</v>
      </c>
      <c r="G15" s="23">
        <f>Analytics!F18</f>
        <v>24911</v>
      </c>
      <c r="H15" s="23">
        <f>Analytics!G18</f>
        <v>26672</v>
      </c>
      <c r="I15" s="23">
        <f>Analytics!H18</f>
        <v>24603</v>
      </c>
      <c r="J15" s="23">
        <f>Analytics!I18</f>
        <v>23768</v>
      </c>
      <c r="K15" s="23">
        <f>Analytics!J18</f>
        <v>26357</v>
      </c>
      <c r="L15" s="23">
        <f>Analytics!K18</f>
        <v>26414</v>
      </c>
      <c r="M15" s="23">
        <f>Analytics!L18</f>
        <v>24438</v>
      </c>
      <c r="N15" s="23">
        <f>Analytics!M18</f>
        <v>0</v>
      </c>
      <c r="O15" s="23">
        <f>Analytics!N18</f>
        <v>0</v>
      </c>
      <c r="P15" s="23">
        <f t="shared" si="0"/>
        <v>253357</v>
      </c>
      <c r="Q15" s="23">
        <f>SUMIF(Analytics!$C$2:$N$2,"&lt;="&amp;mSel,Analytics!$C36:$N36)</f>
        <v>247100</v>
      </c>
      <c r="R15" s="24">
        <f t="shared" si="1"/>
        <v>-6257</v>
      </c>
      <c r="S15" s="23">
        <f>SUM(Analytics!$C36:$N36)</f>
        <v>297400</v>
      </c>
    </row>
    <row r="16" spans="3:19" x14ac:dyDescent="0.25">
      <c r="C16" s="22" t="s">
        <v>335</v>
      </c>
      <c r="D16" s="23">
        <f>Analytics!C19</f>
        <v>5465</v>
      </c>
      <c r="E16" s="23">
        <f>Analytics!D19</f>
        <v>8058</v>
      </c>
      <c r="F16" s="23">
        <f>Analytics!E19</f>
        <v>11287</v>
      </c>
      <c r="G16" s="23">
        <f>Analytics!F19</f>
        <v>20369</v>
      </c>
      <c r="H16" s="23">
        <f>Analytics!G19</f>
        <v>4092</v>
      </c>
      <c r="I16" s="23">
        <f>Analytics!H19</f>
        <v>8361</v>
      </c>
      <c r="J16" s="23">
        <f>Analytics!I19</f>
        <v>10097</v>
      </c>
      <c r="K16" s="23">
        <f>Analytics!J19</f>
        <v>12224</v>
      </c>
      <c r="L16" s="23">
        <f>Analytics!K19</f>
        <v>13941</v>
      </c>
      <c r="M16" s="23">
        <f>Analytics!L19</f>
        <v>17972</v>
      </c>
      <c r="N16" s="23">
        <f>Analytics!M19</f>
        <v>0</v>
      </c>
      <c r="O16" s="23">
        <f>Analytics!N19</f>
        <v>0</v>
      </c>
      <c r="P16" s="23">
        <f t="shared" si="0"/>
        <v>111866</v>
      </c>
      <c r="Q16" s="23">
        <f>SUMIF(Analytics!$C$2:$N$2,"&lt;="&amp;mSel,Analytics!$C37:$N37)</f>
        <v>98100</v>
      </c>
      <c r="R16" s="24">
        <f t="shared" si="1"/>
        <v>-13766</v>
      </c>
      <c r="S16" s="23">
        <f>SUM(Analytics!$C37:$N37)</f>
        <v>118100</v>
      </c>
    </row>
    <row r="17" spans="3:19" x14ac:dyDescent="0.25">
      <c r="C17" s="22" t="s">
        <v>336</v>
      </c>
      <c r="D17" s="23">
        <f>Analytics!C20</f>
        <v>17500</v>
      </c>
      <c r="E17" s="23">
        <f>Analytics!D20</f>
        <v>17552</v>
      </c>
      <c r="F17" s="23">
        <f>Analytics!E20</f>
        <v>17606</v>
      </c>
      <c r="G17" s="23">
        <f>Analytics!F20</f>
        <v>17657</v>
      </c>
      <c r="H17" s="23">
        <f>Analytics!G20</f>
        <v>17710</v>
      </c>
      <c r="I17" s="23">
        <f>Analytics!H20</f>
        <v>17763</v>
      </c>
      <c r="J17" s="23">
        <f>Analytics!I20</f>
        <v>17814</v>
      </c>
      <c r="K17" s="23">
        <f>Analytics!J20</f>
        <v>17868</v>
      </c>
      <c r="L17" s="23">
        <f>Analytics!K20</f>
        <v>17920</v>
      </c>
      <c r="M17" s="23">
        <f>Analytics!L20</f>
        <v>17972</v>
      </c>
      <c r="N17" s="23">
        <f>Analytics!M20</f>
        <v>0</v>
      </c>
      <c r="O17" s="23">
        <f>Analytics!N20</f>
        <v>0</v>
      </c>
      <c r="P17" s="23">
        <f t="shared" si="0"/>
        <v>177362</v>
      </c>
      <c r="Q17" s="23">
        <f>SUMIF(Analytics!$C$2:$N$2,"&lt;="&amp;mSel,Analytics!$C38:$N38)</f>
        <v>177500</v>
      </c>
      <c r="R17" s="24">
        <f t="shared" si="1"/>
        <v>138</v>
      </c>
      <c r="S17" s="23">
        <f>SUM(Analytics!$C38:$N38)</f>
        <v>213600</v>
      </c>
    </row>
    <row r="18" spans="3:19" x14ac:dyDescent="0.25">
      <c r="C18" s="22" t="s">
        <v>337</v>
      </c>
      <c r="D18" s="23">
        <f>Analytics!C21</f>
        <v>7361</v>
      </c>
      <c r="E18" s="23">
        <f>Analytics!D21</f>
        <v>7763</v>
      </c>
      <c r="F18" s="23">
        <f>Analytics!E21</f>
        <v>7648</v>
      </c>
      <c r="G18" s="23">
        <f>Analytics!F21</f>
        <v>7012</v>
      </c>
      <c r="H18" s="23">
        <f>Analytics!G21</f>
        <v>8310</v>
      </c>
      <c r="I18" s="23">
        <f>Analytics!H21</f>
        <v>7642</v>
      </c>
      <c r="J18" s="23">
        <f>Analytics!I21</f>
        <v>7580</v>
      </c>
      <c r="K18" s="23">
        <f>Analytics!J21</f>
        <v>8006</v>
      </c>
      <c r="L18" s="23">
        <f>Analytics!K21</f>
        <v>7858</v>
      </c>
      <c r="M18" s="23">
        <f>Analytics!L21</f>
        <v>8040</v>
      </c>
      <c r="N18" s="23">
        <f>Analytics!M21</f>
        <v>0</v>
      </c>
      <c r="O18" s="23">
        <f>Analytics!N21</f>
        <v>0</v>
      </c>
      <c r="P18" s="23">
        <f t="shared" si="0"/>
        <v>77220</v>
      </c>
      <c r="Q18" s="23">
        <f>SUMIF(Analytics!$C$2:$N$2,"&lt;="&amp;mSel,Analytics!$C39:$N39)</f>
        <v>74700</v>
      </c>
      <c r="R18" s="24">
        <f t="shared" si="1"/>
        <v>-2520</v>
      </c>
      <c r="S18" s="23">
        <f>SUM(Analytics!$C39:$N39)</f>
        <v>89900</v>
      </c>
    </row>
    <row r="19" spans="3:19" x14ac:dyDescent="0.25">
      <c r="C19" s="22" t="s">
        <v>339</v>
      </c>
      <c r="D19" s="23">
        <f>Analytics!C22</f>
        <v>27446</v>
      </c>
      <c r="E19" s="23">
        <f>Analytics!D22</f>
        <v>28698</v>
      </c>
      <c r="F19" s="23">
        <f>Analytics!E22</f>
        <v>30060</v>
      </c>
      <c r="G19" s="23">
        <f>Analytics!F22</f>
        <v>26002</v>
      </c>
      <c r="H19" s="23">
        <f>Analytics!G22</f>
        <v>27829</v>
      </c>
      <c r="I19" s="23">
        <f>Analytics!H22</f>
        <v>26973</v>
      </c>
      <c r="J19" s="23">
        <f>Analytics!I22</f>
        <v>23861</v>
      </c>
      <c r="K19" s="23">
        <f>Analytics!J22</f>
        <v>31883</v>
      </c>
      <c r="L19" s="23">
        <f>Analytics!K22</f>
        <v>28733</v>
      </c>
      <c r="M19" s="23">
        <f>Analytics!L22</f>
        <v>27799</v>
      </c>
      <c r="N19" s="23">
        <f>Analytics!M22</f>
        <v>0</v>
      </c>
      <c r="O19" s="23">
        <f>Analytics!N22</f>
        <v>0</v>
      </c>
      <c r="P19" s="23">
        <f t="shared" si="0"/>
        <v>279284</v>
      </c>
      <c r="Q19" s="23">
        <f>SUMIF(Analytics!$C$2:$N$2,"&lt;="&amp;mSel,Analytics!$C40:$N40)</f>
        <v>286200</v>
      </c>
      <c r="R19" s="24">
        <f t="shared" si="1"/>
        <v>6916</v>
      </c>
      <c r="S19" s="23">
        <f>SUM(Analytics!$C40:$N40)</f>
        <v>344500</v>
      </c>
    </row>
    <row r="20" spans="3:19" x14ac:dyDescent="0.25">
      <c r="C20" s="14" t="s">
        <v>12</v>
      </c>
      <c r="D20" s="25">
        <f>Analytics!C46</f>
        <v>640109</v>
      </c>
      <c r="E20" s="25">
        <f>Analytics!D46</f>
        <v>652584</v>
      </c>
      <c r="F20" s="25">
        <f>Analytics!E46</f>
        <v>659667</v>
      </c>
      <c r="G20" s="25">
        <f>Analytics!F46</f>
        <v>655715</v>
      </c>
      <c r="H20" s="25">
        <f>Analytics!G46</f>
        <v>647729</v>
      </c>
      <c r="I20" s="25">
        <f>Analytics!H46</f>
        <v>657955</v>
      </c>
      <c r="J20" s="25">
        <f>Analytics!I46</f>
        <v>645249</v>
      </c>
      <c r="K20" s="25">
        <f>Analytics!J46</f>
        <v>658085</v>
      </c>
      <c r="L20" s="25">
        <f>Analytics!K46</f>
        <v>675118</v>
      </c>
      <c r="M20" s="25">
        <f>Analytics!L46</f>
        <v>641590</v>
      </c>
      <c r="N20" s="25">
        <f>Analytics!M46</f>
        <v>0</v>
      </c>
      <c r="O20" s="25">
        <f>Analytics!N46</f>
        <v>0</v>
      </c>
      <c r="P20" s="25">
        <f t="shared" si="0"/>
        <v>6533801</v>
      </c>
      <c r="Q20" s="25">
        <f>SUMIF(Analytics!$C$2:$N$2,"&lt;="&amp;mSel,Analytics!$C51:$N51)</f>
        <v>6418500</v>
      </c>
      <c r="R20" s="26">
        <f t="shared" si="1"/>
        <v>-115301</v>
      </c>
      <c r="S20" s="25">
        <f>SUM(Analytics!$C51:$N51)</f>
        <v>7725000</v>
      </c>
    </row>
    <row r="21" spans="3:19" x14ac:dyDescent="0.25">
      <c r="C21" s="14" t="s">
        <v>24</v>
      </c>
      <c r="D21" s="25">
        <f>Analytics!C47</f>
        <v>153472</v>
      </c>
      <c r="E21" s="25">
        <f>Analytics!D47</f>
        <v>129725</v>
      </c>
      <c r="F21" s="25">
        <f>Analytics!E47</f>
        <v>190437</v>
      </c>
      <c r="G21" s="25">
        <f>Analytics!F47</f>
        <v>216019</v>
      </c>
      <c r="H21" s="25">
        <f>Analytics!G47</f>
        <v>248477</v>
      </c>
      <c r="I21" s="25">
        <f>Analytics!H47</f>
        <v>229585</v>
      </c>
      <c r="J21" s="25">
        <f>Analytics!I47</f>
        <v>240765</v>
      </c>
      <c r="K21" s="25">
        <f>Analytics!J47</f>
        <v>255286</v>
      </c>
      <c r="L21" s="25">
        <f>Analytics!K47</f>
        <v>275318</v>
      </c>
      <c r="M21" s="25">
        <f>Analytics!L47</f>
        <v>346961</v>
      </c>
      <c r="N21" s="25">
        <f>Analytics!M47</f>
        <v>0</v>
      </c>
      <c r="O21" s="25">
        <f>Analytics!N47</f>
        <v>0</v>
      </c>
      <c r="P21" s="25">
        <f t="shared" si="0"/>
        <v>2286045</v>
      </c>
      <c r="Q21" s="25">
        <f>SUMIF(Analytics!$C$2:$N$2,"&lt;="&amp;mSel,Analytics!$C52:$N52)</f>
        <v>2578800</v>
      </c>
      <c r="R21" s="26">
        <f>P21-Q21</f>
        <v>-292755</v>
      </c>
      <c r="S21" s="25">
        <f>SUM(Analytics!$C52:$N52)</f>
        <v>3428300</v>
      </c>
    </row>
    <row r="22" spans="3:19" x14ac:dyDescent="0.25">
      <c r="C22" s="22" t="s">
        <v>25</v>
      </c>
      <c r="D22" s="23">
        <f>Analytics!C23</f>
        <v>40750</v>
      </c>
      <c r="E22" s="23">
        <f>Analytics!D23</f>
        <v>40750</v>
      </c>
      <c r="F22" s="23">
        <f>Analytics!E23</f>
        <v>40750</v>
      </c>
      <c r="G22" s="23">
        <f>Analytics!F23</f>
        <v>40750</v>
      </c>
      <c r="H22" s="23">
        <f>Analytics!G23</f>
        <v>45125</v>
      </c>
      <c r="I22" s="23">
        <f>Analytics!H23</f>
        <v>45125</v>
      </c>
      <c r="J22" s="23">
        <f>Analytics!I23</f>
        <v>45125</v>
      </c>
      <c r="K22" s="23">
        <f>Analytics!J23</f>
        <v>45125</v>
      </c>
      <c r="L22" s="23">
        <f>Analytics!K23</f>
        <v>46844</v>
      </c>
      <c r="M22" s="23">
        <f>Analytics!L23</f>
        <v>46844</v>
      </c>
      <c r="N22" s="23">
        <f>Analytics!M23</f>
        <v>0</v>
      </c>
      <c r="O22" s="23">
        <f>Analytics!N23</f>
        <v>0</v>
      </c>
      <c r="P22" s="23">
        <f t="shared" si="0"/>
        <v>437188</v>
      </c>
      <c r="Q22" s="23">
        <f>SUMIF(Analytics!$C$2:$N$2,"&lt;="&amp;mSel,Analytics!$C41:$N41)</f>
        <v>437200</v>
      </c>
      <c r="R22" s="24">
        <f>Q22-P22</f>
        <v>12</v>
      </c>
      <c r="S22" s="23">
        <f>SUM(Analytics!$C41:$N41)</f>
        <v>531200</v>
      </c>
    </row>
    <row r="23" spans="3:19" x14ac:dyDescent="0.25">
      <c r="C23" s="14" t="s">
        <v>431</v>
      </c>
      <c r="D23" s="25">
        <f>Analytics!C48</f>
        <v>112722</v>
      </c>
      <c r="E23" s="25">
        <f>Analytics!D48</f>
        <v>88975</v>
      </c>
      <c r="F23" s="25">
        <f>Analytics!E48</f>
        <v>149687</v>
      </c>
      <c r="G23" s="25">
        <f>Analytics!F48</f>
        <v>175269</v>
      </c>
      <c r="H23" s="25">
        <f>Analytics!G48</f>
        <v>203352</v>
      </c>
      <c r="I23" s="25">
        <f>Analytics!H48</f>
        <v>184460</v>
      </c>
      <c r="J23" s="25">
        <f>Analytics!I48</f>
        <v>195640</v>
      </c>
      <c r="K23" s="25">
        <f>Analytics!J48</f>
        <v>210161</v>
      </c>
      <c r="L23" s="25">
        <f>Analytics!K48</f>
        <v>228474</v>
      </c>
      <c r="M23" s="25">
        <f>Analytics!L48</f>
        <v>300117</v>
      </c>
      <c r="N23" s="25">
        <f>Analytics!M48</f>
        <v>0</v>
      </c>
      <c r="O23" s="25">
        <f>Analytics!N48</f>
        <v>0</v>
      </c>
      <c r="P23" s="25">
        <f t="shared" si="0"/>
        <v>1848857</v>
      </c>
      <c r="Q23" s="25">
        <f>SUMIF(Analytics!$C$2:$N$2,"&lt;="&amp;mSel,Analytics!$C53:$N53)</f>
        <v>2141600</v>
      </c>
      <c r="R23" s="26">
        <f>P23-Q23</f>
        <v>-292743</v>
      </c>
      <c r="S23" s="25">
        <f>SUM(Analytics!$C53:$N53)</f>
        <v>2897100</v>
      </c>
    </row>
    <row r="24" spans="3:19" x14ac:dyDescent="0.25">
      <c r="C24" s="22" t="s">
        <v>27</v>
      </c>
      <c r="D24" s="23">
        <f>Analytics!C24</f>
        <v>1428</v>
      </c>
      <c r="E24" s="23">
        <f>Analytics!D24</f>
        <v>1433</v>
      </c>
      <c r="F24" s="23">
        <f>Analytics!E24</f>
        <v>1438</v>
      </c>
      <c r="G24" s="23">
        <f>Analytics!F24</f>
        <v>1442</v>
      </c>
      <c r="H24" s="23">
        <f>Analytics!G24</f>
        <v>1448</v>
      </c>
      <c r="I24" s="23">
        <f>Analytics!H24</f>
        <v>1452</v>
      </c>
      <c r="J24" s="23">
        <f>Analytics!I24</f>
        <v>1458</v>
      </c>
      <c r="K24" s="23">
        <f>Analytics!J24</f>
        <v>1462</v>
      </c>
      <c r="L24" s="23">
        <f>Analytics!K24</f>
        <v>1467</v>
      </c>
      <c r="M24" s="23">
        <f>Analytics!L24</f>
        <v>1472</v>
      </c>
      <c r="N24" s="23">
        <f>Analytics!M24</f>
        <v>0</v>
      </c>
      <c r="O24" s="23">
        <f>Analytics!N24</f>
        <v>0</v>
      </c>
      <c r="P24" s="23">
        <f t="shared" si="0"/>
        <v>14500</v>
      </c>
      <c r="Q24" s="23">
        <f>SUMIF(Analytics!$C$2:$N$2,"&lt;="&amp;mSel,Analytics!$C42:$N42)</f>
        <v>14000</v>
      </c>
      <c r="R24" s="24">
        <f>P24-Q24</f>
        <v>500</v>
      </c>
      <c r="S24" s="23">
        <f>SUM(Analytics!$C42:$N42)</f>
        <v>16800</v>
      </c>
    </row>
    <row r="25" spans="3:19" x14ac:dyDescent="0.25">
      <c r="C25" s="22" t="s">
        <v>28</v>
      </c>
      <c r="D25" s="23">
        <f>Analytics!C25</f>
        <v>13260</v>
      </c>
      <c r="E25" s="23">
        <f>Analytics!D25</f>
        <v>12920</v>
      </c>
      <c r="F25" s="23">
        <f>Analytics!E25</f>
        <v>12580</v>
      </c>
      <c r="G25" s="23">
        <f>Analytics!F25</f>
        <v>12240</v>
      </c>
      <c r="H25" s="23">
        <f>Analytics!G25</f>
        <v>11900</v>
      </c>
      <c r="I25" s="23">
        <f>Analytics!H25</f>
        <v>13410</v>
      </c>
      <c r="J25" s="23">
        <f>Analytics!I25</f>
        <v>11220</v>
      </c>
      <c r="K25" s="23">
        <f>Analytics!J25</f>
        <v>10880</v>
      </c>
      <c r="L25" s="23">
        <f>Analytics!K25</f>
        <v>10540</v>
      </c>
      <c r="M25" s="23">
        <f>Analytics!L25</f>
        <v>10200</v>
      </c>
      <c r="N25" s="23">
        <f>Analytics!M25</f>
        <v>0</v>
      </c>
      <c r="O25" s="23">
        <f>Analytics!N25</f>
        <v>0</v>
      </c>
      <c r="P25" s="23">
        <f t="shared" si="0"/>
        <v>119150</v>
      </c>
      <c r="Q25" s="23">
        <f>SUMIF(Analytics!$C$2:$N$2,"&lt;="&amp;mSel,Analytics!$C43:$N43)</f>
        <v>121400</v>
      </c>
      <c r="R25" s="24">
        <f>Q25-P25</f>
        <v>2250</v>
      </c>
      <c r="S25" s="23">
        <f>SUM(Analytics!$C43:$N43)</f>
        <v>142800</v>
      </c>
    </row>
    <row r="26" spans="3:19" x14ac:dyDescent="0.25">
      <c r="C26" s="22" t="s">
        <v>30</v>
      </c>
      <c r="D26" s="23">
        <f>Analytics!C26</f>
        <v>25222</v>
      </c>
      <c r="E26" s="23">
        <f>Analytics!D26</f>
        <v>19372</v>
      </c>
      <c r="F26" s="23">
        <f>Analytics!E26</f>
        <v>34637</v>
      </c>
      <c r="G26" s="23">
        <f>Analytics!F26</f>
        <v>41117</v>
      </c>
      <c r="H26" s="23">
        <f>Analytics!G26</f>
        <v>48226</v>
      </c>
      <c r="I26" s="23">
        <f>Analytics!H26</f>
        <v>43125</v>
      </c>
      <c r="J26" s="23">
        <f>Analytics!I26</f>
        <v>46470</v>
      </c>
      <c r="K26" s="23">
        <f>Analytics!J26</f>
        <v>50185</v>
      </c>
      <c r="L26" s="23">
        <f>Analytics!K26</f>
        <v>54851</v>
      </c>
      <c r="M26" s="23">
        <f>Analytics!L26</f>
        <v>72846</v>
      </c>
      <c r="N26" s="23">
        <f>Analytics!M26</f>
        <v>0</v>
      </c>
      <c r="O26" s="23">
        <f>Analytics!N26</f>
        <v>0</v>
      </c>
      <c r="P26" s="23">
        <f t="shared" si="0"/>
        <v>436051</v>
      </c>
      <c r="Q26" s="23">
        <f>SUMIF(Analytics!$C$2:$N$2,"&lt;="&amp;mSel,Analytics!$C44:$N44)</f>
        <v>508600</v>
      </c>
      <c r="R26" s="24">
        <f>Q26-P26</f>
        <v>72549</v>
      </c>
      <c r="S26" s="23">
        <f>SUM(Analytics!$C44:$N44)</f>
        <v>692800</v>
      </c>
    </row>
    <row r="27" spans="3:19" x14ac:dyDescent="0.25">
      <c r="C27" s="14" t="s">
        <v>420</v>
      </c>
      <c r="D27" s="25">
        <f>Analytics!C49</f>
        <v>75668</v>
      </c>
      <c r="E27" s="25">
        <f>Analytics!D49</f>
        <v>58116</v>
      </c>
      <c r="F27" s="25">
        <f>Analytics!E49</f>
        <v>103908</v>
      </c>
      <c r="G27" s="25">
        <f>Analytics!F49</f>
        <v>123354</v>
      </c>
      <c r="H27" s="25">
        <f>Analytics!G49</f>
        <v>144674</v>
      </c>
      <c r="I27" s="25">
        <f>Analytics!H49</f>
        <v>129377</v>
      </c>
      <c r="J27" s="25">
        <f>Analytics!I49</f>
        <v>139408</v>
      </c>
      <c r="K27" s="25">
        <f>Analytics!J49</f>
        <v>150558</v>
      </c>
      <c r="L27" s="25">
        <f>Analytics!K49</f>
        <v>164550</v>
      </c>
      <c r="M27" s="25">
        <f>Analytics!L49</f>
        <v>218543</v>
      </c>
      <c r="N27" s="25">
        <f>Analytics!M49</f>
        <v>0</v>
      </c>
      <c r="O27" s="25">
        <f>Analytics!N49</f>
        <v>0</v>
      </c>
      <c r="P27" s="25">
        <f t="shared" si="0"/>
        <v>1308156</v>
      </c>
      <c r="Q27" s="25">
        <f>SUMIF(Analytics!$C$2:$N$2,"&lt;="&amp;mSel,Analytics!$C54:$N54)</f>
        <v>1525600</v>
      </c>
      <c r="R27" s="26">
        <f>P27-Q27</f>
        <v>-217444</v>
      </c>
      <c r="S27" s="25">
        <f>SUM(Analytics!$C54:$N54)</f>
        <v>2078300</v>
      </c>
    </row>
    <row r="28" spans="3:19" ht="21" customHeight="1" x14ac:dyDescent="0.3">
      <c r="C28" s="6" t="s">
        <v>567</v>
      </c>
      <c r="D28" s="6"/>
      <c r="E28" s="6"/>
      <c r="F28" s="6"/>
      <c r="G28" s="6"/>
      <c r="H28" s="6"/>
      <c r="I28" s="6"/>
      <c r="J28" s="6"/>
      <c r="K28" s="6"/>
      <c r="L28" s="6"/>
      <c r="M28" s="6"/>
      <c r="N28" s="6"/>
      <c r="O28" s="6"/>
      <c r="P28" s="6"/>
      <c r="Q28" s="6"/>
      <c r="R28" s="6"/>
      <c r="S28" s="6"/>
    </row>
    <row r="29" spans="3:19" x14ac:dyDescent="0.25">
      <c r="C29" s="8" t="s">
        <v>568</v>
      </c>
      <c r="D29" s="9" t="str">
        <f>Analytics!C$3</f>
        <v>Jan</v>
      </c>
      <c r="E29" s="9" t="str">
        <f>Analytics!D$3</f>
        <v>Feb</v>
      </c>
      <c r="F29" s="9" t="str">
        <f>Analytics!E$3</f>
        <v>Mar</v>
      </c>
      <c r="G29" s="9" t="str">
        <f>Analytics!F$3</f>
        <v>Apr</v>
      </c>
      <c r="H29" s="9" t="str">
        <f>Analytics!G$3</f>
        <v>May</v>
      </c>
      <c r="I29" s="9" t="str">
        <f>Analytics!H$3</f>
        <v>Jun</v>
      </c>
      <c r="J29" s="9" t="str">
        <f>Analytics!I$3</f>
        <v>Jul</v>
      </c>
      <c r="K29" s="9" t="str">
        <f>Analytics!J$3</f>
        <v>Aug</v>
      </c>
      <c r="L29" s="9" t="str">
        <f>Analytics!K$3</f>
        <v>Sep</v>
      </c>
      <c r="M29" s="9" t="str">
        <f>Analytics!L$3</f>
        <v>Oct</v>
      </c>
      <c r="N29" s="9" t="str">
        <f>Analytics!M$3</f>
        <v>Nov</v>
      </c>
      <c r="O29" s="9" t="str">
        <f>Analytics!N$3</f>
        <v>Dec</v>
      </c>
      <c r="P29" s="132" t="s">
        <v>569</v>
      </c>
      <c r="Q29" s="132"/>
      <c r="R29" s="132"/>
      <c r="S29" s="132"/>
    </row>
    <row r="30" spans="3:19" x14ac:dyDescent="0.25">
      <c r="C30" s="10" t="s">
        <v>160</v>
      </c>
      <c r="D30" s="19">
        <f>Analytics!C76</f>
        <v>0.49396026371891932</v>
      </c>
      <c r="E30" s="19">
        <f>Analytics!D76</f>
        <v>0.4930327449873545</v>
      </c>
      <c r="F30" s="19">
        <f>Analytics!E76</f>
        <v>0.49210488387956219</v>
      </c>
      <c r="G30" s="19">
        <f>Analytics!F76</f>
        <v>0.49117834174598296</v>
      </c>
      <c r="H30" s="19">
        <f>Analytics!G76</f>
        <v>0.49025087416675606</v>
      </c>
      <c r="I30" s="19">
        <f>Analytics!H76</f>
        <v>0.4893238029335889</v>
      </c>
      <c r="J30" s="19">
        <f>Analytics!I76</f>
        <v>0.48839620052828953</v>
      </c>
      <c r="K30" s="19">
        <f>Analytics!J76</f>
        <v>0.48746960787104449</v>
      </c>
      <c r="L30" s="19">
        <f>Analytics!K76</f>
        <v>0.48654153965672414</v>
      </c>
      <c r="M30" s="19">
        <f>Analytics!L76</f>
        <v>0.48561433886443633</v>
      </c>
      <c r="N30" s="19">
        <f>Analytics!M76</f>
        <v>0</v>
      </c>
      <c r="O30" s="19">
        <f>Analytics!N76</f>
        <v>0</v>
      </c>
      <c r="P30" s="130"/>
      <c r="Q30" s="130"/>
      <c r="R30" s="130"/>
      <c r="S30" s="130"/>
    </row>
    <row r="31" spans="3:19" x14ac:dyDescent="0.25">
      <c r="C31" s="10" t="s">
        <v>123</v>
      </c>
      <c r="D31" s="19">
        <f>Analytics!C77</f>
        <v>9.6429691186477526E-2</v>
      </c>
      <c r="E31" s="19">
        <f>Analytics!D77</f>
        <v>8.2372035225831766E-2</v>
      </c>
      <c r="F31" s="19">
        <f>Analytics!E77</f>
        <v>0.11112096586436657</v>
      </c>
      <c r="G31" s="19">
        <f>Analytics!F77</f>
        <v>0.12248655318000425</v>
      </c>
      <c r="H31" s="19">
        <f>Analytics!G77</f>
        <v>0.13671775487016113</v>
      </c>
      <c r="I31" s="19">
        <f>Analytics!H77</f>
        <v>0.1273990853968136</v>
      </c>
      <c r="J31" s="19">
        <f>Analytics!I77</f>
        <v>0.13346656060223899</v>
      </c>
      <c r="K31" s="19">
        <f>Analytics!J77</f>
        <v>0.13710952122897258</v>
      </c>
      <c r="L31" s="19">
        <f>Analytics!K77</f>
        <v>0.1418345378778551</v>
      </c>
      <c r="M31" s="19">
        <f>Analytics!L77</f>
        <v>0.17145332165145402</v>
      </c>
      <c r="N31" s="19">
        <f>Analytics!M77</f>
        <v>0</v>
      </c>
      <c r="O31" s="19">
        <f>Analytics!N77</f>
        <v>0</v>
      </c>
      <c r="P31" s="130"/>
      <c r="Q31" s="130"/>
      <c r="R31" s="130"/>
      <c r="S31" s="130"/>
    </row>
    <row r="32" spans="3:19" x14ac:dyDescent="0.25">
      <c r="C32" s="10" t="s">
        <v>443</v>
      </c>
      <c r="D32" s="19">
        <f>Analytics!C78</f>
        <v>4.7543798690955881E-2</v>
      </c>
      <c r="E32" s="19">
        <f>Analytics!D78</f>
        <v>3.690216380176866E-2</v>
      </c>
      <c r="F32" s="19">
        <f>Analytics!E78</f>
        <v>6.0630850732969963E-2</v>
      </c>
      <c r="G32" s="19">
        <f>Analytics!F78</f>
        <v>6.9943876607919869E-2</v>
      </c>
      <c r="H32" s="19">
        <f>Analytics!G78</f>
        <v>7.9602959099174947E-2</v>
      </c>
      <c r="I32" s="19">
        <f>Analytics!H78</f>
        <v>7.1792632233741549E-2</v>
      </c>
      <c r="J32" s="19">
        <f>Analytics!I78</f>
        <v>7.7279946339529976E-2</v>
      </c>
      <c r="K32" s="19">
        <f>Analytics!J78</f>
        <v>8.086199516303931E-2</v>
      </c>
      <c r="L32" s="19">
        <f>Analytics!K78</f>
        <v>8.4770604202417055E-2</v>
      </c>
      <c r="M32" s="19">
        <f>Analytics!L78</f>
        <v>0.10799462554487023</v>
      </c>
      <c r="N32" s="19">
        <f>Analytics!M78</f>
        <v>0</v>
      </c>
      <c r="O32" s="19">
        <f>Analytics!N78</f>
        <v>0</v>
      </c>
      <c r="P32" s="130"/>
      <c r="Q32" s="130"/>
      <c r="R32" s="130"/>
      <c r="S32" s="130"/>
    </row>
    <row r="33" spans="3:19" x14ac:dyDescent="0.25">
      <c r="C33" s="10" t="s">
        <v>570</v>
      </c>
      <c r="D33" s="19">
        <f>Analytics!C79</f>
        <v>0.40219397151066605</v>
      </c>
      <c r="E33" s="19">
        <f>Analytics!D79</f>
        <v>0.41437403920458044</v>
      </c>
      <c r="F33" s="19">
        <f>Analytics!E79</f>
        <v>0.38491907659146646</v>
      </c>
      <c r="G33" s="19">
        <f>Analytics!F79</f>
        <v>0.37180187954960664</v>
      </c>
      <c r="H33" s="19">
        <f>Analytics!G79</f>
        <v>0.35639537922743192</v>
      </c>
      <c r="I33" s="19">
        <f>Analytics!H79</f>
        <v>0.36510601839083778</v>
      </c>
      <c r="J33" s="19">
        <f>Analytics!I79</f>
        <v>0.35768971720156212</v>
      </c>
      <c r="K33" s="19">
        <f>Analytics!J79</f>
        <v>0.35344562286207787</v>
      </c>
      <c r="L33" s="19">
        <f>Analytics!K79</f>
        <v>0.34779799919737098</v>
      </c>
      <c r="M33" s="19">
        <f>Analytics!L79</f>
        <v>0.31704640186751937</v>
      </c>
      <c r="N33" s="19">
        <f>Analytics!M79</f>
        <v>0</v>
      </c>
      <c r="O33" s="19">
        <f>Analytics!N79</f>
        <v>0</v>
      </c>
      <c r="P33" s="130"/>
      <c r="Q33" s="130"/>
      <c r="R33" s="130"/>
      <c r="S33" s="130"/>
    </row>
    <row r="34" spans="3:19" x14ac:dyDescent="0.25">
      <c r="C34" s="10" t="s">
        <v>139</v>
      </c>
      <c r="D34" s="27">
        <f>Analytics!C71</f>
        <v>38.743791402431476</v>
      </c>
      <c r="E34" s="27">
        <f>Analytics!D71</f>
        <v>37.349486958416627</v>
      </c>
      <c r="F34" s="27">
        <f>Analytics!E71</f>
        <v>39.479831834450742</v>
      </c>
      <c r="G34" s="27">
        <f>Analytics!F71</f>
        <v>40.67458331483239</v>
      </c>
      <c r="H34" s="27">
        <f>Analytics!G71</f>
        <v>41.68499441571872</v>
      </c>
      <c r="I34" s="27">
        <f>Analytics!H71</f>
        <v>41.592949587673331</v>
      </c>
      <c r="J34" s="27">
        <f>Analytics!I71</f>
        <v>41.647614979948251</v>
      </c>
      <c r="K34" s="27">
        <f>Analytics!J71</f>
        <v>42.585789727486684</v>
      </c>
      <c r="L34" s="27">
        <f>Analytics!K71</f>
        <v>43.938787214769313</v>
      </c>
      <c r="M34" s="27">
        <f>Analytics!L71</f>
        <v>45.539895559166084</v>
      </c>
      <c r="N34" s="27">
        <f>Analytics!M71</f>
        <v>0</v>
      </c>
      <c r="O34" s="27">
        <f>Analytics!N71</f>
        <v>0</v>
      </c>
      <c r="P34" s="130"/>
      <c r="Q34" s="130"/>
      <c r="R34" s="130"/>
      <c r="S34" s="130"/>
    </row>
    <row r="35" spans="3:19" x14ac:dyDescent="0.25">
      <c r="C35" s="10" t="s">
        <v>141</v>
      </c>
      <c r="D35" s="27">
        <f>Analytics!C72</f>
        <v>42.848747926454962</v>
      </c>
      <c r="E35" s="27">
        <f>Analytics!D72</f>
        <v>45.18509218787996</v>
      </c>
      <c r="F35" s="27">
        <f>Analytics!E72</f>
        <v>46.610567975002937</v>
      </c>
      <c r="G35" s="27">
        <f>Analytics!F72</f>
        <v>47.63944220744245</v>
      </c>
      <c r="H35" s="27">
        <f>Analytics!G72</f>
        <v>47.257191863131304</v>
      </c>
      <c r="I35" s="27">
        <f>Analytics!H72</f>
        <v>47.328335476111675</v>
      </c>
      <c r="J35" s="27">
        <f>Analytics!I72</f>
        <v>49.261392596857654</v>
      </c>
      <c r="K35" s="27">
        <f>Analytics!J72</f>
        <v>51.61816322762769</v>
      </c>
      <c r="L35" s="27">
        <f>Analytics!K72</f>
        <v>53.699072251897668</v>
      </c>
      <c r="M35" s="27">
        <f>Analytics!L72</f>
        <v>56.196384364143213</v>
      </c>
      <c r="N35" s="27">
        <f>Analytics!M72</f>
        <v>0</v>
      </c>
      <c r="O35" s="27">
        <f>Analytics!N72</f>
        <v>0</v>
      </c>
      <c r="P35" s="130"/>
      <c r="Q35" s="130"/>
      <c r="R35" s="130"/>
      <c r="S35" s="130"/>
    </row>
    <row r="36" spans="3:19" x14ac:dyDescent="0.25">
      <c r="C36" s="10" t="s">
        <v>441</v>
      </c>
      <c r="D36" s="27">
        <f>Analytics!C73</f>
        <v>33.75121805250663</v>
      </c>
      <c r="E36" s="27">
        <f>Analytics!D73</f>
        <v>31.986969615722757</v>
      </c>
      <c r="F36" s="27">
        <f>Analytics!E73</f>
        <v>34.490304181817962</v>
      </c>
      <c r="G36" s="27">
        <f>Analytics!F73</f>
        <v>34.801351059563835</v>
      </c>
      <c r="H36" s="27">
        <f>Analytics!G73</f>
        <v>35.474917153654815</v>
      </c>
      <c r="I36" s="27">
        <f>Analytics!H73</f>
        <v>34.800310943998461</v>
      </c>
      <c r="J36" s="27">
        <f>Analytics!I73</f>
        <v>34.74268608284077</v>
      </c>
      <c r="K36" s="27">
        <f>Analytics!J73</f>
        <v>35.648737578377251</v>
      </c>
      <c r="L36" s="27">
        <f>Analytics!K73</f>
        <v>36.68687095867304</v>
      </c>
      <c r="M36" s="27">
        <f>Analytics!L73</f>
        <v>37.813609602862556</v>
      </c>
      <c r="N36" s="27">
        <f>Analytics!M73</f>
        <v>0</v>
      </c>
      <c r="O36" s="27">
        <f>Analytics!N73</f>
        <v>0</v>
      </c>
      <c r="P36" s="130"/>
      <c r="Q36" s="130"/>
      <c r="R36" s="130"/>
      <c r="S36" s="130"/>
    </row>
    <row r="37" spans="3:19" x14ac:dyDescent="0.25">
      <c r="C37" s="10" t="s">
        <v>442</v>
      </c>
      <c r="D37" s="27">
        <f>Analytics!C74</f>
        <v>47.841321276379801</v>
      </c>
      <c r="E37" s="27">
        <f>Analytics!D74</f>
        <v>50.547609530573823</v>
      </c>
      <c r="F37" s="27">
        <f>Analytics!E74</f>
        <v>51.600095627635724</v>
      </c>
      <c r="G37" s="27">
        <f>Analytics!F74</f>
        <v>53.512674462711011</v>
      </c>
      <c r="H37" s="27">
        <f>Analytics!G74</f>
        <v>53.467269125195202</v>
      </c>
      <c r="I37" s="27">
        <f>Analytics!H74</f>
        <v>54.120974119786545</v>
      </c>
      <c r="J37" s="27">
        <f>Analytics!I74</f>
        <v>56.166321493965135</v>
      </c>
      <c r="K37" s="27">
        <f>Analytics!J74</f>
        <v>58.555215376737124</v>
      </c>
      <c r="L37" s="27">
        <f>Analytics!K74</f>
        <v>60.950988507993941</v>
      </c>
      <c r="M37" s="27">
        <f>Analytics!L74</f>
        <v>63.922670320446741</v>
      </c>
      <c r="N37" s="27">
        <f>Analytics!M74</f>
        <v>0</v>
      </c>
      <c r="O37" s="27">
        <f>Analytics!N74</f>
        <v>0</v>
      </c>
      <c r="P37" s="130"/>
      <c r="Q37" s="130"/>
      <c r="R37" s="130"/>
      <c r="S37" s="130"/>
    </row>
    <row r="38" spans="3:19" x14ac:dyDescent="0.25">
      <c r="C38" s="10" t="s">
        <v>130</v>
      </c>
      <c r="D38" s="28">
        <f>Analytics!C75</f>
        <v>3.2919146818733105</v>
      </c>
      <c r="E38" s="28">
        <f>Analytics!D75</f>
        <v>3.322716183828605</v>
      </c>
      <c r="F38" s="28">
        <f>Analytics!E75</f>
        <v>3.4246319702197008</v>
      </c>
      <c r="G38" s="28">
        <f>Analytics!F75</f>
        <v>3.540843980340981</v>
      </c>
      <c r="H38" s="28">
        <f>Analytics!G75</f>
        <v>3.3711412110575378</v>
      </c>
      <c r="I38" s="28">
        <f>Analytics!H75</f>
        <v>3.6673626120714089</v>
      </c>
      <c r="J38" s="28">
        <f>Analytics!I75</f>
        <v>3.6956978423563394</v>
      </c>
      <c r="K38" s="28">
        <f>Analytics!J75</f>
        <v>3.5698443110203959</v>
      </c>
      <c r="L38" s="28">
        <f>Analytics!K75</f>
        <v>3.7927218375946206</v>
      </c>
      <c r="M38" s="28">
        <f>Analytics!L75</f>
        <v>3.7748306600385857</v>
      </c>
      <c r="N38" s="28">
        <f>Analytics!M75</f>
        <v>0</v>
      </c>
      <c r="O38" s="28">
        <f>Analytics!N75</f>
        <v>0</v>
      </c>
      <c r="P38" s="130"/>
      <c r="Q38" s="130"/>
      <c r="R38" s="130"/>
      <c r="S38" s="130"/>
    </row>
    <row r="39" spans="3:19" x14ac:dyDescent="0.25">
      <c r="C39" s="10" t="s">
        <v>134</v>
      </c>
      <c r="D39" s="23">
        <f>Analytics!C56</f>
        <v>2884733</v>
      </c>
      <c r="E39" s="23">
        <f>Analytics!D56</f>
        <v>2823115</v>
      </c>
      <c r="F39" s="23">
        <f>Analytics!E56</f>
        <v>2716806</v>
      </c>
      <c r="G39" s="23">
        <f>Analytics!F56</f>
        <v>2070781</v>
      </c>
      <c r="H39" s="23">
        <f>Analytics!G56</f>
        <v>1960492</v>
      </c>
      <c r="I39" s="23">
        <f>Analytics!H56</f>
        <v>1928069</v>
      </c>
      <c r="J39" s="23">
        <f>Analytics!I56</f>
        <v>1976056</v>
      </c>
      <c r="K39" s="23">
        <f>Analytics!J56</f>
        <v>1899026</v>
      </c>
      <c r="L39" s="23">
        <f>Analytics!K56</f>
        <v>1811757</v>
      </c>
      <c r="M39" s="23">
        <f>Analytics!L56</f>
        <v>1922964</v>
      </c>
      <c r="N39" s="23">
        <f>Analytics!M56</f>
        <v>0</v>
      </c>
      <c r="O39" s="23">
        <f>Analytics!N56</f>
        <v>0</v>
      </c>
      <c r="P39" s="130"/>
      <c r="Q39" s="130"/>
      <c r="R39" s="130"/>
      <c r="S39" s="130"/>
    </row>
    <row r="40" spans="3:19" x14ac:dyDescent="0.25">
      <c r="C40" s="10" t="s">
        <v>571</v>
      </c>
      <c r="D40" s="23">
        <f>Analytics!C58</f>
        <v>-604733</v>
      </c>
      <c r="E40" s="23">
        <f>Analytics!D58</f>
        <v>-603115</v>
      </c>
      <c r="F40" s="23">
        <f>Analytics!E58</f>
        <v>-556806</v>
      </c>
      <c r="G40" s="23">
        <f>Analytics!F58</f>
        <v>29219</v>
      </c>
      <c r="H40" s="23">
        <f>Analytics!G58</f>
        <v>79508</v>
      </c>
      <c r="I40" s="23">
        <f>Analytics!H58</f>
        <v>51931</v>
      </c>
      <c r="J40" s="23">
        <f>Analytics!I58</f>
        <v>-56056</v>
      </c>
      <c r="K40" s="23">
        <f>Analytics!J58</f>
        <v>-39026</v>
      </c>
      <c r="L40" s="23">
        <f>Analytics!K58</f>
        <v>-11757</v>
      </c>
      <c r="M40" s="23">
        <f>Analytics!L58</f>
        <v>-182964</v>
      </c>
      <c r="N40" s="23">
        <f>Analytics!M58</f>
        <v>0</v>
      </c>
      <c r="O40" s="23">
        <f>Analytics!N58</f>
        <v>0</v>
      </c>
      <c r="P40" s="130"/>
      <c r="Q40" s="130"/>
      <c r="R40" s="130"/>
      <c r="S40" s="130"/>
    </row>
    <row r="41" spans="3:19" x14ac:dyDescent="0.25">
      <c r="C41" s="10" t="s">
        <v>572</v>
      </c>
      <c r="D41" s="23">
        <f>Analytics!C67</f>
        <v>372233</v>
      </c>
      <c r="E41" s="23">
        <f>Analytics!D67</f>
        <v>-1618</v>
      </c>
      <c r="F41" s="23">
        <f>Analytics!E67</f>
        <v>-46309</v>
      </c>
      <c r="G41" s="23">
        <f>Analytics!F67</f>
        <v>-166025</v>
      </c>
      <c r="H41" s="23">
        <f>Analytics!G67</f>
        <v>209711</v>
      </c>
      <c r="I41" s="23">
        <f>Analytics!H67</f>
        <v>27577</v>
      </c>
      <c r="J41" s="23">
        <f>Analytics!I67</f>
        <v>157987</v>
      </c>
      <c r="K41" s="23">
        <f>Analytics!J67</f>
        <v>147970</v>
      </c>
      <c r="L41" s="23">
        <f>Analytics!K67</f>
        <v>-27269</v>
      </c>
      <c r="M41" s="23">
        <f>Analytics!L67</f>
        <v>171207</v>
      </c>
      <c r="N41" s="23">
        <f>Analytics!M67</f>
        <v>0</v>
      </c>
      <c r="O41" s="23">
        <f>Analytics!N67</f>
        <v>0</v>
      </c>
      <c r="P41" s="130"/>
      <c r="Q41" s="130"/>
      <c r="R41" s="130"/>
      <c r="S41" s="130"/>
    </row>
    <row r="42" spans="3:19" x14ac:dyDescent="0.25">
      <c r="C42" s="10" t="s">
        <v>573</v>
      </c>
      <c r="D42" s="23">
        <f>Analytics!C67+Analytics!C68</f>
        <v>372233</v>
      </c>
      <c r="E42" s="23">
        <f>Analytics!D67+Analytics!D68</f>
        <v>-1618</v>
      </c>
      <c r="F42" s="23">
        <f>Analytics!E67+Analytics!E68</f>
        <v>-46309</v>
      </c>
      <c r="G42" s="23">
        <f>Analytics!F67+Analytics!F68</f>
        <v>-586025</v>
      </c>
      <c r="H42" s="23">
        <f>Analytics!G67+Analytics!G68</f>
        <v>209711</v>
      </c>
      <c r="I42" s="23">
        <f>Analytics!H67+Analytics!H68</f>
        <v>27577</v>
      </c>
      <c r="J42" s="23">
        <f>Analytics!I67+Analytics!I68</f>
        <v>157987</v>
      </c>
      <c r="K42" s="23">
        <f>Analytics!J67+Analytics!J68</f>
        <v>-17030</v>
      </c>
      <c r="L42" s="23">
        <f>Analytics!K67+Analytics!K68</f>
        <v>-27269</v>
      </c>
      <c r="M42" s="23">
        <f>Analytics!L67+Analytics!L68</f>
        <v>171207</v>
      </c>
      <c r="N42" s="23">
        <f>Analytics!M67+Analytics!M68</f>
        <v>0</v>
      </c>
      <c r="O42" s="23">
        <f>Analytics!N67+Analytics!N68</f>
        <v>0</v>
      </c>
      <c r="P42" s="130"/>
      <c r="Q42" s="130"/>
      <c r="R42" s="130"/>
      <c r="S42" s="130"/>
    </row>
    <row r="43" spans="3:19" ht="21" customHeight="1" x14ac:dyDescent="0.3">
      <c r="C43" s="6" t="s">
        <v>574</v>
      </c>
      <c r="D43" s="6"/>
      <c r="E43" s="6"/>
      <c r="F43" s="6"/>
      <c r="G43" s="6"/>
      <c r="H43" s="6"/>
      <c r="I43" s="6"/>
      <c r="J43" s="6"/>
      <c r="K43" s="6"/>
      <c r="L43" s="6"/>
      <c r="M43" s="6"/>
      <c r="N43" s="6"/>
      <c r="O43" s="6"/>
      <c r="P43" s="6"/>
      <c r="Q43" s="6"/>
      <c r="R43" s="6"/>
      <c r="S43" s="6"/>
    </row>
  </sheetData>
  <mergeCells count="14">
    <mergeCell ref="P29:S29"/>
    <mergeCell ref="P30:S30"/>
    <mergeCell ref="P31:S31"/>
    <mergeCell ref="P32:S32"/>
    <mergeCell ref="P33:S33"/>
    <mergeCell ref="P39:S39"/>
    <mergeCell ref="P40:S40"/>
    <mergeCell ref="P41:S41"/>
    <mergeCell ref="P42:S42"/>
    <mergeCell ref="P34:S34"/>
    <mergeCell ref="P35:S35"/>
    <mergeCell ref="P36:S36"/>
    <mergeCell ref="P37:S37"/>
    <mergeCell ref="P38:S38"/>
  </mergeCells>
  <conditionalFormatting sqref="R6:R27">
    <cfRule type="cellIs" dxfId="32" priority="1" operator="greaterThan">
      <formula>0</formula>
    </cfRule>
    <cfRule type="cellIs" dxfId="31" priority="2" operator="lessThan">
      <formula>0</formula>
    </cfRule>
  </conditionalFormatting>
  <pageMargins left="0.7" right="0.7" top="0.75" bottom="0.75" header="0.3" footer="0.3"/>
  <pageSetup paperSize="9" orientation="landscape"/>
  <drawing r:id="rId1"/>
  <extLst>
    <ext xmlns:x14="http://schemas.microsoft.com/office/spreadsheetml/2009/9/main" uri="{05C60535-1F16-4fd2-B633-F4F36F0B64E0}">
      <x14:sparklineGroups xmlns:xm="http://schemas.microsoft.com/office/excel/2006/main">
        <x14:sparklineGroup type="column" displayEmptyCellsAs="gap" xr2:uid="{00000000-0003-0000-0100-00000E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Trends'!D42:O42</xm:f>
              <xm:sqref>P42</xm:sqref>
            </x14:sparkline>
          </x14:sparklines>
        </x14:sparklineGroup>
        <x14:sparklineGroup type="column" displayEmptyCellsAs="gap" xr2:uid="{00000000-0003-0000-0100-00000F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Trends'!D41:O41</xm:f>
              <xm:sqref>P41</xm:sqref>
            </x14:sparkline>
          </x14:sparklines>
        </x14:sparklineGroup>
        <x14:sparklineGroup type="column" displayEmptyCellsAs="gap" xr2:uid="{00000000-0003-0000-0100-000010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Trends'!D40:O40</xm:f>
              <xm:sqref>P40</xm:sqref>
            </x14:sparkline>
          </x14:sparklines>
        </x14:sparklineGroup>
        <x14:sparklineGroup type="column" displayEmptyCellsAs="gap" xr2:uid="{00000000-0003-0000-0100-000011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Trends'!D39:O39</xm:f>
              <xm:sqref>P39</xm:sqref>
            </x14:sparkline>
          </x14:sparklines>
        </x14:sparklineGroup>
        <x14:sparklineGroup type="column" displayEmptyCellsAs="gap" xr2:uid="{00000000-0003-0000-0100-000012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Trends'!D38:O38</xm:f>
              <xm:sqref>P38</xm:sqref>
            </x14:sparkline>
          </x14:sparklines>
        </x14:sparklineGroup>
        <x14:sparklineGroup type="column" displayEmptyCellsAs="gap" xr2:uid="{00000000-0003-0000-0100-000013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Trends'!D37:O37</xm:f>
              <xm:sqref>P37</xm:sqref>
            </x14:sparkline>
          </x14:sparklines>
        </x14:sparklineGroup>
        <x14:sparklineGroup type="column" displayEmptyCellsAs="gap" xr2:uid="{00000000-0003-0000-0100-000014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Trends'!D36:O36</xm:f>
              <xm:sqref>P36</xm:sqref>
            </x14:sparkline>
          </x14:sparklines>
        </x14:sparklineGroup>
        <x14:sparklineGroup type="column" displayEmptyCellsAs="gap" xr2:uid="{00000000-0003-0000-0100-000015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Trends'!D35:O35</xm:f>
              <xm:sqref>P35</xm:sqref>
            </x14:sparkline>
          </x14:sparklines>
        </x14:sparklineGroup>
        <x14:sparklineGroup type="column" displayEmptyCellsAs="gap" xr2:uid="{00000000-0003-0000-0100-000016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Trends'!D34:O34</xm:f>
              <xm:sqref>P34</xm:sqref>
            </x14:sparkline>
          </x14:sparklines>
        </x14:sparklineGroup>
        <x14:sparklineGroup type="column" displayEmptyCellsAs="gap" xr2:uid="{00000000-0003-0000-0100-000017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Trends'!D33:O33</xm:f>
              <xm:sqref>P33</xm:sqref>
            </x14:sparkline>
          </x14:sparklines>
        </x14:sparklineGroup>
        <x14:sparklineGroup type="column" displayEmptyCellsAs="gap" xr2:uid="{00000000-0003-0000-0100-000018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Trends'!D32:O32</xm:f>
              <xm:sqref>P32</xm:sqref>
            </x14:sparkline>
          </x14:sparklines>
        </x14:sparklineGroup>
        <x14:sparklineGroup type="column" displayEmptyCellsAs="gap" xr2:uid="{00000000-0003-0000-0100-000019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Trends'!D31:O31</xm:f>
              <xm:sqref>P31</xm:sqref>
            </x14:sparkline>
          </x14:sparklines>
        </x14:sparklineGroup>
        <x14:sparklineGroup type="column" displayEmptyCellsAs="gap" xr2:uid="{00000000-0003-0000-0100-00001A000000}">
          <x14:colorSeries rgb="FF0E8A8A"/>
          <x14:colorNegative theme="5"/>
          <x14:colorAxis rgb="FF000000"/>
          <x14:colorMarkers theme="4" tint="-0.499984740745262"/>
          <x14:colorFirst theme="4" tint="0.39997558519241921"/>
          <x14:colorLast theme="4" tint="0.39997558519241921"/>
          <x14:colorHigh theme="4"/>
          <x14:colorLow theme="4"/>
          <x14:sparklines>
            <x14:sparkline>
              <xm:f>'Monthly Trends'!D30:O30</xm:f>
              <xm:sqref>P30</xm:sqref>
            </x14:sparkline>
          </x14:sparklines>
        </x14:sparklineGroup>
      </x14:sparklineGroups>
    </ext>
    <ext xmlns:x15="http://schemas.microsoft.com/office/spreadsheetml/2010/11/main" uri="{3A4CF648-6AED-40f4-86FF-DC5316D8AED3}">
      <x14:slicerList xmlns:x14="http://schemas.microsoft.com/office/spreadsheetml/2009/9/main">
        <x14:slicer r:id="rId2"/>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0243E"/>
    <pageSetUpPr fitToPage="1"/>
  </sheetPr>
  <dimension ref="A1:L36"/>
  <sheetViews>
    <sheetView showGridLines="0" showRowColHeaders="0" zoomScale="90" zoomScaleNormal="90" workbookViewId="0">
      <pane xSplit="2" topLeftCell="C1" activePane="topRight" state="frozen"/>
      <selection pane="topRight"/>
    </sheetView>
  </sheetViews>
  <sheetFormatPr defaultColWidth="0" defaultRowHeight="15" x14ac:dyDescent="0.25"/>
  <cols>
    <col min="1" max="1" width="42.85546875" style="1" customWidth="1"/>
    <col min="2" max="2" width="2.5703125" style="2" customWidth="1"/>
    <col min="3" max="3" width="38.7109375" style="2" customWidth="1"/>
    <col min="4" max="6" width="14.7109375" style="2" customWidth="1"/>
    <col min="7" max="7" width="9.7109375" style="2" customWidth="1"/>
    <col min="8" max="10" width="14.7109375" style="2" customWidth="1"/>
    <col min="11" max="11" width="9.7109375" style="2" customWidth="1"/>
    <col min="12" max="12" width="3.7109375" style="2" customWidth="1"/>
    <col min="13" max="13" width="0" hidden="1" customWidth="1"/>
  </cols>
  <sheetData>
    <row r="1" spans="3:11" ht="25.5" customHeight="1" x14ac:dyDescent="0.25">
      <c r="C1" s="29" t="str">
        <f>Setup!B4</f>
        <v>COSKUN, Inc.</v>
      </c>
      <c r="D1" s="4"/>
      <c r="E1" s="4"/>
      <c r="F1" s="4"/>
      <c r="G1" s="4"/>
      <c r="H1" s="4"/>
      <c r="I1" s="4"/>
      <c r="J1" s="4"/>
      <c r="K1" s="4"/>
    </row>
    <row r="2" spans="3:11" ht="16.5" customHeight="1" x14ac:dyDescent="0.25">
      <c r="C2" s="30" t="s">
        <v>0</v>
      </c>
      <c r="D2" s="4"/>
      <c r="E2" s="4"/>
      <c r="F2" s="4"/>
      <c r="G2" s="4"/>
      <c r="H2" s="4"/>
      <c r="I2" s="4"/>
      <c r="J2" s="4"/>
      <c r="K2" s="4"/>
    </row>
    <row r="3" spans="3:11" ht="13.5" customHeight="1" x14ac:dyDescent="0.25">
      <c r="C3" s="31" t="str">
        <f>"For the month ended "&amp;TEXT(Setup!B16,"d mmmm yyyy")&amp;" and year to date ("&amp;Setup!B19&amp;")"</f>
        <v>For the month ended 31 October 2026 and year to date (FY2026)</v>
      </c>
      <c r="D3" s="4"/>
      <c r="E3" s="4"/>
      <c r="F3" s="4"/>
      <c r="G3" s="4"/>
      <c r="H3" s="4"/>
      <c r="I3" s="4"/>
      <c r="J3" s="4"/>
      <c r="K3" s="4"/>
    </row>
    <row r="4" spans="3:11" ht="13.5" customHeight="1" x14ac:dyDescent="0.25">
      <c r="C4" s="32" t="str">
        <f>Checks!$C$3</f>
        <v>OK - all checks passed</v>
      </c>
      <c r="D4" s="4"/>
      <c r="E4" s="4"/>
      <c r="F4" s="4"/>
      <c r="G4" s="4"/>
      <c r="H4" s="4"/>
      <c r="I4" s="4"/>
      <c r="J4" s="4"/>
      <c r="K4" s="4"/>
    </row>
    <row r="6" spans="3:11" x14ac:dyDescent="0.25">
      <c r="C6" s="33"/>
      <c r="D6" s="136" t="str">
        <f>TEXT(Setup!B16,"mmmm yyyy")</f>
        <v>October 2026</v>
      </c>
      <c r="E6" s="136"/>
      <c r="F6" s="136"/>
      <c r="G6" s="136"/>
      <c r="H6" s="136" t="s">
        <v>1</v>
      </c>
      <c r="I6" s="136"/>
      <c r="J6" s="136"/>
      <c r="K6" s="136"/>
    </row>
    <row r="7" spans="3:11" x14ac:dyDescent="0.25">
      <c r="C7" s="34" t="s">
        <v>2</v>
      </c>
      <c r="D7" s="35" t="s">
        <v>3</v>
      </c>
      <c r="E7" s="35" t="s">
        <v>4</v>
      </c>
      <c r="F7" s="35" t="s">
        <v>5</v>
      </c>
      <c r="G7" s="35" t="s">
        <v>6</v>
      </c>
      <c r="H7" s="35" t="s">
        <v>3</v>
      </c>
      <c r="I7" s="35" t="s">
        <v>4</v>
      </c>
      <c r="J7" s="35" t="s">
        <v>5</v>
      </c>
      <c r="K7" s="35" t="s">
        <v>6</v>
      </c>
    </row>
    <row r="8" spans="3:11" x14ac:dyDescent="0.25">
      <c r="C8" s="33" t="s">
        <v>7</v>
      </c>
      <c r="D8" s="36">
        <f>INDEX(Calc!$E$68:$P$68,Setup!$B$7)</f>
        <v>2023647</v>
      </c>
      <c r="E8" s="36">
        <f>INDEX(Calc!$E$88:$P$88,Setup!$B$7)</f>
        <v>1991600</v>
      </c>
      <c r="F8" s="36">
        <f>D8-E8</f>
        <v>32047</v>
      </c>
      <c r="G8" s="37">
        <f>IF(E8=0,"",F8/ABS(E8))</f>
        <v>1.6091082546696122E-2</v>
      </c>
      <c r="H8" s="36">
        <f>INDEX(Calc!$E$48:$P$48,Setup!$B$7)</f>
        <v>17893959</v>
      </c>
      <c r="I8" s="36">
        <f>INDEX(Calc!$E$108:$P$108,Setup!$B$7)</f>
        <v>18093300</v>
      </c>
      <c r="J8" s="36">
        <f>H8-I8</f>
        <v>-199341</v>
      </c>
      <c r="K8" s="37">
        <f>IF(I8=0,"",J8/ABS(I8))</f>
        <v>-1.1017393178690455E-2</v>
      </c>
    </row>
    <row r="9" spans="3:11" x14ac:dyDescent="0.25">
      <c r="C9" s="33" t="s">
        <v>8</v>
      </c>
      <c r="D9" s="36">
        <f>INDEX(Calc!$E$69:$P$69,Setup!$B$7)</f>
        <v>1040935</v>
      </c>
      <c r="E9" s="36">
        <f>INDEX(Calc!$E$89:$P$89,Setup!$B$7)</f>
        <v>1007800</v>
      </c>
      <c r="F9" s="36">
        <f>E9-D9</f>
        <v>-33135</v>
      </c>
      <c r="G9" s="37">
        <f>IF(E9=0,"",F9/ABS(E9))</f>
        <v>-3.2878547330819609E-2</v>
      </c>
      <c r="H9" s="36">
        <f>INDEX(Calc!$E$49:$P$49,Setup!$B$7)</f>
        <v>9133110</v>
      </c>
      <c r="I9" s="36">
        <f>INDEX(Calc!$E$109:$P$109,Setup!$B$7)</f>
        <v>9156000</v>
      </c>
      <c r="J9" s="36">
        <f>I9-H9</f>
        <v>22890</v>
      </c>
      <c r="K9" s="37">
        <f>IF(I9=0,"",J9/ABS(I9))</f>
        <v>2.5000000000000001E-3</v>
      </c>
    </row>
    <row r="10" spans="3:11" x14ac:dyDescent="0.25">
      <c r="C10" s="38" t="s">
        <v>9</v>
      </c>
      <c r="D10" s="39">
        <f>D8-D9</f>
        <v>982712</v>
      </c>
      <c r="E10" s="39">
        <f>E8-E9</f>
        <v>983800</v>
      </c>
      <c r="F10" s="39">
        <f>D10-E10</f>
        <v>-1088</v>
      </c>
      <c r="G10" s="40">
        <f>IF(E10=0,"",F10/ABS(E10))</f>
        <v>-1.1059158365521447E-3</v>
      </c>
      <c r="H10" s="39">
        <f>H8-H9</f>
        <v>8760849</v>
      </c>
      <c r="I10" s="39">
        <f>I8-I9</f>
        <v>8937300</v>
      </c>
      <c r="J10" s="39">
        <f>H10-I10</f>
        <v>-176451</v>
      </c>
      <c r="K10" s="40">
        <f>IF(I10=0,"",J10/ABS(I10))</f>
        <v>-1.9743211036890335E-2</v>
      </c>
    </row>
    <row r="11" spans="3:11" x14ac:dyDescent="0.25">
      <c r="C11" s="41" t="s">
        <v>10</v>
      </c>
      <c r="D11" s="42">
        <f>IFERROR(D10/D8,"")</f>
        <v>0.48561433886443633</v>
      </c>
      <c r="E11" s="42">
        <f>IFERROR(E10/E8,"")</f>
        <v>0.49397469371359709</v>
      </c>
      <c r="F11" s="42">
        <f>IF(OR(D11="",E11=""),"",D11-E11)</f>
        <v>-8.360354849160756E-3</v>
      </c>
      <c r="G11" s="33"/>
      <c r="H11" s="42">
        <f>IFERROR(H10/H8,"")</f>
        <v>0.48959813756139714</v>
      </c>
      <c r="I11" s="42">
        <f>IFERROR(I10/I8,"")</f>
        <v>0.49395632637495646</v>
      </c>
      <c r="J11" s="42">
        <f>IF(OR(H11="",I11=""),"",H11-I11)</f>
        <v>-4.3581888135593161E-3</v>
      </c>
      <c r="K11" s="33"/>
    </row>
    <row r="12" spans="3:11" x14ac:dyDescent="0.25">
      <c r="C12" s="33" t="s">
        <v>11</v>
      </c>
      <c r="D12" s="36">
        <f>INDEX(Calc!$E$70:$P$70,Setup!$B$7)</f>
        <v>5839</v>
      </c>
      <c r="E12" s="36">
        <f>INDEX(Calc!$E$90:$P$90,Setup!$B$7)</f>
        <v>6000</v>
      </c>
      <c r="F12" s="36">
        <f>D12-E12</f>
        <v>-161</v>
      </c>
      <c r="G12" s="37">
        <f>IF(E12=0,"",F12/ABS(E12))</f>
        <v>-2.6833333333333334E-2</v>
      </c>
      <c r="H12" s="36">
        <f>INDEX(Calc!$E$50:$P$50,Setup!$B$7)</f>
        <v>58997</v>
      </c>
      <c r="I12" s="36">
        <f>INDEX(Calc!$E$110:$P$110,Setup!$B$7)</f>
        <v>60000</v>
      </c>
      <c r="J12" s="36">
        <f>H12-I12</f>
        <v>-1003</v>
      </c>
      <c r="K12" s="37">
        <f>IF(I12=0,"",J12/ABS(I12))</f>
        <v>-1.6716666666666668E-2</v>
      </c>
    </row>
    <row r="13" spans="3:11" x14ac:dyDescent="0.25">
      <c r="C13" s="43" t="s">
        <v>12</v>
      </c>
      <c r="D13" s="33"/>
      <c r="E13" s="33"/>
      <c r="F13" s="33"/>
      <c r="G13" s="33"/>
      <c r="H13" s="33"/>
      <c r="I13" s="33"/>
      <c r="J13" s="33"/>
      <c r="K13" s="33"/>
    </row>
    <row r="14" spans="3:11" x14ac:dyDescent="0.25">
      <c r="C14" s="33" t="s">
        <v>13</v>
      </c>
      <c r="D14" s="36">
        <f>INDEX(Calc!$E$71:$P$71,Setup!$B$7)</f>
        <v>359010</v>
      </c>
      <c r="E14" s="36">
        <f>INDEX(Calc!$E$91:$P$91,Setup!$B$7)</f>
        <v>361600</v>
      </c>
      <c r="F14" s="36">
        <f t="shared" ref="F14:F24" si="0">E14-D14</f>
        <v>2590</v>
      </c>
      <c r="G14" s="37">
        <f t="shared" ref="G14:G32" si="1">IF(E14=0,"",F14/ABS(E14))</f>
        <v>7.1626106194690262E-3</v>
      </c>
      <c r="H14" s="36">
        <f>INDEX(Calc!$E$51:$P$51,Setup!$B$7)</f>
        <v>3549704</v>
      </c>
      <c r="I14" s="36">
        <f>INDEX(Calc!$E$111:$P$111,Setup!$B$7)</f>
        <v>3568200</v>
      </c>
      <c r="J14" s="36">
        <f t="shared" ref="J14:J24" si="2">I14-H14</f>
        <v>18496</v>
      </c>
      <c r="K14" s="37">
        <f t="shared" ref="K14:K32" si="3">IF(I14=0,"",J14/ABS(I14))</f>
        <v>5.1835659436130265E-3</v>
      </c>
    </row>
    <row r="15" spans="3:11" x14ac:dyDescent="0.25">
      <c r="C15" s="33" t="s">
        <v>14</v>
      </c>
      <c r="D15" s="36">
        <f>INDEX(Calc!$E$72:$P$72,Setup!$B$7)</f>
        <v>77538</v>
      </c>
      <c r="E15" s="36">
        <f>INDEX(Calc!$E$92:$P$92,Setup!$B$7)</f>
        <v>77500</v>
      </c>
      <c r="F15" s="36">
        <f t="shared" si="0"/>
        <v>-38</v>
      </c>
      <c r="G15" s="37">
        <f t="shared" si="1"/>
        <v>-4.9032258064516125E-4</v>
      </c>
      <c r="H15" s="36">
        <f>INDEX(Calc!$E$52:$P$52,Setup!$B$7)</f>
        <v>765192</v>
      </c>
      <c r="I15" s="36">
        <f>INDEX(Calc!$E$112:$P$112,Setup!$B$7)</f>
        <v>765200</v>
      </c>
      <c r="J15" s="36">
        <f t="shared" si="2"/>
        <v>8</v>
      </c>
      <c r="K15" s="37">
        <f t="shared" si="3"/>
        <v>1.0454783063251437E-5</v>
      </c>
    </row>
    <row r="16" spans="3:11" x14ac:dyDescent="0.25">
      <c r="C16" s="33" t="s">
        <v>15</v>
      </c>
      <c r="D16" s="36">
        <f>INDEX(Calc!$E$73:$P$73,Setup!$B$7)</f>
        <v>64195</v>
      </c>
      <c r="E16" s="36">
        <f>INDEX(Calc!$E$93:$P$93,Setup!$B$7)</f>
        <v>66800</v>
      </c>
      <c r="F16" s="36">
        <f t="shared" si="0"/>
        <v>2605</v>
      </c>
      <c r="G16" s="37">
        <f t="shared" si="1"/>
        <v>3.8997005988023949E-2</v>
      </c>
      <c r="H16" s="36">
        <f>INDEX(Calc!$E$53:$P$53,Setup!$B$7)</f>
        <v>767972</v>
      </c>
      <c r="I16" s="36">
        <f>INDEX(Calc!$E$113:$P$113,Setup!$B$7)</f>
        <v>659700</v>
      </c>
      <c r="J16" s="36">
        <f t="shared" si="2"/>
        <v>-108272</v>
      </c>
      <c r="K16" s="37">
        <f t="shared" si="3"/>
        <v>-0.16412308625132635</v>
      </c>
    </row>
    <row r="17" spans="3:11" x14ac:dyDescent="0.25">
      <c r="C17" s="33" t="s">
        <v>16</v>
      </c>
      <c r="D17" s="36">
        <f>INDEX(Calc!$E$74:$P$74,Setup!$B$7)</f>
        <v>21130</v>
      </c>
      <c r="E17" s="36">
        <f>INDEX(Calc!$E$94:$P$94,Setup!$B$7)</f>
        <v>23800</v>
      </c>
      <c r="F17" s="36">
        <f t="shared" si="0"/>
        <v>2670</v>
      </c>
      <c r="G17" s="37">
        <f t="shared" si="1"/>
        <v>0.11218487394957984</v>
      </c>
      <c r="H17" s="36">
        <f>INDEX(Calc!$E$54:$P$54,Setup!$B$7)</f>
        <v>242188</v>
      </c>
      <c r="I17" s="36">
        <f>INDEX(Calc!$E$114:$P$114,Setup!$B$7)</f>
        <v>234900</v>
      </c>
      <c r="J17" s="36">
        <f t="shared" si="2"/>
        <v>-7288</v>
      </c>
      <c r="K17" s="37">
        <f t="shared" si="3"/>
        <v>-3.1025968497232864E-2</v>
      </c>
    </row>
    <row r="18" spans="3:11" x14ac:dyDescent="0.25">
      <c r="C18" s="33" t="s">
        <v>17</v>
      </c>
      <c r="D18" s="36">
        <f>INDEX(Calc!$E$75:$P$75,Setup!$B$7)</f>
        <v>23496</v>
      </c>
      <c r="E18" s="36">
        <f>INDEX(Calc!$E$95:$P$95,Setup!$B$7)</f>
        <v>31100</v>
      </c>
      <c r="F18" s="36">
        <f t="shared" si="0"/>
        <v>7604</v>
      </c>
      <c r="G18" s="37">
        <f t="shared" si="1"/>
        <v>0.2445016077170418</v>
      </c>
      <c r="H18" s="36">
        <f>INDEX(Calc!$E$55:$P$55,Setup!$B$7)</f>
        <v>309656</v>
      </c>
      <c r="I18" s="36">
        <f>INDEX(Calc!$E$115:$P$115,Setup!$B$7)</f>
        <v>306900</v>
      </c>
      <c r="J18" s="36">
        <f t="shared" si="2"/>
        <v>-2756</v>
      </c>
      <c r="K18" s="37">
        <f t="shared" si="3"/>
        <v>-8.9801238188334971E-3</v>
      </c>
    </row>
    <row r="19" spans="3:11" x14ac:dyDescent="0.25">
      <c r="C19" s="33" t="s">
        <v>18</v>
      </c>
      <c r="D19" s="36">
        <f>INDEX(Calc!$E$76:$P$76,Setup!$B$7)</f>
        <v>24438</v>
      </c>
      <c r="E19" s="36">
        <f>INDEX(Calc!$E$96:$P$96,Setup!$B$7)</f>
        <v>25000</v>
      </c>
      <c r="F19" s="36">
        <f t="shared" si="0"/>
        <v>562</v>
      </c>
      <c r="G19" s="37">
        <f t="shared" si="1"/>
        <v>2.248E-2</v>
      </c>
      <c r="H19" s="36">
        <f>INDEX(Calc!$E$56:$P$56,Setup!$B$7)</f>
        <v>253357</v>
      </c>
      <c r="I19" s="36">
        <f>INDEX(Calc!$E$116:$P$116,Setup!$B$7)</f>
        <v>247100</v>
      </c>
      <c r="J19" s="36">
        <f t="shared" si="2"/>
        <v>-6257</v>
      </c>
      <c r="K19" s="37">
        <f t="shared" si="3"/>
        <v>-2.5321732092270337E-2</v>
      </c>
    </row>
    <row r="20" spans="3:11" x14ac:dyDescent="0.25">
      <c r="C20" s="33" t="s">
        <v>19</v>
      </c>
      <c r="D20" s="36">
        <f>INDEX(Calc!$E$77:$P$77,Setup!$B$7)</f>
        <v>17972</v>
      </c>
      <c r="E20" s="36">
        <f>INDEX(Calc!$E$97:$P$97,Setup!$B$7)</f>
        <v>9900</v>
      </c>
      <c r="F20" s="36">
        <f t="shared" si="0"/>
        <v>-8072</v>
      </c>
      <c r="G20" s="37">
        <f t="shared" si="1"/>
        <v>-0.81535353535353539</v>
      </c>
      <c r="H20" s="36">
        <f>INDEX(Calc!$E$57:$P$57,Setup!$B$7)</f>
        <v>111866</v>
      </c>
      <c r="I20" s="36">
        <f>INDEX(Calc!$E$117:$P$117,Setup!$B$7)</f>
        <v>98100</v>
      </c>
      <c r="J20" s="36">
        <f t="shared" si="2"/>
        <v>-13766</v>
      </c>
      <c r="K20" s="37">
        <f t="shared" si="3"/>
        <v>-0.14032619775739041</v>
      </c>
    </row>
    <row r="21" spans="3:11" x14ac:dyDescent="0.25">
      <c r="C21" s="33" t="s">
        <v>20</v>
      </c>
      <c r="D21" s="36">
        <f>INDEX(Calc!$E$78:$P$78,Setup!$B$7)</f>
        <v>17972</v>
      </c>
      <c r="E21" s="36">
        <f>INDEX(Calc!$E$98:$P$98,Setup!$B$7)</f>
        <v>18000</v>
      </c>
      <c r="F21" s="36">
        <f t="shared" si="0"/>
        <v>28</v>
      </c>
      <c r="G21" s="37">
        <f t="shared" si="1"/>
        <v>1.5555555555555555E-3</v>
      </c>
      <c r="H21" s="36">
        <f>INDEX(Calc!$E$58:$P$58,Setup!$B$7)</f>
        <v>177362</v>
      </c>
      <c r="I21" s="36">
        <f>INDEX(Calc!$E$118:$P$118,Setup!$B$7)</f>
        <v>177500</v>
      </c>
      <c r="J21" s="36">
        <f t="shared" si="2"/>
        <v>138</v>
      </c>
      <c r="K21" s="37">
        <f t="shared" si="3"/>
        <v>7.7746478873239435E-4</v>
      </c>
    </row>
    <row r="22" spans="3:11" x14ac:dyDescent="0.25">
      <c r="C22" s="33" t="s">
        <v>21</v>
      </c>
      <c r="D22" s="36">
        <f>INDEX(Calc!$E$79:$P$79,Setup!$B$7)</f>
        <v>8040</v>
      </c>
      <c r="E22" s="36">
        <f>INDEX(Calc!$E$99:$P$99,Setup!$B$7)</f>
        <v>7600</v>
      </c>
      <c r="F22" s="36">
        <f t="shared" si="0"/>
        <v>-440</v>
      </c>
      <c r="G22" s="37">
        <f t="shared" si="1"/>
        <v>-5.7894736842105263E-2</v>
      </c>
      <c r="H22" s="36">
        <f>INDEX(Calc!$E$59:$P$59,Setup!$B$7)</f>
        <v>77220</v>
      </c>
      <c r="I22" s="36">
        <f>INDEX(Calc!$E$119:$P$119,Setup!$B$7)</f>
        <v>74700</v>
      </c>
      <c r="J22" s="36">
        <f t="shared" si="2"/>
        <v>-2520</v>
      </c>
      <c r="K22" s="37">
        <f t="shared" si="3"/>
        <v>-3.3734939759036145E-2</v>
      </c>
    </row>
    <row r="23" spans="3:11" x14ac:dyDescent="0.25">
      <c r="C23" s="33" t="s">
        <v>22</v>
      </c>
      <c r="D23" s="36">
        <f>INDEX(Calc!$E$80:$P$80,Setup!$B$7)</f>
        <v>27799</v>
      </c>
      <c r="E23" s="36">
        <f>INDEX(Calc!$E$100:$P$100,Setup!$B$7)</f>
        <v>29000</v>
      </c>
      <c r="F23" s="36">
        <f t="shared" si="0"/>
        <v>1201</v>
      </c>
      <c r="G23" s="37">
        <f t="shared" si="1"/>
        <v>4.1413793103448275E-2</v>
      </c>
      <c r="H23" s="36">
        <f>INDEX(Calc!$E$60:$P$60,Setup!$B$7)</f>
        <v>279284</v>
      </c>
      <c r="I23" s="36">
        <f>INDEX(Calc!$E$120:$P$120,Setup!$B$7)</f>
        <v>286200</v>
      </c>
      <c r="J23" s="36">
        <f t="shared" si="2"/>
        <v>6916</v>
      </c>
      <c r="K23" s="37">
        <f t="shared" si="3"/>
        <v>2.4164919636617752E-2</v>
      </c>
    </row>
    <row r="24" spans="3:11" x14ac:dyDescent="0.25">
      <c r="C24" s="38" t="s">
        <v>23</v>
      </c>
      <c r="D24" s="39">
        <f>SUM(D14:D23)</f>
        <v>641590</v>
      </c>
      <c r="E24" s="39">
        <f>SUM(E14:E23)</f>
        <v>650300</v>
      </c>
      <c r="F24" s="39">
        <f t="shared" si="0"/>
        <v>8710</v>
      </c>
      <c r="G24" s="40">
        <f t="shared" si="1"/>
        <v>1.339381823773643E-2</v>
      </c>
      <c r="H24" s="39">
        <f>SUM(H14:H23)</f>
        <v>6533801</v>
      </c>
      <c r="I24" s="39">
        <f>SUM(I14:I23)</f>
        <v>6418500</v>
      </c>
      <c r="J24" s="39">
        <f t="shared" si="2"/>
        <v>-115301</v>
      </c>
      <c r="K24" s="40">
        <f t="shared" si="3"/>
        <v>-1.796385448313469E-2</v>
      </c>
    </row>
    <row r="25" spans="3:11" x14ac:dyDescent="0.25">
      <c r="C25" s="38" t="s">
        <v>24</v>
      </c>
      <c r="D25" s="39">
        <f>D10+D12-D24</f>
        <v>346961</v>
      </c>
      <c r="E25" s="39">
        <f>E10+E12-E24</f>
        <v>339500</v>
      </c>
      <c r="F25" s="39">
        <f>D25-E25</f>
        <v>7461</v>
      </c>
      <c r="G25" s="40">
        <f t="shared" si="1"/>
        <v>2.197643593519882E-2</v>
      </c>
      <c r="H25" s="39">
        <f>H10+H12-H24</f>
        <v>2286045</v>
      </c>
      <c r="I25" s="39">
        <f>I10+I12-I24</f>
        <v>2578800</v>
      </c>
      <c r="J25" s="39">
        <f>H25-I25</f>
        <v>-292755</v>
      </c>
      <c r="K25" s="40">
        <f t="shared" si="3"/>
        <v>-0.11352373196835737</v>
      </c>
    </row>
    <row r="26" spans="3:11" x14ac:dyDescent="0.25">
      <c r="C26" s="33" t="s">
        <v>25</v>
      </c>
      <c r="D26" s="36">
        <f>INDEX(Calc!$E$81:$P$81,Setup!$B$7)</f>
        <v>46844</v>
      </c>
      <c r="E26" s="36">
        <f>INDEX(Calc!$E$101:$P$101,Setup!$B$7)</f>
        <v>47000</v>
      </c>
      <c r="F26" s="36">
        <f>E26-D26</f>
        <v>156</v>
      </c>
      <c r="G26" s="37">
        <f t="shared" si="1"/>
        <v>3.3191489361702126E-3</v>
      </c>
      <c r="H26" s="36">
        <f>INDEX(Calc!$E$61:$P$61,Setup!$B$7)</f>
        <v>437188</v>
      </c>
      <c r="I26" s="36">
        <f>INDEX(Calc!$E$121:$P$121,Setup!$B$7)</f>
        <v>437200</v>
      </c>
      <c r="J26" s="36">
        <f>I26-H26</f>
        <v>12</v>
      </c>
      <c r="K26" s="37">
        <f t="shared" si="3"/>
        <v>2.7447392497712717E-5</v>
      </c>
    </row>
    <row r="27" spans="3:11" x14ac:dyDescent="0.25">
      <c r="C27" s="38" t="s">
        <v>26</v>
      </c>
      <c r="D27" s="39">
        <f>D25-D26</f>
        <v>300117</v>
      </c>
      <c r="E27" s="39">
        <f>E25-E26</f>
        <v>292500</v>
      </c>
      <c r="F27" s="39">
        <f>D27-E27</f>
        <v>7617</v>
      </c>
      <c r="G27" s="40">
        <f t="shared" si="1"/>
        <v>2.6041025641025641E-2</v>
      </c>
      <c r="H27" s="39">
        <f>H25-H26</f>
        <v>1848857</v>
      </c>
      <c r="I27" s="39">
        <f>I25-I26</f>
        <v>2141600</v>
      </c>
      <c r="J27" s="39">
        <f>H27-I27</f>
        <v>-292743</v>
      </c>
      <c r="K27" s="40">
        <f t="shared" si="3"/>
        <v>-0.13669359357489727</v>
      </c>
    </row>
    <row r="28" spans="3:11" x14ac:dyDescent="0.25">
      <c r="C28" s="33" t="s">
        <v>27</v>
      </c>
      <c r="D28" s="36">
        <f>INDEX(Calc!$E$82:$P$82,Setup!$B$7)</f>
        <v>1472</v>
      </c>
      <c r="E28" s="36">
        <f>INDEX(Calc!$E$102:$P$102,Setup!$B$7)</f>
        <v>1400</v>
      </c>
      <c r="F28" s="36">
        <f>D28-E28</f>
        <v>72</v>
      </c>
      <c r="G28" s="37">
        <f t="shared" si="1"/>
        <v>5.1428571428571428E-2</v>
      </c>
      <c r="H28" s="36">
        <f>INDEX(Calc!$E$62:$P$62,Setup!$B$7)</f>
        <v>14500</v>
      </c>
      <c r="I28" s="36">
        <f>INDEX(Calc!$E$122:$P$122,Setup!$B$7)</f>
        <v>14000</v>
      </c>
      <c r="J28" s="36">
        <f>H28-I28</f>
        <v>500</v>
      </c>
      <c r="K28" s="37">
        <f t="shared" si="3"/>
        <v>3.5714285714285712E-2</v>
      </c>
    </row>
    <row r="29" spans="3:11" x14ac:dyDescent="0.25">
      <c r="C29" s="33" t="s">
        <v>28</v>
      </c>
      <c r="D29" s="36">
        <f>INDEX(Calc!$E$83:$P$83,Setup!$B$7)</f>
        <v>10200</v>
      </c>
      <c r="E29" s="36">
        <f>INDEX(Calc!$E$103:$P$103,Setup!$B$7)</f>
        <v>11100</v>
      </c>
      <c r="F29" s="36">
        <f>E29-D29</f>
        <v>900</v>
      </c>
      <c r="G29" s="37">
        <f t="shared" si="1"/>
        <v>8.1081081081081086E-2</v>
      </c>
      <c r="H29" s="36">
        <f>INDEX(Calc!$E$63:$P$63,Setup!$B$7)</f>
        <v>119150</v>
      </c>
      <c r="I29" s="36">
        <f>INDEX(Calc!$E$123:$P$123,Setup!$B$7)</f>
        <v>121400</v>
      </c>
      <c r="J29" s="36">
        <f>I29-H29</f>
        <v>2250</v>
      </c>
      <c r="K29" s="37">
        <f t="shared" si="3"/>
        <v>1.8533772652388796E-2</v>
      </c>
    </row>
    <row r="30" spans="3:11" x14ac:dyDescent="0.25">
      <c r="C30" s="38" t="s">
        <v>29</v>
      </c>
      <c r="D30" s="39">
        <f>D27+D28-D29</f>
        <v>291389</v>
      </c>
      <c r="E30" s="39">
        <f>E27+E28-E29</f>
        <v>282800</v>
      </c>
      <c r="F30" s="39">
        <f>D30-E30</f>
        <v>8589</v>
      </c>
      <c r="G30" s="40">
        <f t="shared" si="1"/>
        <v>3.0371287128712871E-2</v>
      </c>
      <c r="H30" s="39">
        <f>H27+H28-H29</f>
        <v>1744207</v>
      </c>
      <c r="I30" s="39">
        <f>I27+I28-I29</f>
        <v>2034200</v>
      </c>
      <c r="J30" s="39">
        <f>H30-I30</f>
        <v>-289993</v>
      </c>
      <c r="K30" s="40">
        <f t="shared" si="3"/>
        <v>-0.14255874545275785</v>
      </c>
    </row>
    <row r="31" spans="3:11" x14ac:dyDescent="0.25">
      <c r="C31" s="33" t="s">
        <v>30</v>
      </c>
      <c r="D31" s="36">
        <f>INDEX(Calc!$E$84:$P$84,Setup!$B$7)</f>
        <v>72846</v>
      </c>
      <c r="E31" s="36">
        <f>INDEX(Calc!$E$104:$P$104,Setup!$B$7)</f>
        <v>70700</v>
      </c>
      <c r="F31" s="36">
        <f>E31-D31</f>
        <v>-2146</v>
      </c>
      <c r="G31" s="37">
        <f t="shared" si="1"/>
        <v>-3.0353606789250354E-2</v>
      </c>
      <c r="H31" s="36">
        <f>INDEX(Calc!$E$64:$P$64,Setup!$B$7)</f>
        <v>436051</v>
      </c>
      <c r="I31" s="36">
        <f>INDEX(Calc!$E$124:$P$124,Setup!$B$7)</f>
        <v>508600</v>
      </c>
      <c r="J31" s="36">
        <f>I31-H31</f>
        <v>72549</v>
      </c>
      <c r="K31" s="37">
        <f t="shared" si="3"/>
        <v>0.14264451435312622</v>
      </c>
    </row>
    <row r="32" spans="3:11" x14ac:dyDescent="0.25">
      <c r="C32" s="38" t="s">
        <v>31</v>
      </c>
      <c r="D32" s="44">
        <f>D30-D31</f>
        <v>218543</v>
      </c>
      <c r="E32" s="44">
        <f>E30-E31</f>
        <v>212100</v>
      </c>
      <c r="F32" s="44">
        <f>D32-E32</f>
        <v>6443</v>
      </c>
      <c r="G32" s="45">
        <f t="shared" si="1"/>
        <v>3.0377180575200377E-2</v>
      </c>
      <c r="H32" s="44">
        <f>H30-H31</f>
        <v>1308156</v>
      </c>
      <c r="I32" s="44">
        <f>I30-I31</f>
        <v>1525600</v>
      </c>
      <c r="J32" s="44">
        <f>H32-I32</f>
        <v>-217444</v>
      </c>
      <c r="K32" s="45">
        <f t="shared" si="3"/>
        <v>-0.1425301520713162</v>
      </c>
    </row>
    <row r="33" spans="3:11" x14ac:dyDescent="0.25">
      <c r="C33" s="41" t="s">
        <v>32</v>
      </c>
      <c r="D33" s="42">
        <f>IFERROR(D32/D8,"")</f>
        <v>0.10799462554487023</v>
      </c>
      <c r="E33" s="42">
        <f>IFERROR(E32/E8,"")</f>
        <v>0.10649728861217111</v>
      </c>
      <c r="F33" s="42">
        <f>IF(OR(D33="",E33=""),"",D33-E33)</f>
        <v>1.4973369326991143E-3</v>
      </c>
      <c r="G33" s="33"/>
      <c r="H33" s="42">
        <f>IFERROR(H32/H8,"")</f>
        <v>7.3106013040490372E-2</v>
      </c>
      <c r="I33" s="42">
        <f>IFERROR(I32/I8,"")</f>
        <v>8.4318504639839059E-2</v>
      </c>
      <c r="J33" s="42">
        <f>IF(OR(H33="",I33=""),"",H33-I33)</f>
        <v>-1.1212491599348687E-2</v>
      </c>
      <c r="K33" s="33"/>
    </row>
    <row r="34" spans="3:11" x14ac:dyDescent="0.25">
      <c r="C34" s="33"/>
      <c r="D34" s="33"/>
      <c r="E34" s="33"/>
      <c r="F34" s="33"/>
      <c r="G34" s="33"/>
      <c r="H34" s="33"/>
      <c r="I34" s="33"/>
      <c r="J34" s="33"/>
      <c r="K34" s="33"/>
    </row>
    <row r="35" spans="3:11" x14ac:dyDescent="0.25">
      <c r="C35" s="46" t="s">
        <v>33</v>
      </c>
      <c r="D35" s="33"/>
      <c r="E35" s="33"/>
      <c r="F35" s="33"/>
      <c r="G35" s="33"/>
      <c r="H35" s="33"/>
      <c r="I35" s="33"/>
      <c r="J35" s="33"/>
      <c r="K35" s="33"/>
    </row>
    <row r="36" spans="3:11" x14ac:dyDescent="0.25">
      <c r="C36" s="46" t="s">
        <v>34</v>
      </c>
      <c r="D36" s="33"/>
      <c r="E36" s="33"/>
      <c r="F36" s="33"/>
      <c r="G36" s="33"/>
      <c r="H36" s="33"/>
      <c r="I36" s="33"/>
      <c r="J36" s="33"/>
      <c r="K36" s="33"/>
    </row>
  </sheetData>
  <mergeCells count="2">
    <mergeCell ref="D6:G6"/>
    <mergeCell ref="H6:K6"/>
  </mergeCells>
  <conditionalFormatting sqref="C4">
    <cfRule type="expression" dxfId="30" priority="1">
      <formula>LEFT($C$4,2)="OK"</formula>
    </cfRule>
    <cfRule type="expression" dxfId="29" priority="2">
      <formula>LEFT($C$4,5)="ERROR"</formula>
    </cfRule>
    <cfRule type="expression" dxfId="28" priority="3">
      <formula>LEFT($C$4,2)="OK"</formula>
    </cfRule>
  </conditionalFormatting>
  <conditionalFormatting sqref="F8:G33">
    <cfRule type="cellIs" dxfId="27" priority="4" operator="lessThan">
      <formula>0</formula>
    </cfRule>
  </conditionalFormatting>
  <conditionalFormatting sqref="J8:K33">
    <cfRule type="cellIs" dxfId="26" priority="5" operator="lessThan">
      <formula>0</formula>
    </cfRule>
  </conditionalFormatting>
  <pageMargins left="0.7" right="0.7" top="0.75" bottom="0.75" header="0.3" footer="0.3"/>
  <pageSetup paperSize="9" fitToHeight="0" orientation="landscape"/>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0243E"/>
    <pageSetUpPr fitToPage="1"/>
  </sheetPr>
  <dimension ref="A1:H45"/>
  <sheetViews>
    <sheetView showGridLines="0" showRowColHeaders="0" zoomScale="90" zoomScaleNormal="90" workbookViewId="0">
      <pane xSplit="2" topLeftCell="C1" activePane="topRight" state="frozen"/>
      <selection pane="topRight" activeCell="D9" sqref="D9"/>
    </sheetView>
  </sheetViews>
  <sheetFormatPr defaultColWidth="0" defaultRowHeight="15" x14ac:dyDescent="0.25"/>
  <cols>
    <col min="1" max="1" width="42.85546875" style="1" customWidth="1"/>
    <col min="2" max="2" width="2.5703125" style="2" customWidth="1"/>
    <col min="3" max="3" width="46.7109375" style="2" customWidth="1"/>
    <col min="4" max="7" width="16.7109375" style="2" customWidth="1"/>
    <col min="8" max="8" width="3.7109375" style="2" customWidth="1"/>
    <col min="9" max="9" width="0" hidden="1" customWidth="1"/>
  </cols>
  <sheetData>
    <row r="1" spans="3:7" ht="25.5" customHeight="1" x14ac:dyDescent="0.25">
      <c r="C1" s="29" t="str">
        <f>Setup!B4</f>
        <v>COSKUN, Inc.</v>
      </c>
      <c r="D1" s="4"/>
      <c r="E1" s="4"/>
      <c r="F1" s="4"/>
      <c r="G1" s="4"/>
    </row>
    <row r="2" spans="3:7" ht="16.5" customHeight="1" x14ac:dyDescent="0.25">
      <c r="C2" s="30" t="s">
        <v>35</v>
      </c>
      <c r="D2" s="4"/>
      <c r="E2" s="4"/>
      <c r="F2" s="4"/>
      <c r="G2" s="4"/>
    </row>
    <row r="3" spans="3:7" ht="13.5" customHeight="1" x14ac:dyDescent="0.25">
      <c r="C3" s="31" t="str">
        <f>"As at "&amp;TEXT(Setup!B16,"d mmmm yyyy")</f>
        <v>As at 31 October 2026</v>
      </c>
      <c r="D3" s="4"/>
      <c r="E3" s="4"/>
      <c r="F3" s="4"/>
      <c r="G3" s="4"/>
    </row>
    <row r="4" spans="3:7" ht="13.5" customHeight="1" x14ac:dyDescent="0.25">
      <c r="C4" s="32" t="str">
        <f>Checks!$C$3</f>
        <v>OK - all checks passed</v>
      </c>
      <c r="D4" s="4"/>
      <c r="E4" s="4"/>
      <c r="F4" s="4"/>
      <c r="G4" s="4"/>
    </row>
    <row r="5" spans="3:7" x14ac:dyDescent="0.25">
      <c r="D5" s="47" t="s">
        <v>36</v>
      </c>
      <c r="E5" s="47" t="s">
        <v>37</v>
      </c>
      <c r="F5" s="47" t="s">
        <v>38</v>
      </c>
    </row>
    <row r="6" spans="3:7" x14ac:dyDescent="0.25">
      <c r="C6" s="34" t="s">
        <v>2</v>
      </c>
      <c r="D6" s="48" t="str">
        <f>TEXT(Setup!B16,"dd mmm yyyy")</f>
        <v>31 Oct 2026</v>
      </c>
      <c r="E6" s="49">
        <f>EOMONTH(Setup!B16,-1)</f>
        <v>46295</v>
      </c>
      <c r="F6" s="49">
        <f>Setup!B15-1</f>
        <v>46022</v>
      </c>
      <c r="G6" s="35" t="s">
        <v>39</v>
      </c>
    </row>
    <row r="7" spans="3:7" x14ac:dyDescent="0.25">
      <c r="C7" s="50" t="s">
        <v>40</v>
      </c>
      <c r="D7" s="51"/>
      <c r="E7" s="51"/>
      <c r="F7" s="51"/>
      <c r="G7" s="51"/>
    </row>
    <row r="8" spans="3:7" x14ac:dyDescent="0.25">
      <c r="C8" s="43" t="s">
        <v>41</v>
      </c>
      <c r="D8" s="33"/>
      <c r="E8" s="33"/>
      <c r="F8" s="33"/>
      <c r="G8" s="33"/>
    </row>
    <row r="9" spans="3:7" x14ac:dyDescent="0.25">
      <c r="C9" s="33" t="s">
        <v>42</v>
      </c>
      <c r="D9" s="36">
        <f>Calc!$C23*INDEX(Calc!$D23:$P23,Setup!$B$7+1)</f>
        <v>2462812</v>
      </c>
      <c r="E9" s="36">
        <f>Calc!$C23*INDEX(Calc!$D23:$P23,Setup!$B$7)</f>
        <v>2505156</v>
      </c>
      <c r="F9" s="36">
        <f>Calc!$C23*Calc!$D23</f>
        <v>2270000</v>
      </c>
      <c r="G9" s="36">
        <f>D9-F9</f>
        <v>192812</v>
      </c>
    </row>
    <row r="10" spans="3:7" x14ac:dyDescent="0.25">
      <c r="C10" s="33" t="s">
        <v>43</v>
      </c>
      <c r="D10" s="36">
        <f>Calc!$C24*INDEX(Calc!$D24:$P24,Setup!$B$7+1)</f>
        <v>195000</v>
      </c>
      <c r="E10" s="36">
        <f>Calc!$C24*INDEX(Calc!$D24:$P24,Setup!$B$7)</f>
        <v>199500</v>
      </c>
      <c r="F10" s="36">
        <f>Calc!$C24*Calc!$D24</f>
        <v>240000</v>
      </c>
      <c r="G10" s="36">
        <f>D10-F10</f>
        <v>-45000</v>
      </c>
    </row>
    <row r="11" spans="3:7" x14ac:dyDescent="0.25">
      <c r="C11" s="33" t="s">
        <v>44</v>
      </c>
      <c r="D11" s="36">
        <f>Calc!$C25*INDEX(Calc!$D25:$P25,Setup!$B$7+1)</f>
        <v>145000</v>
      </c>
      <c r="E11" s="36">
        <f>Calc!$C25*INDEX(Calc!$D25:$P25,Setup!$B$7)</f>
        <v>145000</v>
      </c>
      <c r="F11" s="36">
        <f>Calc!$C25*Calc!$D25</f>
        <v>145000</v>
      </c>
      <c r="G11" s="36">
        <f>D11-F11</f>
        <v>0</v>
      </c>
    </row>
    <row r="12" spans="3:7" x14ac:dyDescent="0.25">
      <c r="C12" s="52" t="s">
        <v>45</v>
      </c>
      <c r="D12" s="39">
        <f>SUM(D9:D11)</f>
        <v>2802812</v>
      </c>
      <c r="E12" s="39">
        <f>SUM(E9:E11)</f>
        <v>2849656</v>
      </c>
      <c r="F12" s="39">
        <f>SUM(F9:F11)</f>
        <v>2655000</v>
      </c>
      <c r="G12" s="39">
        <f>SUM(G9:G11)</f>
        <v>147812</v>
      </c>
    </row>
    <row r="13" spans="3:7" x14ac:dyDescent="0.25">
      <c r="C13" s="43" t="s">
        <v>46</v>
      </c>
      <c r="D13" s="33"/>
      <c r="E13" s="33"/>
      <c r="F13" s="33"/>
      <c r="G13" s="33"/>
    </row>
    <row r="14" spans="3:7" x14ac:dyDescent="0.25">
      <c r="C14" s="33" t="s">
        <v>47</v>
      </c>
      <c r="D14" s="36">
        <f>Calc!$C26*INDEX(Calc!$D26:$P26,Setup!$B$7+1)</f>
        <v>1688315</v>
      </c>
      <c r="E14" s="36">
        <f>Calc!$C26*INDEX(Calc!$D26:$P26,Setup!$B$7)</f>
        <v>1591730</v>
      </c>
      <c r="F14" s="36">
        <f>Calc!$C26*Calc!$D26</f>
        <v>1330000</v>
      </c>
      <c r="G14" s="36">
        <f>D14-F14</f>
        <v>358315</v>
      </c>
    </row>
    <row r="15" spans="3:7" x14ac:dyDescent="0.25">
      <c r="C15" s="33" t="s">
        <v>48</v>
      </c>
      <c r="D15" s="36">
        <f>Calc!$C27*INDEX(Calc!$D27:$P27,Setup!$B$7+1)</f>
        <v>2680556</v>
      </c>
      <c r="E15" s="36">
        <f>Calc!$C27*INDEX(Calc!$D27:$P27,Setup!$B$7)</f>
        <v>2554294</v>
      </c>
      <c r="F15" s="36">
        <f>Calc!$C27*Calc!$D27</f>
        <v>2180000</v>
      </c>
      <c r="G15" s="36">
        <f>D15-F15</f>
        <v>500556</v>
      </c>
    </row>
    <row r="16" spans="3:7" x14ac:dyDescent="0.25">
      <c r="C16" s="33" t="s">
        <v>49</v>
      </c>
      <c r="D16" s="36">
        <f>Calc!$C28*INDEX(Calc!$D28:$P28,Setup!$B$7+1)</f>
        <v>141473</v>
      </c>
      <c r="E16" s="36">
        <f>Calc!$C28*INDEX(Calc!$D28:$P28,Setup!$B$7)</f>
        <v>144936</v>
      </c>
      <c r="F16" s="36">
        <f>Calc!$C28*Calc!$D28</f>
        <v>133000</v>
      </c>
      <c r="G16" s="36">
        <f>D16-F16</f>
        <v>8473</v>
      </c>
    </row>
    <row r="17" spans="3:7" x14ac:dyDescent="0.25">
      <c r="C17" s="33" t="s">
        <v>50</v>
      </c>
      <c r="D17" s="36">
        <f>Calc!$C29*INDEX(Calc!$D29:$P29,Setup!$B$7+1)</f>
        <v>1922964</v>
      </c>
      <c r="E17" s="36">
        <f>Calc!$C29*INDEX(Calc!$D29:$P29,Setup!$B$7)</f>
        <v>1811757</v>
      </c>
      <c r="F17" s="36">
        <f>Calc!$C29*Calc!$D29</f>
        <v>2572500</v>
      </c>
      <c r="G17" s="36">
        <f>D17-F17</f>
        <v>-649536</v>
      </c>
    </row>
    <row r="18" spans="3:7" x14ac:dyDescent="0.25">
      <c r="C18" s="52" t="s">
        <v>51</v>
      </c>
      <c r="D18" s="39">
        <f>SUM(D14:D17)</f>
        <v>6433308</v>
      </c>
      <c r="E18" s="39">
        <f>SUM(E14:E17)</f>
        <v>6102717</v>
      </c>
      <c r="F18" s="39">
        <f>SUM(F14:F17)</f>
        <v>6215500</v>
      </c>
      <c r="G18" s="39">
        <f>SUM(G14:G17)</f>
        <v>217808</v>
      </c>
    </row>
    <row r="19" spans="3:7" x14ac:dyDescent="0.25">
      <c r="C19" s="53" t="s">
        <v>52</v>
      </c>
      <c r="D19" s="44">
        <f>D12+D18</f>
        <v>9236120</v>
      </c>
      <c r="E19" s="44">
        <f>E12+E18</f>
        <v>8952373</v>
      </c>
      <c r="F19" s="44">
        <f>F12+F18</f>
        <v>8870500</v>
      </c>
      <c r="G19" s="44">
        <f>G12+G18</f>
        <v>365620</v>
      </c>
    </row>
    <row r="20" spans="3:7" x14ac:dyDescent="0.25">
      <c r="C20" s="33"/>
      <c r="D20" s="33"/>
      <c r="E20" s="33"/>
      <c r="F20" s="33"/>
      <c r="G20" s="33"/>
    </row>
    <row r="21" spans="3:7" x14ac:dyDescent="0.25">
      <c r="C21" s="50" t="s">
        <v>53</v>
      </c>
      <c r="D21" s="51"/>
      <c r="E21" s="51"/>
      <c r="F21" s="51"/>
      <c r="G21" s="51"/>
    </row>
    <row r="22" spans="3:7" x14ac:dyDescent="0.25">
      <c r="C22" s="43" t="s">
        <v>54</v>
      </c>
      <c r="D22" s="33"/>
      <c r="E22" s="33"/>
      <c r="F22" s="33"/>
      <c r="G22" s="33"/>
    </row>
    <row r="23" spans="3:7" x14ac:dyDescent="0.25">
      <c r="C23" s="33" t="s">
        <v>55</v>
      </c>
      <c r="D23" s="36">
        <f>Calc!$C30*INDEX(Calc!$D30:$P30,Setup!$B$7+1)</f>
        <v>1000</v>
      </c>
      <c r="E23" s="36">
        <f>Calc!$C30*INDEX(Calc!$D30:$P30,Setup!$B$7)</f>
        <v>1000</v>
      </c>
      <c r="F23" s="36">
        <f>Calc!$C30*Calc!$D30</f>
        <v>1000</v>
      </c>
      <c r="G23" s="36">
        <f>D23-F23</f>
        <v>0</v>
      </c>
    </row>
    <row r="24" spans="3:7" x14ac:dyDescent="0.25">
      <c r="C24" s="33" t="s">
        <v>56</v>
      </c>
      <c r="D24" s="36">
        <f>Calc!$C31*INDEX(Calc!$D31:$P31,Setup!$B$7+1)</f>
        <v>4402700</v>
      </c>
      <c r="E24" s="36">
        <f>Calc!$C31*INDEX(Calc!$D31:$P31,Setup!$B$7)</f>
        <v>4402700</v>
      </c>
      <c r="F24" s="36">
        <f>Calc!$C31*Calc!$D31</f>
        <v>4402700</v>
      </c>
      <c r="G24" s="36">
        <f>D24-F24</f>
        <v>0</v>
      </c>
    </row>
    <row r="25" spans="3:7" x14ac:dyDescent="0.25">
      <c r="C25" s="33" t="s">
        <v>57</v>
      </c>
      <c r="D25" s="36">
        <f>Calc!$C32*INDEX(Calc!$D32:$P32,Setup!$B$7+1)</f>
        <v>-260000</v>
      </c>
      <c r="E25" s="36">
        <f>Calc!$C32*INDEX(Calc!$D32:$P32,Setup!$B$7)</f>
        <v>-260000</v>
      </c>
      <c r="F25" s="36">
        <f>Calc!$C32*Calc!$D32</f>
        <v>0</v>
      </c>
      <c r="G25" s="36">
        <f>D25-F25</f>
        <v>-260000</v>
      </c>
    </row>
    <row r="26" spans="3:7" x14ac:dyDescent="0.25">
      <c r="C26" s="33" t="s">
        <v>58</v>
      </c>
      <c r="D26" s="36">
        <f>INDEX(Calc!$D$42:$P$42,Setup!$B$7+1)</f>
        <v>1308156</v>
      </c>
      <c r="E26" s="36">
        <f>INDEX(Calc!$D$42:$P$42,Setup!$B$7)</f>
        <v>1089613</v>
      </c>
      <c r="F26" s="36">
        <f>Calc!$D$42</f>
        <v>0</v>
      </c>
      <c r="G26" s="36">
        <f>D26-F26</f>
        <v>1308156</v>
      </c>
    </row>
    <row r="27" spans="3:7" x14ac:dyDescent="0.25">
      <c r="C27" s="52" t="s">
        <v>59</v>
      </c>
      <c r="D27" s="39">
        <f>SUM(D23:D26)</f>
        <v>5451856</v>
      </c>
      <c r="E27" s="39">
        <f>SUM(E23:E26)</f>
        <v>5233313</v>
      </c>
      <c r="F27" s="39">
        <f>SUM(F23:F26)</f>
        <v>4403700</v>
      </c>
      <c r="G27" s="39">
        <f>SUM(G23:G26)</f>
        <v>1048156</v>
      </c>
    </row>
    <row r="28" spans="3:7" x14ac:dyDescent="0.25">
      <c r="C28" s="43" t="s">
        <v>60</v>
      </c>
      <c r="D28" s="33"/>
      <c r="E28" s="33"/>
      <c r="F28" s="33"/>
      <c r="G28" s="33"/>
    </row>
    <row r="29" spans="3:7" x14ac:dyDescent="0.25">
      <c r="C29" s="33" t="s">
        <v>61</v>
      </c>
      <c r="D29" s="36">
        <f>Calc!$C33*INDEX(Calc!$D33:$P33,Setup!$B$7+1)</f>
        <v>1680000</v>
      </c>
      <c r="E29" s="36">
        <f>Calc!$C33*INDEX(Calc!$D33:$P33,Setup!$B$7)</f>
        <v>1710000</v>
      </c>
      <c r="F29" s="36">
        <f>Calc!$C33*Calc!$D33</f>
        <v>1980000</v>
      </c>
      <c r="G29" s="36">
        <f>D29-F29</f>
        <v>-300000</v>
      </c>
    </row>
    <row r="30" spans="3:7" x14ac:dyDescent="0.25">
      <c r="C30" s="33" t="s">
        <v>62</v>
      </c>
      <c r="D30" s="36">
        <f>Calc!$C34*INDEX(Calc!$D34:$P34,Setup!$B$7+1)</f>
        <v>400000</v>
      </c>
      <c r="E30" s="36">
        <f>Calc!$C34*INDEX(Calc!$D34:$P34,Setup!$B$7)</f>
        <v>400000</v>
      </c>
      <c r="F30" s="36">
        <f>Calc!$C34*Calc!$D34</f>
        <v>450000</v>
      </c>
      <c r="G30" s="36">
        <f>D30-F30</f>
        <v>-50000</v>
      </c>
    </row>
    <row r="31" spans="3:7" x14ac:dyDescent="0.25">
      <c r="C31" s="52" t="s">
        <v>63</v>
      </c>
      <c r="D31" s="39">
        <f>SUM(D29:D30)</f>
        <v>2080000</v>
      </c>
      <c r="E31" s="39">
        <f>SUM(E29:E30)</f>
        <v>2110000</v>
      </c>
      <c r="F31" s="39">
        <f>SUM(F29:F30)</f>
        <v>2430000</v>
      </c>
      <c r="G31" s="39">
        <f>SUM(G29:G30)</f>
        <v>-350000</v>
      </c>
    </row>
    <row r="32" spans="3:7" x14ac:dyDescent="0.25">
      <c r="C32" s="43" t="s">
        <v>64</v>
      </c>
      <c r="D32" s="33"/>
      <c r="E32" s="33"/>
      <c r="F32" s="33"/>
      <c r="G32" s="33"/>
    </row>
    <row r="33" spans="3:7" x14ac:dyDescent="0.25">
      <c r="C33" s="33" t="s">
        <v>65</v>
      </c>
      <c r="D33" s="36">
        <f>Calc!$C35*INDEX(Calc!$D35:$P35,Setup!$B$7+1)</f>
        <v>1136039</v>
      </c>
      <c r="E33" s="36">
        <f>Calc!$C35*INDEX(Calc!$D35:$P35,Setup!$B$7)</f>
        <v>1087460</v>
      </c>
      <c r="F33" s="36">
        <f>Calc!$C35*Calc!$D35</f>
        <v>1020000</v>
      </c>
      <c r="G33" s="36">
        <f t="shared" ref="G33:G39" si="0">D33-F33</f>
        <v>116039</v>
      </c>
    </row>
    <row r="34" spans="3:7" x14ac:dyDescent="0.25">
      <c r="C34" s="33" t="s">
        <v>66</v>
      </c>
      <c r="D34" s="36">
        <f>Calc!$C36*INDEX(Calc!$D36:$P36,Setup!$B$7+1)</f>
        <v>246000</v>
      </c>
      <c r="E34" s="36">
        <f>Calc!$C36*INDEX(Calc!$D36:$P36,Setup!$B$7)</f>
        <v>244000</v>
      </c>
      <c r="F34" s="36">
        <f>Calc!$C36*Calc!$D36</f>
        <v>268000</v>
      </c>
      <c r="G34" s="36">
        <f t="shared" si="0"/>
        <v>-22000</v>
      </c>
    </row>
    <row r="35" spans="3:7" x14ac:dyDescent="0.25">
      <c r="C35" s="33" t="s">
        <v>67</v>
      </c>
      <c r="D35" s="36">
        <f>Calc!$C37*INDEX(Calc!$D37:$P37,Setup!$B$7+1)</f>
        <v>36426</v>
      </c>
      <c r="E35" s="36">
        <f>Calc!$C37*INDEX(Calc!$D37:$P37,Setup!$B$7)</f>
        <v>34940</v>
      </c>
      <c r="F35" s="36">
        <f>Calc!$C37*Calc!$D37</f>
        <v>31000</v>
      </c>
      <c r="G35" s="36">
        <f t="shared" si="0"/>
        <v>5426</v>
      </c>
    </row>
    <row r="36" spans="3:7" x14ac:dyDescent="0.25">
      <c r="C36" s="33" t="s">
        <v>68</v>
      </c>
      <c r="D36" s="36">
        <f>Calc!$C38*INDEX(Calc!$D38:$P38,Setup!$B$7+1)</f>
        <v>49748</v>
      </c>
      <c r="E36" s="36">
        <f>Calc!$C38*INDEX(Calc!$D38:$P38,Setup!$B$7)</f>
        <v>49455</v>
      </c>
      <c r="F36" s="36">
        <f>Calc!$C38*Calc!$D38</f>
        <v>47800</v>
      </c>
      <c r="G36" s="36">
        <f t="shared" si="0"/>
        <v>1948</v>
      </c>
    </row>
    <row r="37" spans="3:7" x14ac:dyDescent="0.25">
      <c r="C37" s="33" t="s">
        <v>69</v>
      </c>
      <c r="D37" s="36">
        <f>Calc!$C39*INDEX(Calc!$D39:$P39,Setup!$B$7+1)</f>
        <v>176051</v>
      </c>
      <c r="E37" s="36">
        <f>Calc!$C39*INDEX(Calc!$D39:$P39,Setup!$B$7)</f>
        <v>103205</v>
      </c>
      <c r="F37" s="36">
        <f>Calc!$C39*Calc!$D39</f>
        <v>310000</v>
      </c>
      <c r="G37" s="36">
        <f t="shared" si="0"/>
        <v>-133949</v>
      </c>
    </row>
    <row r="38" spans="3:7" x14ac:dyDescent="0.25">
      <c r="C38" s="33" t="s">
        <v>70</v>
      </c>
      <c r="D38" s="36">
        <f>Calc!$C40*INDEX(Calc!$D40:$P40,Setup!$B$7+1)</f>
        <v>60000</v>
      </c>
      <c r="E38" s="36">
        <f>Calc!$C40*INDEX(Calc!$D40:$P40,Setup!$B$7)</f>
        <v>90000</v>
      </c>
      <c r="F38" s="36">
        <f>Calc!$C40*Calc!$D40</f>
        <v>360000</v>
      </c>
      <c r="G38" s="36">
        <f t="shared" si="0"/>
        <v>-300000</v>
      </c>
    </row>
    <row r="39" spans="3:7" x14ac:dyDescent="0.25">
      <c r="C39" s="33" t="s">
        <v>71</v>
      </c>
      <c r="D39" s="36">
        <f>Calc!$C41*INDEX(Calc!$D41:$P41,Setup!$B$7+1)</f>
        <v>0</v>
      </c>
      <c r="E39" s="36">
        <f>Calc!$C41*INDEX(Calc!$D41:$P41,Setup!$B$7)</f>
        <v>0</v>
      </c>
      <c r="F39" s="36">
        <f>Calc!$C41*Calc!$D41</f>
        <v>0</v>
      </c>
      <c r="G39" s="36">
        <f t="shared" si="0"/>
        <v>0</v>
      </c>
    </row>
    <row r="40" spans="3:7" x14ac:dyDescent="0.25">
      <c r="C40" s="52" t="s">
        <v>72</v>
      </c>
      <c r="D40" s="39">
        <f>SUM(D33:D39)</f>
        <v>1704264</v>
      </c>
      <c r="E40" s="39">
        <f>SUM(E33:E39)</f>
        <v>1609060</v>
      </c>
      <c r="F40" s="39">
        <f>SUM(F33:F39)</f>
        <v>2036800</v>
      </c>
      <c r="G40" s="39">
        <f>SUM(G33:G39)</f>
        <v>-332536</v>
      </c>
    </row>
    <row r="41" spans="3:7" x14ac:dyDescent="0.25">
      <c r="C41" s="52" t="s">
        <v>73</v>
      </c>
      <c r="D41" s="39">
        <f>D31+D40</f>
        <v>3784264</v>
      </c>
      <c r="E41" s="39">
        <f>E31+E40</f>
        <v>3719060</v>
      </c>
      <c r="F41" s="39">
        <f>F31+F40</f>
        <v>4466800</v>
      </c>
      <c r="G41" s="39">
        <f>G31+G40</f>
        <v>-682536</v>
      </c>
    </row>
    <row r="42" spans="3:7" x14ac:dyDescent="0.25">
      <c r="C42" s="53" t="s">
        <v>74</v>
      </c>
      <c r="D42" s="44">
        <f>D27+D41</f>
        <v>9236120</v>
      </c>
      <c r="E42" s="44">
        <f>E27+E41</f>
        <v>8952373</v>
      </c>
      <c r="F42" s="44">
        <f>F27+F41</f>
        <v>8870500</v>
      </c>
      <c r="G42" s="44">
        <f>G27+G41</f>
        <v>365620</v>
      </c>
    </row>
    <row r="43" spans="3:7" x14ac:dyDescent="0.25">
      <c r="C43" s="33"/>
      <c r="D43" s="33"/>
      <c r="E43" s="33"/>
      <c r="F43" s="33"/>
      <c r="G43" s="33"/>
    </row>
    <row r="44" spans="3:7" x14ac:dyDescent="0.25">
      <c r="C44" s="41" t="s">
        <v>75</v>
      </c>
      <c r="D44" s="54">
        <f>D19-D42</f>
        <v>0</v>
      </c>
      <c r="E44" s="54">
        <f>E19-E42</f>
        <v>0</v>
      </c>
      <c r="F44" s="54">
        <f>F19-F42</f>
        <v>0</v>
      </c>
      <c r="G44" s="33"/>
    </row>
    <row r="45" spans="3:7" x14ac:dyDescent="0.25">
      <c r="C45" s="46" t="s">
        <v>76</v>
      </c>
      <c r="D45" s="33"/>
      <c r="E45" s="33"/>
      <c r="F45" s="33"/>
      <c r="G45" s="33"/>
    </row>
  </sheetData>
  <conditionalFormatting sqref="C4">
    <cfRule type="expression" dxfId="25" priority="1">
      <formula>LEFT($C$4,2)="OK"</formula>
    </cfRule>
    <cfRule type="expression" dxfId="24" priority="2">
      <formula>LEFT($C$4,5)="ERROR"</formula>
    </cfRule>
    <cfRule type="expression" dxfId="23" priority="3">
      <formula>LEFT($C$4,2)="OK"</formula>
    </cfRule>
  </conditionalFormatting>
  <conditionalFormatting sqref="G9:G42">
    <cfRule type="cellIs" dxfId="22" priority="4" operator="lessThan">
      <formula>0</formula>
    </cfRule>
  </conditionalFormatting>
  <pageMargins left="0.7" right="0.7" top="0.75" bottom="0.75" header="0.3" footer="0.3"/>
  <pageSetup paperSize="9" fitToHeight="0" orientation="landscape"/>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10243E"/>
    <pageSetUpPr fitToPage="1"/>
  </sheetPr>
  <dimension ref="A1:F38"/>
  <sheetViews>
    <sheetView showGridLines="0" showRowColHeaders="0" zoomScale="90" zoomScaleNormal="90" workbookViewId="0">
      <pane xSplit="2" topLeftCell="C1" activePane="topRight" state="frozen"/>
      <selection pane="topRight"/>
    </sheetView>
  </sheetViews>
  <sheetFormatPr defaultColWidth="0" defaultRowHeight="15" x14ac:dyDescent="0.25"/>
  <cols>
    <col min="1" max="1" width="42.85546875" style="1" customWidth="1"/>
    <col min="2" max="2" width="2.5703125" style="2" customWidth="1"/>
    <col min="3" max="3" width="66.7109375" style="2" customWidth="1"/>
    <col min="4" max="5" width="18.7109375" style="2" customWidth="1"/>
    <col min="6" max="6" width="3.7109375" style="2" customWidth="1"/>
    <col min="7" max="7" width="0" hidden="1" customWidth="1"/>
  </cols>
  <sheetData>
    <row r="1" spans="3:5" ht="25.5" customHeight="1" x14ac:dyDescent="0.25">
      <c r="C1" s="29" t="str">
        <f>Setup!B4</f>
        <v>COSKUN, Inc.</v>
      </c>
      <c r="D1" s="4"/>
      <c r="E1" s="4"/>
    </row>
    <row r="2" spans="3:5" ht="16.5" customHeight="1" x14ac:dyDescent="0.25">
      <c r="C2" s="30" t="s">
        <v>77</v>
      </c>
      <c r="D2" s="4"/>
      <c r="E2" s="4"/>
    </row>
    <row r="3" spans="3:5" ht="13.5" customHeight="1" x14ac:dyDescent="0.25">
      <c r="C3" s="31" t="str">
        <f>"For the month ended "&amp;TEXT(Setup!B16,"d mmmm yyyy")&amp;" and year to date"</f>
        <v>For the month ended 31 October 2026 and year to date</v>
      </c>
      <c r="D3" s="4"/>
      <c r="E3" s="4"/>
    </row>
    <row r="4" spans="3:5" ht="13.5" customHeight="1" x14ac:dyDescent="0.25">
      <c r="C4" s="32" t="str">
        <f>Checks!$C$3</f>
        <v>OK - all checks passed</v>
      </c>
      <c r="D4" s="4"/>
      <c r="E4" s="4"/>
    </row>
    <row r="6" spans="3:5" x14ac:dyDescent="0.25">
      <c r="C6" s="34" t="s">
        <v>2</v>
      </c>
      <c r="D6" s="48" t="str">
        <f>TEXT(Setup!B16,"mmmm yyyy")</f>
        <v>October 2026</v>
      </c>
      <c r="E6" s="35" t="s">
        <v>1</v>
      </c>
    </row>
    <row r="7" spans="3:5" x14ac:dyDescent="0.25">
      <c r="C7" s="50" t="s">
        <v>78</v>
      </c>
      <c r="D7" s="51"/>
      <c r="E7" s="51"/>
    </row>
    <row r="8" spans="3:5" x14ac:dyDescent="0.25">
      <c r="C8" s="33" t="s">
        <v>79</v>
      </c>
      <c r="D8" s="36">
        <f>INDEX(Calc!$E$44:$P$44,Setup!$B$7)</f>
        <v>218543</v>
      </c>
      <c r="E8" s="36">
        <f>SUMIF(Calc!$E$3:$P$3,"&lt;="&amp;Setup!$B$7,Calc!$E$44:$P$44)</f>
        <v>1308156</v>
      </c>
    </row>
    <row r="9" spans="3:5" x14ac:dyDescent="0.25">
      <c r="C9" s="33" t="s">
        <v>80</v>
      </c>
      <c r="D9" s="36">
        <f>INDEX(Calc!$E$81:$P$81,Setup!$B$7)</f>
        <v>46844</v>
      </c>
      <c r="E9" s="36">
        <f>INDEX(Calc!$E$61:$P$61,Setup!$B$7)</f>
        <v>437188</v>
      </c>
    </row>
    <row r="10" spans="3:5" x14ac:dyDescent="0.25">
      <c r="C10" s="33" t="s">
        <v>81</v>
      </c>
      <c r="D10" s="36">
        <f>INDEX(Calc!$E$131:$P$131,Setup!$B$7)</f>
        <v>-96585</v>
      </c>
      <c r="E10" s="36">
        <f>SUMIF(Calc!$E$3:$P$3,"&lt;="&amp;Setup!$B$7,Calc!$E$131:$P$131)</f>
        <v>-358315</v>
      </c>
    </row>
    <row r="11" spans="3:5" x14ac:dyDescent="0.25">
      <c r="C11" s="33" t="s">
        <v>82</v>
      </c>
      <c r="D11" s="36">
        <f>INDEX(Calc!$E$132:$P$132,Setup!$B$7)</f>
        <v>-126262</v>
      </c>
      <c r="E11" s="36">
        <f>SUMIF(Calc!$E$3:$P$3,"&lt;="&amp;Setup!$B$7,Calc!$E$132:$P$132)</f>
        <v>-500556</v>
      </c>
    </row>
    <row r="12" spans="3:5" x14ac:dyDescent="0.25">
      <c r="C12" s="33" t="s">
        <v>83</v>
      </c>
      <c r="D12" s="36">
        <f>INDEX(Calc!$E$133:$P$133,Setup!$B$7)</f>
        <v>3463</v>
      </c>
      <c r="E12" s="36">
        <f>SUMIF(Calc!$E$3:$P$3,"&lt;="&amp;Setup!$B$7,Calc!$E$133:$P$133)</f>
        <v>-8473</v>
      </c>
    </row>
    <row r="13" spans="3:5" x14ac:dyDescent="0.25">
      <c r="C13" s="33" t="s">
        <v>84</v>
      </c>
      <c r="D13" s="36">
        <f>INDEX(Calc!$E$140:$P$140,Setup!$B$7)</f>
        <v>48579</v>
      </c>
      <c r="E13" s="36">
        <f>SUMIF(Calc!$E$3:$P$3,"&lt;="&amp;Setup!$B$7,Calc!$E$140:$P$140)</f>
        <v>116039</v>
      </c>
    </row>
    <row r="14" spans="3:5" x14ac:dyDescent="0.25">
      <c r="C14" s="33" t="s">
        <v>85</v>
      </c>
      <c r="D14" s="36">
        <f>INDEX(Calc!$E$141:$P$141,Setup!$B$7)</f>
        <v>2000</v>
      </c>
      <c r="E14" s="36">
        <f>SUMIF(Calc!$E$3:$P$3,"&lt;="&amp;Setup!$B$7,Calc!$E$141:$P$141)</f>
        <v>-22000</v>
      </c>
    </row>
    <row r="15" spans="3:5" x14ac:dyDescent="0.25">
      <c r="C15" s="33" t="s">
        <v>86</v>
      </c>
      <c r="D15" s="36">
        <f>INDEX(Calc!$E$142:$P$142,Setup!$B$7)</f>
        <v>1486</v>
      </c>
      <c r="E15" s="36">
        <f>SUMIF(Calc!$E$3:$P$3,"&lt;="&amp;Setup!$B$7,Calc!$E$142:$P$142)</f>
        <v>5426</v>
      </c>
    </row>
    <row r="16" spans="3:5" x14ac:dyDescent="0.25">
      <c r="C16" s="33" t="s">
        <v>87</v>
      </c>
      <c r="D16" s="36">
        <f>INDEX(Calc!$E$143:$P$143,Setup!$B$7)</f>
        <v>293</v>
      </c>
      <c r="E16" s="36">
        <f>SUMIF(Calc!$E$3:$P$3,"&lt;="&amp;Setup!$B$7,Calc!$E$143:$P$143)</f>
        <v>1948</v>
      </c>
    </row>
    <row r="17" spans="3:5" x14ac:dyDescent="0.25">
      <c r="C17" s="33" t="s">
        <v>88</v>
      </c>
      <c r="D17" s="36">
        <f>INDEX(Calc!$E$144:$P$144,Setup!$B$7)</f>
        <v>72846</v>
      </c>
      <c r="E17" s="36">
        <f>SUMIF(Calc!$E$3:$P$3,"&lt;="&amp;Setup!$B$7,Calc!$E$144:$P$144)</f>
        <v>-133949</v>
      </c>
    </row>
    <row r="18" spans="3:5" x14ac:dyDescent="0.25">
      <c r="C18" s="52" t="s">
        <v>89</v>
      </c>
      <c r="D18" s="39">
        <f>SUM(D8:D17)</f>
        <v>171207</v>
      </c>
      <c r="E18" s="39">
        <f>SUM(E8:E17)</f>
        <v>845464</v>
      </c>
    </row>
    <row r="19" spans="3:5" x14ac:dyDescent="0.25">
      <c r="C19" s="33"/>
      <c r="D19" s="33"/>
      <c r="E19" s="33"/>
    </row>
    <row r="20" spans="3:5" x14ac:dyDescent="0.25">
      <c r="C20" s="50" t="s">
        <v>90</v>
      </c>
      <c r="D20" s="51"/>
      <c r="E20" s="51"/>
    </row>
    <row r="21" spans="3:5" x14ac:dyDescent="0.25">
      <c r="C21" s="33" t="s">
        <v>91</v>
      </c>
      <c r="D21" s="36">
        <f>INDEX(Calc!$E$128:$P$128,Setup!$B$7)+INDEX(Calc!$E$129:$P$129,Setup!$B$7)+INDEX(Calc!$E$130:$P$130,Setup!$B$7)-D9</f>
        <v>0</v>
      </c>
      <c r="E21" s="36">
        <f>SUMIF(Calc!$E$3:$P$3,"&lt;="&amp;Setup!$B$7,Calc!$E$128:$P$128)+SUMIF(Calc!$E$3:$P$3,"&lt;="&amp;Setup!$B$7,Calc!$E$129:$P$129)+SUMIF(Calc!$E$3:$P$3,"&lt;="&amp;Setup!$B$7,Calc!$E$130:$P$130)-E9</f>
        <v>-585000</v>
      </c>
    </row>
    <row r="22" spans="3:5" x14ac:dyDescent="0.25">
      <c r="C22" s="52" t="s">
        <v>92</v>
      </c>
      <c r="D22" s="39">
        <f>D21</f>
        <v>0</v>
      </c>
      <c r="E22" s="39">
        <f>E21</f>
        <v>-585000</v>
      </c>
    </row>
    <row r="23" spans="3:5" x14ac:dyDescent="0.25">
      <c r="C23" s="33"/>
      <c r="D23" s="33"/>
      <c r="E23" s="33"/>
    </row>
    <row r="24" spans="3:5" x14ac:dyDescent="0.25">
      <c r="C24" s="50" t="s">
        <v>93</v>
      </c>
      <c r="D24" s="51"/>
      <c r="E24" s="51"/>
    </row>
    <row r="25" spans="3:5" x14ac:dyDescent="0.25">
      <c r="C25" s="33" t="s">
        <v>94</v>
      </c>
      <c r="D25" s="36">
        <f>INDEX(Calc!$E$145:$P$145,Setup!$B$7)</f>
        <v>-30000</v>
      </c>
      <c r="E25" s="36">
        <f>SUMIF(Calc!$E$3:$P$3,"&lt;="&amp;Setup!$B$7,Calc!$E$145:$P$145)</f>
        <v>-300000</v>
      </c>
    </row>
    <row r="26" spans="3:5" x14ac:dyDescent="0.25">
      <c r="C26" s="33" t="s">
        <v>95</v>
      </c>
      <c r="D26" s="36">
        <f>INDEX(Calc!$E$138:$P$138,Setup!$B$7)</f>
        <v>-30000</v>
      </c>
      <c r="E26" s="36">
        <f>SUMIF(Calc!$E$3:$P$3,"&lt;="&amp;Setup!$B$7,Calc!$E$138:$P$138)</f>
        <v>-300000</v>
      </c>
    </row>
    <row r="27" spans="3:5" x14ac:dyDescent="0.25">
      <c r="C27" s="33" t="s">
        <v>96</v>
      </c>
      <c r="D27" s="36">
        <f>INDEX(Calc!$E$139:$P$139,Setup!$B$7)</f>
        <v>0</v>
      </c>
      <c r="E27" s="36">
        <f>SUMIF(Calc!$E$3:$P$3,"&lt;="&amp;Setup!$B$7,Calc!$E$139:$P$139)</f>
        <v>-50000</v>
      </c>
    </row>
    <row r="28" spans="3:5" x14ac:dyDescent="0.25">
      <c r="C28" s="33" t="s">
        <v>97</v>
      </c>
      <c r="D28" s="36">
        <f>INDEX(Calc!$E$135:$P$135,Setup!$B$7)</f>
        <v>0</v>
      </c>
      <c r="E28" s="36">
        <f>SUMIF(Calc!$E$3:$P$3,"&lt;="&amp;Setup!$B$7,Calc!$E$135:$P$135)</f>
        <v>0</v>
      </c>
    </row>
    <row r="29" spans="3:5" x14ac:dyDescent="0.25">
      <c r="C29" s="33" t="s">
        <v>98</v>
      </c>
      <c r="D29" s="36">
        <f>INDEX(Calc!$E$137:$P$137,Setup!$B$7)+INDEX(Calc!$E$136:$P$136,Setup!$B$7)</f>
        <v>0</v>
      </c>
      <c r="E29" s="36">
        <f>SUMIF(Calc!$E$3:$P$3,"&lt;="&amp;Setup!$B$7,Calc!$E$137:$P$137)+SUMIF(Calc!$E$3:$P$3,"&lt;="&amp;Setup!$B$7,Calc!$E$136:$P$136)</f>
        <v>-260000</v>
      </c>
    </row>
    <row r="30" spans="3:5" x14ac:dyDescent="0.25">
      <c r="C30" s="52" t="s">
        <v>99</v>
      </c>
      <c r="D30" s="39">
        <f>SUM(D25:D29)</f>
        <v>-60000</v>
      </c>
      <c r="E30" s="39">
        <f>SUM(E25:E29)</f>
        <v>-910000</v>
      </c>
    </row>
    <row r="31" spans="3:5" x14ac:dyDescent="0.25">
      <c r="C31" s="33"/>
      <c r="D31" s="33"/>
      <c r="E31" s="33"/>
    </row>
    <row r="32" spans="3:5" x14ac:dyDescent="0.25">
      <c r="C32" s="38" t="s">
        <v>100</v>
      </c>
      <c r="D32" s="55">
        <f>D18+D22+D30</f>
        <v>111207</v>
      </c>
      <c r="E32" s="55">
        <f>E18+E22+E30</f>
        <v>-649536</v>
      </c>
    </row>
    <row r="33" spans="3:5" x14ac:dyDescent="0.25">
      <c r="C33" s="33" t="s">
        <v>101</v>
      </c>
      <c r="D33" s="36">
        <f>INDEX(Calc!$D$43:$P$43,Setup!$B$7)</f>
        <v>1811757</v>
      </c>
      <c r="E33" s="36">
        <f>Calc!$D$43</f>
        <v>2572500</v>
      </c>
    </row>
    <row r="34" spans="3:5" x14ac:dyDescent="0.25">
      <c r="C34" s="53" t="s">
        <v>102</v>
      </c>
      <c r="D34" s="44">
        <f>D33+D32</f>
        <v>1922964</v>
      </c>
      <c r="E34" s="44">
        <f>E33+E32</f>
        <v>1922964</v>
      </c>
    </row>
    <row r="35" spans="3:5" x14ac:dyDescent="0.25">
      <c r="C35" s="41" t="s">
        <v>103</v>
      </c>
      <c r="D35" s="56">
        <f>INDEX(Calc!$D$43:$P$43,Setup!$B$7+1)</f>
        <v>1922964</v>
      </c>
      <c r="E35" s="56">
        <f>INDEX(Calc!$D$43:$P$43,Setup!$B$7+1)</f>
        <v>1922964</v>
      </c>
    </row>
    <row r="36" spans="3:5" x14ac:dyDescent="0.25">
      <c r="C36" s="41" t="s">
        <v>104</v>
      </c>
      <c r="D36" s="54">
        <f>D34-D35</f>
        <v>0</v>
      </c>
      <c r="E36" s="54">
        <f>E34-E35</f>
        <v>0</v>
      </c>
    </row>
    <row r="37" spans="3:5" x14ac:dyDescent="0.25">
      <c r="C37" s="33"/>
      <c r="D37" s="33"/>
      <c r="E37" s="33"/>
    </row>
    <row r="38" spans="3:5" x14ac:dyDescent="0.25">
      <c r="C38" s="46" t="s">
        <v>105</v>
      </c>
      <c r="D38" s="33"/>
      <c r="E38" s="33"/>
    </row>
  </sheetData>
  <conditionalFormatting sqref="C4">
    <cfRule type="expression" dxfId="21" priority="1">
      <formula>LEFT($C$4,2)="OK"</formula>
    </cfRule>
    <cfRule type="expression" dxfId="20" priority="2">
      <formula>LEFT($C$4,5)="ERROR"</formula>
    </cfRule>
    <cfRule type="expression" dxfId="19" priority="3">
      <formula>LEFT($C$4,2)="OK"</formula>
    </cfRule>
  </conditionalFormatting>
  <conditionalFormatting sqref="D8:E34">
    <cfRule type="cellIs" dxfId="18" priority="4" operator="lessThan">
      <formula>0</formula>
    </cfRule>
  </conditionalFormatting>
  <pageMargins left="0.7" right="0.7" top="0.75" bottom="0.75" header="0.3" footer="0.3"/>
  <pageSetup paperSize="9" fitToHeight="0" orientation="landscape"/>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10243E"/>
    <pageSetUpPr fitToPage="1"/>
  </sheetPr>
  <dimension ref="A1:J28"/>
  <sheetViews>
    <sheetView showGridLines="0" showRowColHeaders="0" zoomScale="90" zoomScaleNormal="90" workbookViewId="0">
      <pane xSplit="2" topLeftCell="C1" activePane="topRight" state="frozen"/>
      <selection pane="topRight"/>
    </sheetView>
  </sheetViews>
  <sheetFormatPr defaultColWidth="0" defaultRowHeight="15" x14ac:dyDescent="0.25"/>
  <cols>
    <col min="1" max="1" width="42.85546875" style="1" customWidth="1"/>
    <col min="2" max="2" width="2.5703125" style="2" customWidth="1"/>
    <col min="3" max="3" width="38.7109375" style="2" customWidth="1"/>
    <col min="4" max="4" width="13.7109375" style="2" customWidth="1"/>
    <col min="5" max="5" width="18.7109375" style="2" customWidth="1"/>
    <col min="6" max="6" width="14.7109375" style="2" customWidth="1"/>
    <col min="7" max="7" width="12.7109375" style="2" customWidth="1"/>
    <col min="8" max="8" width="13.7109375" style="2" customWidth="1"/>
    <col min="9" max="9" width="70.7109375" style="2" customWidth="1"/>
    <col min="10" max="10" width="3.7109375" style="2" customWidth="1"/>
    <col min="11" max="11" width="0" hidden="1" customWidth="1"/>
  </cols>
  <sheetData>
    <row r="1" spans="3:9" ht="25.5" customHeight="1" x14ac:dyDescent="0.25">
      <c r="C1" s="29" t="str">
        <f>Setup!B4</f>
        <v>COSKUN, Inc.</v>
      </c>
      <c r="D1" s="4"/>
      <c r="E1" s="4"/>
      <c r="F1" s="4"/>
      <c r="G1" s="4"/>
      <c r="H1" s="4"/>
      <c r="I1" s="4"/>
    </row>
    <row r="2" spans="3:9" ht="16.5" customHeight="1" x14ac:dyDescent="0.25">
      <c r="C2" s="30" t="s">
        <v>106</v>
      </c>
      <c r="D2" s="4"/>
      <c r="E2" s="4"/>
      <c r="F2" s="4"/>
      <c r="G2" s="4"/>
      <c r="H2" s="4"/>
      <c r="I2" s="4"/>
    </row>
    <row r="3" spans="3:9" ht="13.5" customHeight="1" x14ac:dyDescent="0.25">
      <c r="C3" s="31" t="str">
        <f>"Month: "&amp;Setup!B17&amp;"  |  Year to date: "&amp;Setup!B18&amp;" days"</f>
        <v>Month: October 2026  |  Year to date: 304 days</v>
      </c>
      <c r="D3" s="4"/>
      <c r="E3" s="4"/>
      <c r="F3" s="4"/>
      <c r="G3" s="4"/>
      <c r="H3" s="4"/>
      <c r="I3" s="4"/>
    </row>
    <row r="4" spans="3:9" ht="13.5" customHeight="1" x14ac:dyDescent="0.25">
      <c r="C4" s="32" t="str">
        <f>Checks!$C$3</f>
        <v>OK - all checks passed</v>
      </c>
      <c r="D4" s="4"/>
      <c r="E4" s="4"/>
      <c r="F4" s="4"/>
      <c r="G4" s="4"/>
      <c r="H4" s="4"/>
      <c r="I4" s="4"/>
    </row>
    <row r="6" spans="3:9" ht="25.5" customHeight="1" x14ac:dyDescent="0.25">
      <c r="C6" s="34" t="s">
        <v>107</v>
      </c>
      <c r="D6" s="35" t="s">
        <v>108</v>
      </c>
      <c r="E6" s="35" t="s">
        <v>109</v>
      </c>
      <c r="F6" s="35" t="s">
        <v>110</v>
      </c>
      <c r="G6" s="35" t="s">
        <v>111</v>
      </c>
      <c r="H6" s="35" t="s">
        <v>112</v>
      </c>
      <c r="I6" s="35" t="s">
        <v>113</v>
      </c>
    </row>
    <row r="7" spans="3:9" x14ac:dyDescent="0.25">
      <c r="C7" s="50" t="s">
        <v>114</v>
      </c>
      <c r="D7" s="51"/>
      <c r="E7" s="51"/>
      <c r="F7" s="51"/>
      <c r="G7" s="51"/>
      <c r="H7" s="51"/>
      <c r="I7" s="51"/>
    </row>
    <row r="8" spans="3:9" x14ac:dyDescent="0.25">
      <c r="C8" s="33" t="s">
        <v>115</v>
      </c>
      <c r="D8" s="57">
        <f>IFERROR('Income Statement'!D8/'Income Statement'!E8,"")</f>
        <v>1.0160910825466962</v>
      </c>
      <c r="E8" s="58">
        <f>IFERROR('Income Statement'!H8/'Income Statement'!I8,"")</f>
        <v>0.98898260682130956</v>
      </c>
      <c r="F8" s="59">
        <v>1</v>
      </c>
      <c r="G8" s="60" t="s">
        <v>116</v>
      </c>
      <c r="H8" s="61" t="str">
        <f t="shared" ref="H8:H13" si="0">IF(OR(F8="",NOT(ISNUMBER(E8))),"",IF(G8="Higher",IF(E8&gt;=F8,"On target","Off target"),IF(E8&lt;=F8,"On target","Off target")))</f>
        <v>Off target</v>
      </c>
      <c r="I8" s="62" t="s">
        <v>117</v>
      </c>
    </row>
    <row r="9" spans="3:9" x14ac:dyDescent="0.25">
      <c r="C9" s="33" t="s">
        <v>118</v>
      </c>
      <c r="D9" s="57">
        <f>'Income Statement'!D11</f>
        <v>0.48561433886443633</v>
      </c>
      <c r="E9" s="58">
        <f>'Income Statement'!H11</f>
        <v>0.48959813756139714</v>
      </c>
      <c r="F9" s="59">
        <v>0.35</v>
      </c>
      <c r="G9" s="60" t="s">
        <v>116</v>
      </c>
      <c r="H9" s="61" t="str">
        <f t="shared" si="0"/>
        <v>On target</v>
      </c>
      <c r="I9" s="62" t="s">
        <v>119</v>
      </c>
    </row>
    <row r="10" spans="3:9" x14ac:dyDescent="0.25">
      <c r="C10" s="33" t="s">
        <v>120</v>
      </c>
      <c r="D10" s="57">
        <f>IFERROR('Income Statement'!D24/'Income Statement'!D8,"")</f>
        <v>0.31704640186751937</v>
      </c>
      <c r="E10" s="58">
        <f>IFERROR('Income Statement'!H24/'Income Statement'!H8,"")</f>
        <v>0.36514004530802824</v>
      </c>
      <c r="F10" s="59">
        <v>0.3</v>
      </c>
      <c r="G10" s="60" t="s">
        <v>121</v>
      </c>
      <c r="H10" s="61" t="str">
        <f t="shared" si="0"/>
        <v>Off target</v>
      </c>
      <c r="I10" s="62" t="s">
        <v>122</v>
      </c>
    </row>
    <row r="11" spans="3:9" x14ac:dyDescent="0.25">
      <c r="C11" s="33" t="s">
        <v>123</v>
      </c>
      <c r="D11" s="57">
        <f>IFERROR('Income Statement'!D25/'Income Statement'!D8,"")</f>
        <v>0.17145332165145402</v>
      </c>
      <c r="E11" s="58">
        <f>IFERROR('Income Statement'!H25/'Income Statement'!H8,"")</f>
        <v>0.12775512674417103</v>
      </c>
      <c r="F11" s="59">
        <v>0.12</v>
      </c>
      <c r="G11" s="60" t="s">
        <v>116</v>
      </c>
      <c r="H11" s="61" t="str">
        <f t="shared" si="0"/>
        <v>On target</v>
      </c>
      <c r="I11" s="62" t="s">
        <v>124</v>
      </c>
    </row>
    <row r="12" spans="3:9" x14ac:dyDescent="0.25">
      <c r="C12" s="33" t="s">
        <v>125</v>
      </c>
      <c r="D12" s="57">
        <f>'Income Statement'!D33</f>
        <v>0.10799462554487023</v>
      </c>
      <c r="E12" s="58">
        <f>'Income Statement'!H33</f>
        <v>7.3106013040490372E-2</v>
      </c>
      <c r="F12" s="59">
        <v>0.08</v>
      </c>
      <c r="G12" s="60" t="s">
        <v>116</v>
      </c>
      <c r="H12" s="61" t="str">
        <f t="shared" si="0"/>
        <v>Off target</v>
      </c>
      <c r="I12" s="62" t="s">
        <v>126</v>
      </c>
    </row>
    <row r="13" spans="3:9" x14ac:dyDescent="0.25">
      <c r="C13" s="33" t="s">
        <v>127</v>
      </c>
      <c r="D13" s="57">
        <f>IFERROR('Income Statement'!D32/'Income Statement'!E32,"")</f>
        <v>1.0303771805752004</v>
      </c>
      <c r="E13" s="58">
        <f>IFERROR('Income Statement'!H32/'Income Statement'!I32,"")</f>
        <v>0.85746984792868375</v>
      </c>
      <c r="F13" s="59">
        <v>1</v>
      </c>
      <c r="G13" s="60" t="s">
        <v>116</v>
      </c>
      <c r="H13" s="61" t="str">
        <f t="shared" si="0"/>
        <v>Off target</v>
      </c>
      <c r="I13" s="62" t="s">
        <v>128</v>
      </c>
    </row>
    <row r="14" spans="3:9" x14ac:dyDescent="0.25">
      <c r="C14" s="50" t="s">
        <v>129</v>
      </c>
      <c r="D14" s="51"/>
      <c r="E14" s="51"/>
      <c r="F14" s="51"/>
      <c r="G14" s="51"/>
      <c r="H14" s="51"/>
      <c r="I14" s="51"/>
    </row>
    <row r="15" spans="3:9" x14ac:dyDescent="0.25">
      <c r="C15" s="33" t="s">
        <v>130</v>
      </c>
      <c r="D15" s="63"/>
      <c r="E15" s="64">
        <f>IFERROR('Balance Sheet'!D18/'Balance Sheet'!D40,"")</f>
        <v>3.7748306600385857</v>
      </c>
      <c r="F15" s="65">
        <v>1.5</v>
      </c>
      <c r="G15" s="60" t="s">
        <v>116</v>
      </c>
      <c r="H15" s="61" t="str">
        <f>IF(OR(F15="",NOT(ISNUMBER(E15))),"",IF(G15="Higher",IF(E15&gt;=F15,"On target","Off target"),IF(E15&lt;=F15,"On target","Off target")))</f>
        <v>On target</v>
      </c>
      <c r="I15" s="62" t="s">
        <v>131</v>
      </c>
    </row>
    <row r="16" spans="3:9" x14ac:dyDescent="0.25">
      <c r="C16" s="33" t="s">
        <v>132</v>
      </c>
      <c r="D16" s="63"/>
      <c r="E16" s="64">
        <f>IFERROR(('Balance Sheet'!D18-'Balance Sheet'!D14)/'Balance Sheet'!D40,"")</f>
        <v>2.7841889519464122</v>
      </c>
      <c r="F16" s="65">
        <v>1</v>
      </c>
      <c r="G16" s="60" t="s">
        <v>116</v>
      </c>
      <c r="H16" s="61" t="str">
        <f>IF(OR(F16="",NOT(ISNUMBER(E16))),"",IF(G16="Higher",IF(E16&gt;=F16,"On target","Off target"),IF(E16&lt;=F16,"On target","Off target")))</f>
        <v>On target</v>
      </c>
      <c r="I16" s="62" t="s">
        <v>133</v>
      </c>
    </row>
    <row r="17" spans="3:9" x14ac:dyDescent="0.25">
      <c r="C17" s="33" t="s">
        <v>134</v>
      </c>
      <c r="D17" s="66"/>
      <c r="E17" s="67">
        <f>'Balance Sheet'!D17-'Balance Sheet'!D39</f>
        <v>1922964</v>
      </c>
      <c r="F17" s="68"/>
      <c r="G17" s="60" t="s">
        <v>116</v>
      </c>
      <c r="H17" s="61" t="str">
        <f>IF(OR(F17="",NOT(ISNUMBER(E17))),"",IF(G17="Higher",IF(E17&gt;=F17,"On target","Off target"),IF(E17&lt;=F17,"On target","Off target")))</f>
        <v/>
      </c>
      <c r="I17" s="62" t="s">
        <v>135</v>
      </c>
    </row>
    <row r="18" spans="3:9" x14ac:dyDescent="0.25">
      <c r="C18" s="33" t="s">
        <v>136</v>
      </c>
      <c r="D18" s="69"/>
      <c r="E18" s="70">
        <f>IFERROR(E17/(('Income Statement'!H9+'Income Statement'!H24)/Setup!$B$7),"")</f>
        <v>1.2274046874971076</v>
      </c>
      <c r="F18" s="71">
        <v>2</v>
      </c>
      <c r="G18" s="60" t="s">
        <v>116</v>
      </c>
      <c r="H18" s="61" t="str">
        <f>IF(OR(F18="",NOT(ISNUMBER(E18))),"",IF(G18="Higher",IF(E18&gt;=F18,"On target","Off target"),IF(E18&lt;=F18,"On target","Off target")))</f>
        <v>Off target</v>
      </c>
      <c r="I18" s="62" t="s">
        <v>137</v>
      </c>
    </row>
    <row r="19" spans="3:9" x14ac:dyDescent="0.25">
      <c r="C19" s="50" t="s">
        <v>138</v>
      </c>
      <c r="D19" s="51"/>
      <c r="E19" s="51"/>
      <c r="F19" s="51"/>
      <c r="G19" s="51"/>
      <c r="H19" s="51"/>
      <c r="I19" s="51"/>
    </row>
    <row r="20" spans="3:9" x14ac:dyDescent="0.25">
      <c r="C20" s="33" t="s">
        <v>139</v>
      </c>
      <c r="D20" s="72"/>
      <c r="E20" s="73">
        <f>IFERROR('Balance Sheet'!D15/('Income Statement'!H8*(1+Setup!B20))*Setup!B18,"")</f>
        <v>45.539895559166084</v>
      </c>
      <c r="F20" s="74">
        <v>45</v>
      </c>
      <c r="G20" s="60" t="s">
        <v>121</v>
      </c>
      <c r="H20" s="61" t="str">
        <f>IF(OR(F20="",NOT(ISNUMBER(E20))),"",IF(G20="Higher",IF(E20&gt;=F20,"On target","Off target"),IF(E20&lt;=F20,"On target","Off target")))</f>
        <v>Off target</v>
      </c>
      <c r="I20" s="62" t="s">
        <v>140</v>
      </c>
    </row>
    <row r="21" spans="3:9" x14ac:dyDescent="0.25">
      <c r="C21" s="33" t="s">
        <v>141</v>
      </c>
      <c r="D21" s="72"/>
      <c r="E21" s="73">
        <f>IFERROR('Balance Sheet'!D14/'Income Statement'!H9*Setup!B18,"")</f>
        <v>56.196384364143213</v>
      </c>
      <c r="F21" s="74">
        <v>60</v>
      </c>
      <c r="G21" s="60" t="s">
        <v>121</v>
      </c>
      <c r="H21" s="61" t="str">
        <f>IF(OR(F21="",NOT(ISNUMBER(E21))),"",IF(G21="Higher",IF(E21&gt;=F21,"On target","Off target"),IF(E21&lt;=F21,"On target","Off target")))</f>
        <v>On target</v>
      </c>
      <c r="I21" s="62" t="s">
        <v>142</v>
      </c>
    </row>
    <row r="22" spans="3:9" ht="25.5" customHeight="1" x14ac:dyDescent="0.25">
      <c r="C22" s="33" t="s">
        <v>143</v>
      </c>
      <c r="D22" s="72"/>
      <c r="E22" s="73">
        <f>IFERROR('Balance Sheet'!D33/('Income Statement'!H9*(1+Setup!B20))*Setup!B18,"")</f>
        <v>37.813609602862556</v>
      </c>
      <c r="F22" s="74"/>
      <c r="G22" s="60" t="s">
        <v>121</v>
      </c>
      <c r="H22" s="61" t="str">
        <f>IF(OR(F22="",NOT(ISNUMBER(E22))),"",IF(G22="Higher",IF(E22&gt;=F22,"On target","Off target"),IF(E22&lt;=F22,"On target","Off target")))</f>
        <v/>
      </c>
      <c r="I22" s="62" t="s">
        <v>144</v>
      </c>
    </row>
    <row r="23" spans="3:9" x14ac:dyDescent="0.25">
      <c r="C23" s="33" t="s">
        <v>145</v>
      </c>
      <c r="D23" s="72"/>
      <c r="E23" s="73">
        <f>IF(AND(ISNUMBER(E20),ISNUMBER(E21),ISNUMBER(E22)),E20+E21-E22,"")</f>
        <v>63.922670320446741</v>
      </c>
      <c r="F23" s="74">
        <v>60</v>
      </c>
      <c r="G23" s="60" t="s">
        <v>121</v>
      </c>
      <c r="H23" s="61" t="str">
        <f>IF(OR(F23="",NOT(ISNUMBER(E23))),"",IF(G23="Higher",IF(E23&gt;=F23,"On target","Off target"),IF(E23&lt;=F23,"On target","Off target")))</f>
        <v>Off target</v>
      </c>
      <c r="I23" s="62" t="s">
        <v>146</v>
      </c>
    </row>
    <row r="24" spans="3:9" x14ac:dyDescent="0.25">
      <c r="C24" s="50" t="s">
        <v>147</v>
      </c>
      <c r="D24" s="51"/>
      <c r="E24" s="51"/>
      <c r="F24" s="51"/>
      <c r="G24" s="51"/>
      <c r="H24" s="51"/>
      <c r="I24" s="51"/>
    </row>
    <row r="25" spans="3:9" ht="25.5" customHeight="1" x14ac:dyDescent="0.25">
      <c r="C25" s="33" t="s">
        <v>148</v>
      </c>
      <c r="D25" s="63"/>
      <c r="E25" s="64">
        <f>IFERROR(('Balance Sheet'!D38+'Balance Sheet'!D29+'Balance Sheet'!D39)/'Balance Sheet'!D27,"")</f>
        <v>0.319157365858526</v>
      </c>
      <c r="F25" s="65">
        <v>1</v>
      </c>
      <c r="G25" s="60" t="s">
        <v>121</v>
      </c>
      <c r="H25" s="61" t="str">
        <f>IF(OR(F25="",NOT(ISNUMBER(E25))),"",IF(G25="Higher",IF(E25&gt;=F25,"On target","Off target"),IF(E25&lt;=F25,"On target","Off target")))</f>
        <v>On target</v>
      </c>
      <c r="I25" s="62" t="s">
        <v>149</v>
      </c>
    </row>
    <row r="26" spans="3:9" x14ac:dyDescent="0.25">
      <c r="C26" s="33" t="s">
        <v>150</v>
      </c>
      <c r="D26" s="63"/>
      <c r="E26" s="64">
        <f>IFERROR('Income Statement'!H27/'Income Statement'!H29,"")</f>
        <v>15.517054133445237</v>
      </c>
      <c r="F26" s="65">
        <v>3</v>
      </c>
      <c r="G26" s="60" t="s">
        <v>116</v>
      </c>
      <c r="H26" s="61" t="str">
        <f>IF(OR(F26="",NOT(ISNUMBER(E26))),"",IF(G26="Higher",IF(E26&gt;=F26,"On target","Off target"),IF(E26&lt;=F26,"On target","Off target")))</f>
        <v>On target</v>
      </c>
      <c r="I26" s="62" t="s">
        <v>151</v>
      </c>
    </row>
    <row r="27" spans="3:9" x14ac:dyDescent="0.25">
      <c r="C27" s="33"/>
      <c r="D27" s="33"/>
      <c r="E27" s="33"/>
      <c r="F27" s="33"/>
      <c r="G27" s="33"/>
      <c r="H27" s="33"/>
      <c r="I27" s="33"/>
    </row>
    <row r="28" spans="3:9" x14ac:dyDescent="0.25">
      <c r="C28" s="46" t="s">
        <v>152</v>
      </c>
      <c r="D28" s="33"/>
      <c r="E28" s="33"/>
      <c r="F28" s="33"/>
      <c r="G28" s="33"/>
      <c r="H28" s="33"/>
      <c r="I28" s="33"/>
    </row>
  </sheetData>
  <conditionalFormatting sqref="C4">
    <cfRule type="expression" dxfId="17" priority="1">
      <formula>LEFT($C$4,2)="OK"</formula>
    </cfRule>
    <cfRule type="expression" dxfId="16" priority="2">
      <formula>LEFT($C$4,5)="ERROR"</formula>
    </cfRule>
    <cfRule type="expression" dxfId="15" priority="3">
      <formula>LEFT($C$4,2)="OK"</formula>
    </cfRule>
  </conditionalFormatting>
  <conditionalFormatting sqref="H7:H27">
    <cfRule type="expression" dxfId="14" priority="4">
      <formula>H7="On target"</formula>
    </cfRule>
    <cfRule type="expression" dxfId="13" priority="5">
      <formula>H7="Off target"</formula>
    </cfRule>
  </conditionalFormatting>
  <dataValidations count="1">
    <dataValidation type="list" allowBlank="1" showInputMessage="1" showErrorMessage="1" sqref="G7:G27" xr:uid="{00000000-0002-0000-0500-000000000000}">
      <formula1>"Higher,Lower"</formula1>
    </dataValidation>
  </dataValidations>
  <pageMargins left="0.7" right="0.7" top="0.75" bottom="0.75" header="0.3" footer="0.3"/>
  <pageSetup paperSize="9" fitToHeight="0" orientation="landscape"/>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10243E"/>
    <pageSetUpPr fitToPage="1"/>
  </sheetPr>
  <dimension ref="A1:F43"/>
  <sheetViews>
    <sheetView showGridLines="0" showRowColHeaders="0" zoomScale="90" zoomScaleNormal="90" workbookViewId="0">
      <pane xSplit="2" topLeftCell="C1" activePane="topRight" state="frozen"/>
      <selection pane="topRight" activeCell="D7" sqref="D7"/>
    </sheetView>
  </sheetViews>
  <sheetFormatPr defaultColWidth="0" defaultRowHeight="15" x14ac:dyDescent="0.25"/>
  <cols>
    <col min="1" max="1" width="42.85546875" style="1" customWidth="1"/>
    <col min="2" max="2" width="2.5703125" style="2" customWidth="1"/>
    <col min="3" max="3" width="46.7109375" style="2" customWidth="1"/>
    <col min="4" max="4" width="74.7109375" style="2" customWidth="1"/>
    <col min="5" max="5" width="60.7109375" style="2" customWidth="1"/>
    <col min="6" max="6" width="3.7109375" style="2" customWidth="1"/>
    <col min="7" max="7" width="0" hidden="1" customWidth="1"/>
  </cols>
  <sheetData>
    <row r="1" spans="3:5" ht="25.5" customHeight="1" x14ac:dyDescent="0.25">
      <c r="C1" s="29" t="str">
        <f>Setup!B4</f>
        <v>COSKUN, Inc.</v>
      </c>
      <c r="D1" s="4"/>
      <c r="E1" s="4"/>
    </row>
    <row r="2" spans="3:5" ht="16.5" customHeight="1" x14ac:dyDescent="0.25">
      <c r="C2" s="30" t="s">
        <v>153</v>
      </c>
      <c r="D2" s="4"/>
      <c r="E2" s="4"/>
    </row>
    <row r="3" spans="3:5" ht="13.5" customHeight="1" x14ac:dyDescent="0.25">
      <c r="C3" s="31" t="s">
        <v>154</v>
      </c>
      <c r="D3" s="4"/>
      <c r="E3" s="4"/>
    </row>
    <row r="4" spans="3:5" ht="13.5" customHeight="1" x14ac:dyDescent="0.25">
      <c r="C4" s="32" t="str">
        <f>Checks!$C$3</f>
        <v>OK - all checks passed</v>
      </c>
      <c r="D4" s="4"/>
      <c r="E4" s="4"/>
    </row>
    <row r="6" spans="3:5" x14ac:dyDescent="0.25">
      <c r="C6" s="34" t="s">
        <v>155</v>
      </c>
      <c r="D6" s="35" t="s">
        <v>156</v>
      </c>
      <c r="E6" s="35" t="s">
        <v>157</v>
      </c>
    </row>
    <row r="7" spans="3:5" ht="61.5" customHeight="1" x14ac:dyDescent="0.25">
      <c r="C7" s="75" t="s">
        <v>158</v>
      </c>
      <c r="D7" s="76" t="str">
        <f>"For "&amp;Setup!B17&amp;", "&amp;IF('Income Statement'!D32&gt;=0,"net profit was $"&amp;TEXT('Income Statement'!D32,"#,##0"),"there was a net loss of $"&amp;TEXT(ABS('Income Statement'!D32),"#,##0"))&amp;IF('Income Statement'!E32=0,""," against a budget of $"&amp;TEXT('Income Statement'!E32,"#,##0"))&amp;". Year to date, "&amp;IF('Income Statement'!H32&gt;=0,"net profit is $","the net loss is $")&amp;TEXT(ABS('Income Statement'!H32),"#,##0")&amp;IF('Income Statement'!I32=0,".",", versus a YTD budget of $"&amp;TEXT('Income Statement'!I32,"#,##0")&amp;".")</f>
        <v>For October 2026, net profit was $218,543 against a budget of $212,100. Year to date, net profit is $1,308,156, versus a YTD budget of $1,525,600.</v>
      </c>
      <c r="E7" s="77" t="s">
        <v>159</v>
      </c>
    </row>
    <row r="8" spans="3:5" ht="61.5" customHeight="1" x14ac:dyDescent="0.25">
      <c r="C8" s="75" t="s">
        <v>7</v>
      </c>
      <c r="D8" s="76" t="str">
        <f>"Revenue was $"&amp;TEXT('Income Statement'!D8,"#,##0")&amp;IF('Income Statement'!E8=0," (no budget set)",", "&amp;TEXT(ABS('Income Statement'!D8/'Income Statement'!E8-1),"0.0%")&amp;IF('Income Statement'!D8&gt;='Income Statement'!E8," above"," below")&amp;" budget")&amp;". Year to date revenue is $"&amp;TEXT('Income Statement'!H8,"#,##0")&amp;IF('Income Statement'!I8=0,".",", "&amp;TEXT(ABS('Income Statement'!H8/'Income Statement'!I8-1),"0.0%")&amp;IF('Income Statement'!H8&gt;='Income Statement'!I8," ahead of"," behind")&amp;" budget.")</f>
        <v>Revenue was $2,023,647, 1.6% above budget. Year to date revenue is $17,893,959, 1.1% behind budget.</v>
      </c>
      <c r="E8" s="77"/>
    </row>
    <row r="9" spans="3:5" ht="61.5" customHeight="1" x14ac:dyDescent="0.25">
      <c r="C9" s="75" t="s">
        <v>160</v>
      </c>
      <c r="D9" s="76" t="str">
        <f>"Gross profit margin was "&amp;TEXT('Income Statement'!D11,"0.0%")&amp;" for the month and "&amp;TEXT('Income Statement'!H11,"0.0%")&amp;" year to date (gross profit $"&amp;TEXT('Income Statement'!H10,"#,##0")&amp;" YTD)."</f>
        <v>Gross profit margin was 48.6% for the month and 49.0% year to date (gross profit $8,760,849 YTD).</v>
      </c>
      <c r="E9" s="77"/>
    </row>
    <row r="10" spans="3:5" ht="61.5" customHeight="1" x14ac:dyDescent="0.25">
      <c r="C10" s="75" t="s">
        <v>161</v>
      </c>
      <c r="D10" s="76" t="str">
        <f>"Operating expenses were $"&amp;TEXT('Income Statement'!D24,"#,##0")&amp;" for the month ("&amp;TEXT(IFERROR('Income Statement'!D24/'Income Statement'!D8,0),"0.0%")&amp;" of revenue). "&amp;IF('Income Statement'!I24=0,"",IF('Income Statement'!J24&gt;=0,"Year to date they are $"&amp;TEXT('Income Statement'!J24,"#,##0")&amp;" favorable to budget.","Year to date they are $"&amp;TEXT(-'Income Statement'!J24,"#,##0")&amp;" over budget."))&amp;IF(MIN('Income Statement'!J14:J23)&lt;0," Largest YTD overspend: "&amp;TRIM(INDEX('Income Statement'!C14:C23,MATCH(MIN('Income Statement'!J14:J23),'Income Statement'!J14:J23,0)))&amp;" ($"&amp;TEXT(-MIN('Income Statement'!J14:J23),"#,##0")&amp;").","")</f>
        <v>Operating expenses were $641,590 for the month (31.7% of revenue). Year to date they are $115,301 over budget. Largest YTD overspend: Marketing and advertising ($108,272).</v>
      </c>
      <c r="E10" s="77"/>
    </row>
    <row r="11" spans="3:5" ht="61.5" customHeight="1" x14ac:dyDescent="0.25">
      <c r="C11" s="75" t="s">
        <v>162</v>
      </c>
      <c r="D11" s="76" t="str">
        <f>"Net cash and bank at period end is $"&amp;TEXT(KPIs!E17,"#,##0")&amp;IF(ISNUMBER(KPIs!E18)," ("&amp;TEXT(KPIs!E18,"0.0")&amp;" months of operating cost cover)","")&amp;". Receivable days are "&amp;TEXT(KPIs!E20,"0")&amp;" and inventory days "&amp;TEXT(KPIs!E21,"0")&amp;". Operating activities "&amp;IF('Cash Flow'!D18&gt;=0,"generated $","used $")&amp;TEXT(ABS('Cash Flow'!D18),"#,##0")&amp;" of cash in the month."</f>
        <v>Net cash and bank at period end is $1,922,964 (1.2 months of operating cost cover). Receivable days are 46 and inventory days 56. Operating activities generated $171,207 of cash in the month.</v>
      </c>
      <c r="E11" s="77"/>
    </row>
    <row r="12" spans="3:5" ht="61.5" customHeight="1" x14ac:dyDescent="0.25">
      <c r="C12" s="75" t="s">
        <v>163</v>
      </c>
      <c r="D12" s="76" t="str">
        <f>"Total assets are $"&amp;TEXT('Balance Sheet'!D19,"#,##0")&amp;" funded by equity of $"&amp;TEXT('Balance Sheet'!D27,"#,##0")&amp;" and total liabilities of $"&amp;TEXT('Balance Sheet'!D41,"#,##0")&amp;". Current ratio is "&amp;TEXT(KPIs!E15,"0.00")&amp;"."</f>
        <v>Total assets are $9,236,120 funded by equity of $5,451,856 and total liabilities of $3,784,264. Current ratio is 3.77.</v>
      </c>
      <c r="E12" s="77"/>
    </row>
    <row r="13" spans="3:5" ht="49.5" customHeight="1" x14ac:dyDescent="0.25">
      <c r="C13" s="75" t="s">
        <v>164</v>
      </c>
      <c r="D13" s="78" t="s">
        <v>165</v>
      </c>
      <c r="E13" s="77" t="s">
        <v>166</v>
      </c>
    </row>
    <row r="14" spans="3:5" ht="49.5" customHeight="1" x14ac:dyDescent="0.25">
      <c r="C14" s="75" t="s">
        <v>167</v>
      </c>
      <c r="D14" s="78" t="s">
        <v>165</v>
      </c>
      <c r="E14" s="77" t="s">
        <v>168</v>
      </c>
    </row>
    <row r="15" spans="3:5" ht="49.5" customHeight="1" x14ac:dyDescent="0.25">
      <c r="C15" s="75" t="s">
        <v>169</v>
      </c>
      <c r="D15" s="78" t="s">
        <v>170</v>
      </c>
      <c r="E15" s="77"/>
    </row>
    <row r="16" spans="3:5" ht="30" customHeight="1" x14ac:dyDescent="0.25">
      <c r="C16" s="137" t="s">
        <v>171</v>
      </c>
      <c r="D16" s="137"/>
      <c r="E16" s="137"/>
    </row>
    <row r="17" spans="3:5" x14ac:dyDescent="0.25">
      <c r="C17" s="43" t="s">
        <v>172</v>
      </c>
      <c r="D17" s="33"/>
      <c r="E17" s="33"/>
    </row>
    <row r="18" spans="3:5" x14ac:dyDescent="0.25">
      <c r="C18" s="34" t="s">
        <v>173</v>
      </c>
      <c r="D18" s="35" t="s">
        <v>174</v>
      </c>
      <c r="E18" s="35" t="s">
        <v>112</v>
      </c>
    </row>
    <row r="19" spans="3:5" x14ac:dyDescent="0.25">
      <c r="C19" s="33" t="s">
        <v>175</v>
      </c>
      <c r="D19" s="46" t="s">
        <v>176</v>
      </c>
      <c r="E19" s="60"/>
    </row>
    <row r="20" spans="3:5" x14ac:dyDescent="0.25">
      <c r="C20" s="33" t="s">
        <v>177</v>
      </c>
      <c r="D20" s="46" t="s">
        <v>178</v>
      </c>
      <c r="E20" s="60"/>
    </row>
    <row r="21" spans="3:5" x14ac:dyDescent="0.25">
      <c r="C21" s="33" t="s">
        <v>179</v>
      </c>
      <c r="D21" s="46" t="s">
        <v>180</v>
      </c>
      <c r="E21" s="60"/>
    </row>
    <row r="22" spans="3:5" x14ac:dyDescent="0.25">
      <c r="C22" s="33" t="s">
        <v>181</v>
      </c>
      <c r="D22" s="46" t="s">
        <v>182</v>
      </c>
      <c r="E22" s="60"/>
    </row>
    <row r="23" spans="3:5" x14ac:dyDescent="0.25">
      <c r="C23" s="33" t="s">
        <v>183</v>
      </c>
      <c r="D23" s="46" t="s">
        <v>184</v>
      </c>
      <c r="E23" s="60"/>
    </row>
    <row r="24" spans="3:5" x14ac:dyDescent="0.25">
      <c r="C24" s="33" t="s">
        <v>185</v>
      </c>
      <c r="D24" s="46" t="s">
        <v>186</v>
      </c>
      <c r="E24" s="60"/>
    </row>
    <row r="25" spans="3:5" x14ac:dyDescent="0.25">
      <c r="C25" s="33" t="s">
        <v>187</v>
      </c>
      <c r="D25" s="46" t="s">
        <v>188</v>
      </c>
      <c r="E25" s="60"/>
    </row>
    <row r="26" spans="3:5" x14ac:dyDescent="0.25">
      <c r="C26" s="33" t="s">
        <v>189</v>
      </c>
      <c r="D26" s="46" t="s">
        <v>190</v>
      </c>
      <c r="E26" s="60"/>
    </row>
    <row r="27" spans="3:5" x14ac:dyDescent="0.25">
      <c r="C27" s="33" t="s">
        <v>191</v>
      </c>
      <c r="D27" s="46" t="s">
        <v>192</v>
      </c>
      <c r="E27" s="60"/>
    </row>
    <row r="28" spans="3:5" x14ac:dyDescent="0.25">
      <c r="C28" s="33" t="s">
        <v>193</v>
      </c>
      <c r="D28" s="46" t="s">
        <v>194</v>
      </c>
      <c r="E28" s="60"/>
    </row>
    <row r="29" spans="3:5" x14ac:dyDescent="0.25">
      <c r="C29" s="33" t="s">
        <v>195</v>
      </c>
      <c r="D29" s="46" t="s">
        <v>196</v>
      </c>
      <c r="E29" s="60"/>
    </row>
    <row r="30" spans="3:5" x14ac:dyDescent="0.25">
      <c r="C30" s="33" t="s">
        <v>197</v>
      </c>
      <c r="D30" s="46" t="s">
        <v>198</v>
      </c>
      <c r="E30" s="60"/>
    </row>
    <row r="31" spans="3:5" x14ac:dyDescent="0.25">
      <c r="C31" s="33" t="s">
        <v>199</v>
      </c>
      <c r="D31" s="46" t="s">
        <v>200</v>
      </c>
      <c r="E31" s="60"/>
    </row>
    <row r="32" spans="3:5" x14ac:dyDescent="0.25">
      <c r="C32" s="33"/>
      <c r="D32" s="33"/>
      <c r="E32" s="33"/>
    </row>
    <row r="33" spans="3:5" x14ac:dyDescent="0.25">
      <c r="C33" s="43" t="s">
        <v>201</v>
      </c>
      <c r="D33" s="33"/>
      <c r="E33" s="33"/>
    </row>
    <row r="34" spans="3:5" x14ac:dyDescent="0.25">
      <c r="C34" s="34" t="s">
        <v>173</v>
      </c>
      <c r="D34" s="35" t="s">
        <v>202</v>
      </c>
      <c r="E34" s="35" t="s">
        <v>203</v>
      </c>
    </row>
    <row r="35" spans="3:5" ht="30" customHeight="1" x14ac:dyDescent="0.25">
      <c r="C35" s="33" t="s">
        <v>204</v>
      </c>
      <c r="D35" s="62" t="s">
        <v>205</v>
      </c>
      <c r="E35" s="79" t="str">
        <f>IF(Setup!B13="Monthly","Yes",IF(MOD(MONTH(Setup!B16),3)=0,"Yes","No"))</f>
        <v>No</v>
      </c>
    </row>
    <row r="36" spans="3:5" ht="30" customHeight="1" x14ac:dyDescent="0.25">
      <c r="C36" s="33" t="s">
        <v>206</v>
      </c>
      <c r="D36" s="62" t="s">
        <v>207</v>
      </c>
      <c r="E36" s="80" t="str">
        <f>IF(E35="Yes",DATE(YEAR(Setup!B16),MONTH(Setup!B16)+1,20),"-")</f>
        <v>-</v>
      </c>
    </row>
    <row r="37" spans="3:5" ht="30" customHeight="1" x14ac:dyDescent="0.25">
      <c r="C37" s="33" t="s">
        <v>208</v>
      </c>
      <c r="D37" s="62" t="s">
        <v>209</v>
      </c>
      <c r="E37" s="80">
        <f>EOMONTH(DATE(YEAR(Setup!B16),CEILING(MONTH(Setup!B16),3),1),1)</f>
        <v>46418</v>
      </c>
    </row>
    <row r="38" spans="3:5" ht="30" customHeight="1" x14ac:dyDescent="0.25">
      <c r="C38" s="33" t="s">
        <v>210</v>
      </c>
      <c r="D38" s="62" t="s">
        <v>211</v>
      </c>
      <c r="E38" s="80">
        <f>DATE(YEAR(Setup!B16),MONTH(Setup!B16)+1,15)</f>
        <v>46341</v>
      </c>
    </row>
    <row r="39" spans="3:5" ht="30" customHeight="1" x14ac:dyDescent="0.25">
      <c r="C39" s="33" t="s">
        <v>212</v>
      </c>
      <c r="D39" s="62" t="s">
        <v>213</v>
      </c>
      <c r="E39" s="80">
        <f>MIN(IF(DATE(YEAR(Setup!B15),MONTH(Setup!B15)+3,15)&gt;Setup!B16,DATE(YEAR(Setup!B15),MONTH(Setup!B15)+3,15),DATE(9999,12,31)),IF(DATE(YEAR(Setup!B15),MONTH(Setup!B15)+5,15)&gt;Setup!B16,DATE(YEAR(Setup!B15),MONTH(Setup!B15)+5,15),DATE(9999,12,31)),IF(DATE(YEAR(Setup!B15),MONTH(Setup!B15)+8,15)&gt;Setup!B16,DATE(YEAR(Setup!B15),MONTH(Setup!B15)+8,15),DATE(9999,12,31)),IF(DATE(YEAR(Setup!B15),MONTH(Setup!B15)+11,15)&gt;Setup!B16,DATE(YEAR(Setup!B15),MONTH(Setup!B15)+11,15),DATE(9999,12,31)))</f>
        <v>46371</v>
      </c>
    </row>
    <row r="40" spans="3:5" ht="30" customHeight="1" x14ac:dyDescent="0.25">
      <c r="C40" s="33" t="s">
        <v>214</v>
      </c>
      <c r="D40" s="62" t="s">
        <v>215</v>
      </c>
      <c r="E40" s="80">
        <f>DATE(YEAR(Setup!B6),MONTH(Setup!B6)+4,15)</f>
        <v>46492</v>
      </c>
    </row>
    <row r="41" spans="3:5" ht="30" customHeight="1" x14ac:dyDescent="0.25">
      <c r="C41" s="33" t="s">
        <v>216</v>
      </c>
      <c r="D41" s="62" t="s">
        <v>217</v>
      </c>
      <c r="E41" s="80">
        <f>DATE(YEAR(Setup!B6),MONTH(Setup!B6)+10,15)</f>
        <v>46675</v>
      </c>
    </row>
    <row r="42" spans="3:5" x14ac:dyDescent="0.25">
      <c r="C42" s="33"/>
      <c r="D42" s="33"/>
      <c r="E42" s="33"/>
    </row>
    <row r="43" spans="3:5" ht="30" customHeight="1" x14ac:dyDescent="0.25">
      <c r="C43" s="138" t="s">
        <v>218</v>
      </c>
      <c r="D43" s="138"/>
      <c r="E43" s="138"/>
    </row>
  </sheetData>
  <mergeCells count="2">
    <mergeCell ref="C16:E16"/>
    <mergeCell ref="C43:E43"/>
  </mergeCells>
  <conditionalFormatting sqref="C4">
    <cfRule type="expression" dxfId="12" priority="1">
      <formula>LEFT($C$4,2)="OK"</formula>
    </cfRule>
    <cfRule type="expression" dxfId="11" priority="2">
      <formula>LEFT($C$4,5)="ERROR"</formula>
    </cfRule>
    <cfRule type="expression" dxfId="10" priority="3">
      <formula>LEFT($C$4,2)="OK"</formula>
    </cfRule>
  </conditionalFormatting>
  <conditionalFormatting sqref="E19:E31">
    <cfRule type="expression" dxfId="9" priority="4">
      <formula>E19="Done"</formula>
    </cfRule>
    <cfRule type="expression" dxfId="8" priority="5">
      <formula>E19="Pending"</formula>
    </cfRule>
  </conditionalFormatting>
  <dataValidations count="1">
    <dataValidation type="list" allowBlank="1" showInputMessage="1" showErrorMessage="1" sqref="E19:E31" xr:uid="{00000000-0002-0000-0600-000000000000}">
      <formula1>"Done,Pending,Not applicable"</formula1>
    </dataValidation>
  </dataValidations>
  <pageMargins left="0.7" right="0.7" top="0.75" bottom="0.75" header="0.3" footer="0.3"/>
  <pageSetup paperSize="9" fitToHeight="0" orientation="landscape"/>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E0A100"/>
  </sheetPr>
  <dimension ref="A1:R258"/>
  <sheetViews>
    <sheetView workbookViewId="0"/>
  </sheetViews>
  <sheetFormatPr defaultRowHeight="15" x14ac:dyDescent="0.25"/>
  <cols>
    <col min="1" max="1" width="9.7109375" customWidth="1"/>
    <col min="2" max="2" width="52.7109375" customWidth="1"/>
    <col min="3" max="3" width="34.7109375" customWidth="1"/>
    <col min="4" max="4" width="7.7109375" customWidth="1"/>
    <col min="5" max="17" width="14.7109375" customWidth="1"/>
    <col min="18" max="18" width="10.7109375" customWidth="1"/>
  </cols>
  <sheetData>
    <row r="1" spans="1:18" ht="18" customHeight="1" x14ac:dyDescent="0.25">
      <c r="A1" s="86" t="s">
        <v>255</v>
      </c>
    </row>
    <row r="2" spans="1:18" x14ac:dyDescent="0.25">
      <c r="A2" s="87" t="s">
        <v>256</v>
      </c>
    </row>
    <row r="3" spans="1:18" x14ac:dyDescent="0.25">
      <c r="A3" s="87" t="s">
        <v>253</v>
      </c>
      <c r="F3" s="47">
        <f>Setup!$A$24</f>
        <v>1</v>
      </c>
      <c r="G3" s="47">
        <f>Setup!$A$25</f>
        <v>2</v>
      </c>
      <c r="H3" s="47">
        <f>Setup!$A$26</f>
        <v>3</v>
      </c>
      <c r="I3" s="47">
        <f>Setup!$A$27</f>
        <v>4</v>
      </c>
      <c r="J3" s="47">
        <f>Setup!$A$28</f>
        <v>5</v>
      </c>
      <c r="K3" s="47">
        <f>Setup!$A$29</f>
        <v>6</v>
      </c>
      <c r="L3" s="47">
        <f>Setup!$A$30</f>
        <v>7</v>
      </c>
      <c r="M3" s="47">
        <f>Setup!$A$31</f>
        <v>8</v>
      </c>
      <c r="N3" s="47">
        <f>Setup!$A$32</f>
        <v>9</v>
      </c>
      <c r="O3" s="47">
        <f>Setup!$A$33</f>
        <v>10</v>
      </c>
      <c r="P3" s="47">
        <f>Setup!$A$34</f>
        <v>11</v>
      </c>
      <c r="Q3" s="47">
        <f>Setup!$A$35</f>
        <v>12</v>
      </c>
    </row>
    <row r="4" spans="1:18" ht="30" customHeight="1" x14ac:dyDescent="0.25">
      <c r="A4" s="99" t="s">
        <v>257</v>
      </c>
      <c r="B4" s="100" t="s">
        <v>258</v>
      </c>
      <c r="C4" s="100" t="s">
        <v>259</v>
      </c>
      <c r="D4" s="100" t="s">
        <v>260</v>
      </c>
      <c r="E4" s="100" t="s">
        <v>261</v>
      </c>
      <c r="F4" s="103">
        <f>Setup!$B$24</f>
        <v>46053</v>
      </c>
      <c r="G4" s="103">
        <f>Setup!$B$25</f>
        <v>46081</v>
      </c>
      <c r="H4" s="103">
        <f>Setup!$B$26</f>
        <v>46112</v>
      </c>
      <c r="I4" s="103">
        <f>Setup!$B$27</f>
        <v>46142</v>
      </c>
      <c r="J4" s="103">
        <f>Setup!$B$28</f>
        <v>46173</v>
      </c>
      <c r="K4" s="103">
        <f>Setup!$B$29</f>
        <v>46203</v>
      </c>
      <c r="L4" s="103">
        <f>Setup!$B$30</f>
        <v>46234</v>
      </c>
      <c r="M4" s="103">
        <f>Setup!$B$31</f>
        <v>46265</v>
      </c>
      <c r="N4" s="103">
        <f>Setup!$B$32</f>
        <v>46295</v>
      </c>
      <c r="O4" s="103">
        <f>Setup!$B$33</f>
        <v>46326</v>
      </c>
      <c r="P4" s="103">
        <f>Setup!$B$34</f>
        <v>46356</v>
      </c>
      <c r="Q4" s="103">
        <f>Setup!$B$35</f>
        <v>46387</v>
      </c>
      <c r="R4" s="100" t="s">
        <v>262</v>
      </c>
    </row>
    <row r="5" spans="1:18" x14ac:dyDescent="0.25">
      <c r="A5" s="104">
        <v>9999</v>
      </c>
      <c r="B5" s="104" t="s">
        <v>263</v>
      </c>
      <c r="C5" s="104" t="s">
        <v>264</v>
      </c>
      <c r="D5" s="104" t="s">
        <v>265</v>
      </c>
      <c r="E5" s="105">
        <v>2180000</v>
      </c>
      <c r="F5" s="105">
        <v>2240000</v>
      </c>
      <c r="G5" s="105">
        <v>2195000</v>
      </c>
    </row>
    <row r="6" spans="1:18" x14ac:dyDescent="0.25">
      <c r="A6" s="106">
        <v>1000</v>
      </c>
      <c r="B6" s="106" t="s">
        <v>266</v>
      </c>
      <c r="C6" s="106" t="s">
        <v>267</v>
      </c>
      <c r="D6" s="101" t="str">
        <f>IF(C6="","",IFERROR(INDEX(Mapping!$B$5:$B$40,MATCH(C6,Mapping!$A$5:$A$40,0)),"UNMAPPED"))</f>
        <v>BS</v>
      </c>
      <c r="E6" s="107">
        <v>3480000</v>
      </c>
      <c r="F6" s="107">
        <v>3480000</v>
      </c>
      <c r="G6" s="107">
        <v>3480000</v>
      </c>
      <c r="H6" s="107">
        <v>3480000</v>
      </c>
      <c r="I6" s="107">
        <v>3900000</v>
      </c>
      <c r="J6" s="107">
        <v>3900000</v>
      </c>
      <c r="K6" s="107">
        <v>3900000</v>
      </c>
      <c r="L6" s="107">
        <v>3900000</v>
      </c>
      <c r="M6" s="107">
        <v>4065000</v>
      </c>
      <c r="N6" s="107">
        <v>4065000</v>
      </c>
      <c r="O6" s="107">
        <v>4065000</v>
      </c>
      <c r="P6" s="107"/>
      <c r="Q6" s="107"/>
      <c r="R6" s="108">
        <f t="shared" ref="R6:R69" si="0">IF(SUMPRODUCT(ABS(E6:Q6))=0,0,IF(OR(D6="IS",D6="BS"),0,1))</f>
        <v>0</v>
      </c>
    </row>
    <row r="7" spans="1:18" x14ac:dyDescent="0.25">
      <c r="A7" s="106">
        <v>1010</v>
      </c>
      <c r="B7" s="106" t="s">
        <v>268</v>
      </c>
      <c r="C7" s="106" t="s">
        <v>267</v>
      </c>
      <c r="D7" s="101" t="str">
        <f>IF(C7="","",IFERROR(INDEX(Mapping!$B$5:$B$40,MATCH(C7,Mapping!$A$5:$A$40,0)),"UNMAPPED"))</f>
        <v>BS</v>
      </c>
      <c r="E7" s="107">
        <v>-1210000</v>
      </c>
      <c r="F7" s="107">
        <v>-1246250</v>
      </c>
      <c r="G7" s="107">
        <v>-1282500</v>
      </c>
      <c r="H7" s="107">
        <v>-1318750</v>
      </c>
      <c r="I7" s="107">
        <v>-1355000</v>
      </c>
      <c r="J7" s="107">
        <v>-1395625</v>
      </c>
      <c r="K7" s="107">
        <v>-1436250</v>
      </c>
      <c r="L7" s="107">
        <v>-1476875</v>
      </c>
      <c r="M7" s="107">
        <v>-1517500</v>
      </c>
      <c r="N7" s="107">
        <v>-1559844</v>
      </c>
      <c r="O7" s="107">
        <v>-1602188</v>
      </c>
      <c r="P7" s="107"/>
      <c r="Q7" s="107"/>
      <c r="R7" s="108">
        <f t="shared" si="0"/>
        <v>0</v>
      </c>
    </row>
    <row r="8" spans="1:18" x14ac:dyDescent="0.25">
      <c r="A8" s="106">
        <v>1100</v>
      </c>
      <c r="B8" s="106" t="s">
        <v>269</v>
      </c>
      <c r="C8" s="106" t="s">
        <v>270</v>
      </c>
      <c r="D8" s="101" t="str">
        <f>IF(C8="","",IFERROR(INDEX(Mapping!$B$5:$B$40,MATCH(C8,Mapping!$A$5:$A$40,0)),"UNMAPPED"))</f>
        <v>BS</v>
      </c>
      <c r="E8" s="107">
        <v>240000</v>
      </c>
      <c r="F8" s="107">
        <v>235500</v>
      </c>
      <c r="G8" s="107">
        <v>231000</v>
      </c>
      <c r="H8" s="107">
        <v>226500</v>
      </c>
      <c r="I8" s="107">
        <v>222000</v>
      </c>
      <c r="J8" s="107">
        <v>217500</v>
      </c>
      <c r="K8" s="107">
        <v>213000</v>
      </c>
      <c r="L8" s="107">
        <v>208500</v>
      </c>
      <c r="M8" s="107">
        <v>204000</v>
      </c>
      <c r="N8" s="107">
        <v>199500</v>
      </c>
      <c r="O8" s="107">
        <v>195000</v>
      </c>
      <c r="P8" s="107"/>
      <c r="Q8" s="107"/>
      <c r="R8" s="108">
        <f t="shared" si="0"/>
        <v>0</v>
      </c>
    </row>
    <row r="9" spans="1:18" x14ac:dyDescent="0.25">
      <c r="A9" s="106">
        <v>1200</v>
      </c>
      <c r="B9" s="106" t="s">
        <v>271</v>
      </c>
      <c r="C9" s="106" t="s">
        <v>272</v>
      </c>
      <c r="D9" s="101" t="str">
        <f>IF(C9="","",IFERROR(INDEX(Mapping!$B$5:$B$40,MATCH(C9,Mapping!$A$5:$A$40,0)),"UNMAPPED"))</f>
        <v>BS</v>
      </c>
      <c r="E9" s="107">
        <v>145000</v>
      </c>
      <c r="F9" s="107">
        <v>145000</v>
      </c>
      <c r="G9" s="107">
        <v>145000</v>
      </c>
      <c r="H9" s="107">
        <v>145000</v>
      </c>
      <c r="I9" s="107">
        <v>145000</v>
      </c>
      <c r="J9" s="107">
        <v>145000</v>
      </c>
      <c r="K9" s="107">
        <v>145000</v>
      </c>
      <c r="L9" s="107">
        <v>145000</v>
      </c>
      <c r="M9" s="107">
        <v>145000</v>
      </c>
      <c r="N9" s="107">
        <v>145000</v>
      </c>
      <c r="O9" s="107">
        <v>145000</v>
      </c>
      <c r="P9" s="107"/>
      <c r="Q9" s="107"/>
      <c r="R9" s="108">
        <f t="shared" si="0"/>
        <v>0</v>
      </c>
    </row>
    <row r="10" spans="1:18" x14ac:dyDescent="0.25">
      <c r="A10" s="106">
        <v>1300</v>
      </c>
      <c r="B10" s="106" t="s">
        <v>273</v>
      </c>
      <c r="C10" s="106" t="s">
        <v>274</v>
      </c>
      <c r="D10" s="101" t="str">
        <f>IF(C10="","",IFERROR(INDEX(Mapping!$B$5:$B$40,MATCH(C10,Mapping!$A$5:$A$40,0)),"UNMAPPED"))</f>
        <v>BS</v>
      </c>
      <c r="E10" s="107">
        <v>1330000</v>
      </c>
      <c r="F10" s="107">
        <v>1113216</v>
      </c>
      <c r="G10" s="107">
        <v>1228261</v>
      </c>
      <c r="H10" s="107">
        <v>1281382</v>
      </c>
      <c r="I10" s="107">
        <v>1338500</v>
      </c>
      <c r="J10" s="107">
        <v>1345114</v>
      </c>
      <c r="K10" s="107">
        <v>1364495</v>
      </c>
      <c r="L10" s="107">
        <v>1427001</v>
      </c>
      <c r="M10" s="107">
        <v>1507227</v>
      </c>
      <c r="N10" s="107">
        <v>1591730</v>
      </c>
      <c r="O10" s="107">
        <v>1688315</v>
      </c>
      <c r="P10" s="107"/>
      <c r="Q10" s="107"/>
      <c r="R10" s="108">
        <f t="shared" si="0"/>
        <v>0</v>
      </c>
    </row>
    <row r="11" spans="1:18" x14ac:dyDescent="0.25">
      <c r="A11" s="106">
        <v>1400</v>
      </c>
      <c r="B11" s="106" t="s">
        <v>275</v>
      </c>
      <c r="C11" s="106" t="s">
        <v>264</v>
      </c>
      <c r="D11" s="101" t="str">
        <f>IF(C11="","",IFERROR(INDEX(Mapping!$B$5:$B$40,MATCH(C11,Mapping!$A$5:$A$40,0)),"UNMAPPED"))</f>
        <v>BS</v>
      </c>
      <c r="E11" s="107">
        <v>2180000</v>
      </c>
      <c r="F11" s="107">
        <v>1989110</v>
      </c>
      <c r="G11" s="107">
        <v>2004471</v>
      </c>
      <c r="H11" s="107">
        <v>2140768</v>
      </c>
      <c r="I11" s="107">
        <v>2251950</v>
      </c>
      <c r="J11" s="107">
        <v>2335809</v>
      </c>
      <c r="K11" s="107">
        <v>2358468</v>
      </c>
      <c r="L11" s="107">
        <v>2370629</v>
      </c>
      <c r="M11" s="107">
        <v>2441093</v>
      </c>
      <c r="N11" s="107">
        <v>2554294</v>
      </c>
      <c r="O11" s="107">
        <v>2680556</v>
      </c>
      <c r="P11" s="107"/>
      <c r="Q11" s="107"/>
      <c r="R11" s="108">
        <f t="shared" si="0"/>
        <v>0</v>
      </c>
    </row>
    <row r="12" spans="1:18" x14ac:dyDescent="0.25">
      <c r="A12" s="106">
        <v>1410</v>
      </c>
      <c r="B12" s="106" t="s">
        <v>276</v>
      </c>
      <c r="C12" s="106" t="s">
        <v>277</v>
      </c>
      <c r="D12" s="101" t="str">
        <f>IF(C12="","",IFERROR(INDEX(Mapping!$B$5:$B$40,MATCH(C12,Mapping!$A$5:$A$40,0)),"UNMAPPED"))</f>
        <v>BS</v>
      </c>
      <c r="E12" s="107">
        <v>112000</v>
      </c>
      <c r="F12" s="107">
        <v>118000</v>
      </c>
      <c r="G12" s="107">
        <v>123049</v>
      </c>
      <c r="H12" s="107">
        <v>123456</v>
      </c>
      <c r="I12" s="107">
        <v>118847</v>
      </c>
      <c r="J12" s="107">
        <v>113459</v>
      </c>
      <c r="K12" s="107">
        <v>112246</v>
      </c>
      <c r="L12" s="107">
        <v>116324</v>
      </c>
      <c r="M12" s="107">
        <v>121942</v>
      </c>
      <c r="N12" s="107">
        <v>123936</v>
      </c>
      <c r="O12" s="107">
        <v>120473</v>
      </c>
      <c r="P12" s="107"/>
      <c r="Q12" s="107"/>
      <c r="R12" s="108">
        <f t="shared" si="0"/>
        <v>0</v>
      </c>
    </row>
    <row r="13" spans="1:18" x14ac:dyDescent="0.25">
      <c r="A13" s="106">
        <v>1420</v>
      </c>
      <c r="B13" s="106" t="s">
        <v>278</v>
      </c>
      <c r="C13" s="106" t="s">
        <v>277</v>
      </c>
      <c r="D13" s="101" t="str">
        <f>IF(C13="","",IFERROR(INDEX(Mapping!$B$5:$B$40,MATCH(C13,Mapping!$A$5:$A$40,0)),"UNMAPPED"))</f>
        <v>BS</v>
      </c>
      <c r="E13" s="107">
        <v>21000</v>
      </c>
      <c r="F13" s="107">
        <v>21000</v>
      </c>
      <c r="G13" s="107">
        <v>21000</v>
      </c>
      <c r="H13" s="107">
        <v>21000</v>
      </c>
      <c r="I13" s="107">
        <v>21000</v>
      </c>
      <c r="J13" s="107">
        <v>21000</v>
      </c>
      <c r="K13" s="107">
        <v>21000</v>
      </c>
      <c r="L13" s="107">
        <v>21000</v>
      </c>
      <c r="M13" s="107">
        <v>21000</v>
      </c>
      <c r="N13" s="107">
        <v>21000</v>
      </c>
      <c r="O13" s="107">
        <v>21000</v>
      </c>
      <c r="P13" s="107"/>
      <c r="Q13" s="107"/>
      <c r="R13" s="108">
        <f t="shared" si="0"/>
        <v>0</v>
      </c>
    </row>
    <row r="14" spans="1:18" x14ac:dyDescent="0.25">
      <c r="A14" s="106">
        <v>1500</v>
      </c>
      <c r="B14" s="106" t="s">
        <v>279</v>
      </c>
      <c r="C14" s="106" t="s">
        <v>280</v>
      </c>
      <c r="D14" s="101" t="str">
        <f>IF(C14="","",IFERROR(INDEX(Mapping!$B$5:$B$40,MATCH(C14,Mapping!$A$5:$A$40,0)),"UNMAPPED"))</f>
        <v>BS</v>
      </c>
      <c r="E14" s="107">
        <v>2150000</v>
      </c>
      <c r="F14" s="107">
        <v>2460805</v>
      </c>
      <c r="G14" s="107">
        <v>2397754</v>
      </c>
      <c r="H14" s="107">
        <v>2290007</v>
      </c>
      <c r="I14" s="107">
        <v>1642540</v>
      </c>
      <c r="J14" s="107">
        <v>1530803</v>
      </c>
      <c r="K14" s="107">
        <v>1496928</v>
      </c>
      <c r="L14" s="107">
        <v>1543457</v>
      </c>
      <c r="M14" s="107">
        <v>1464965</v>
      </c>
      <c r="N14" s="107">
        <v>1376229</v>
      </c>
      <c r="O14" s="107">
        <v>1485964</v>
      </c>
      <c r="P14" s="107"/>
      <c r="Q14" s="107"/>
      <c r="R14" s="108">
        <f t="shared" si="0"/>
        <v>0</v>
      </c>
    </row>
    <row r="15" spans="1:18" x14ac:dyDescent="0.25">
      <c r="A15" s="106">
        <v>1510</v>
      </c>
      <c r="B15" s="106" t="s">
        <v>281</v>
      </c>
      <c r="C15" s="106" t="s">
        <v>280</v>
      </c>
      <c r="D15" s="101" t="str">
        <f>IF(C15="","",IFERROR(INDEX(Mapping!$B$5:$B$40,MATCH(C15,Mapping!$A$5:$A$40,0)),"UNMAPPED"))</f>
        <v>BS</v>
      </c>
      <c r="E15" s="107">
        <v>420000</v>
      </c>
      <c r="F15" s="107">
        <v>421428</v>
      </c>
      <c r="G15" s="107">
        <v>422861</v>
      </c>
      <c r="H15" s="107">
        <v>424299</v>
      </c>
      <c r="I15" s="107">
        <v>425741</v>
      </c>
      <c r="J15" s="107">
        <v>427189</v>
      </c>
      <c r="K15" s="107">
        <v>428641</v>
      </c>
      <c r="L15" s="107">
        <v>430099</v>
      </c>
      <c r="M15" s="107">
        <v>431561</v>
      </c>
      <c r="N15" s="107">
        <v>433028</v>
      </c>
      <c r="O15" s="107">
        <v>434500</v>
      </c>
      <c r="P15" s="107"/>
      <c r="Q15" s="107"/>
      <c r="R15" s="108">
        <f t="shared" si="0"/>
        <v>0</v>
      </c>
    </row>
    <row r="16" spans="1:18" x14ac:dyDescent="0.25">
      <c r="A16" s="106">
        <v>1520</v>
      </c>
      <c r="B16" s="106" t="s">
        <v>282</v>
      </c>
      <c r="C16" s="106" t="s">
        <v>280</v>
      </c>
      <c r="D16" s="101" t="str">
        <f>IF(C16="","",IFERROR(INDEX(Mapping!$B$5:$B$40,MATCH(C16,Mapping!$A$5:$A$40,0)),"UNMAPPED"))</f>
        <v>BS</v>
      </c>
      <c r="E16" s="107">
        <v>2500</v>
      </c>
      <c r="F16" s="107">
        <v>2500</v>
      </c>
      <c r="G16" s="107">
        <v>2500</v>
      </c>
      <c r="H16" s="107">
        <v>2500</v>
      </c>
      <c r="I16" s="107">
        <v>2500</v>
      </c>
      <c r="J16" s="107">
        <v>2500</v>
      </c>
      <c r="K16" s="107">
        <v>2500</v>
      </c>
      <c r="L16" s="107">
        <v>2500</v>
      </c>
      <c r="M16" s="107">
        <v>2500</v>
      </c>
      <c r="N16" s="107">
        <v>2500</v>
      </c>
      <c r="O16" s="107">
        <v>2500</v>
      </c>
      <c r="P16" s="107"/>
      <c r="Q16" s="107"/>
      <c r="R16" s="108">
        <f t="shared" si="0"/>
        <v>0</v>
      </c>
    </row>
    <row r="17" spans="1:18" x14ac:dyDescent="0.25">
      <c r="A17" s="106">
        <v>2000</v>
      </c>
      <c r="B17" s="106" t="s">
        <v>283</v>
      </c>
      <c r="C17" s="106" t="s">
        <v>284</v>
      </c>
      <c r="D17" s="101" t="str">
        <f>IF(C17="","",IFERROR(INDEX(Mapping!$B$5:$B$40,MATCH(C17,Mapping!$A$5:$A$40,0)),"UNMAPPED"))</f>
        <v>BS</v>
      </c>
      <c r="E17" s="107">
        <v>-1020000</v>
      </c>
      <c r="F17" s="107">
        <v>-876861</v>
      </c>
      <c r="G17" s="107">
        <v>-869498</v>
      </c>
      <c r="H17" s="107">
        <v>-948181</v>
      </c>
      <c r="I17" s="107">
        <v>-977795</v>
      </c>
      <c r="J17" s="107">
        <v>-1009747</v>
      </c>
      <c r="K17" s="107">
        <v>-1003307</v>
      </c>
      <c r="L17" s="107">
        <v>-1006424</v>
      </c>
      <c r="M17" s="107">
        <v>-1040927</v>
      </c>
      <c r="N17" s="107">
        <v>-1087460</v>
      </c>
      <c r="O17" s="107">
        <v>-1136039</v>
      </c>
      <c r="P17" s="107"/>
      <c r="Q17" s="107"/>
      <c r="R17" s="108">
        <f t="shared" si="0"/>
        <v>0</v>
      </c>
    </row>
    <row r="18" spans="1:18" x14ac:dyDescent="0.25">
      <c r="A18" s="106">
        <v>2010</v>
      </c>
      <c r="B18" s="106" t="s">
        <v>285</v>
      </c>
      <c r="C18" s="106" t="s">
        <v>286</v>
      </c>
      <c r="D18" s="101" t="str">
        <f>IF(C18="","",IFERROR(INDEX(Mapping!$B$5:$B$40,MATCH(C18,Mapping!$A$5:$A$40,0)),"UNMAPPED"))</f>
        <v>BS</v>
      </c>
      <c r="E18" s="107">
        <v>-58000</v>
      </c>
      <c r="F18" s="107">
        <v>-62000</v>
      </c>
      <c r="G18" s="107">
        <v>-69000</v>
      </c>
      <c r="H18" s="107">
        <v>-76000</v>
      </c>
      <c r="I18" s="107">
        <v>-62000</v>
      </c>
      <c r="J18" s="107">
        <v>-69000</v>
      </c>
      <c r="K18" s="107">
        <v>-76000</v>
      </c>
      <c r="L18" s="107">
        <v>-62000</v>
      </c>
      <c r="M18" s="107">
        <v>-69000</v>
      </c>
      <c r="N18" s="107">
        <v>-76000</v>
      </c>
      <c r="O18" s="107">
        <v>-62000</v>
      </c>
      <c r="P18" s="107"/>
      <c r="Q18" s="107"/>
      <c r="R18" s="108">
        <f t="shared" si="0"/>
        <v>0</v>
      </c>
    </row>
    <row r="19" spans="1:18" x14ac:dyDescent="0.25">
      <c r="A19" s="106">
        <v>2020</v>
      </c>
      <c r="B19" s="106" t="s">
        <v>287</v>
      </c>
      <c r="C19" s="106" t="s">
        <v>286</v>
      </c>
      <c r="D19" s="101" t="str">
        <f>IF(C19="","",IFERROR(INDEX(Mapping!$B$5:$B$40,MATCH(C19,Mapping!$A$5:$A$40,0)),"UNMAPPED"))</f>
        <v>BS</v>
      </c>
      <c r="E19" s="107">
        <v>-210000</v>
      </c>
      <c r="F19" s="107">
        <v>-180000</v>
      </c>
      <c r="G19" s="107">
        <v>-196000</v>
      </c>
      <c r="H19" s="107">
        <v>-72000</v>
      </c>
      <c r="I19" s="107">
        <v>-88000</v>
      </c>
      <c r="J19" s="107">
        <v>-104000</v>
      </c>
      <c r="K19" s="107">
        <v>-120000</v>
      </c>
      <c r="L19" s="107">
        <v>-136000</v>
      </c>
      <c r="M19" s="107">
        <v>-152000</v>
      </c>
      <c r="N19" s="107">
        <v>-168000</v>
      </c>
      <c r="O19" s="107">
        <v>-184000</v>
      </c>
      <c r="P19" s="107"/>
      <c r="Q19" s="107"/>
      <c r="R19" s="108">
        <f t="shared" si="0"/>
        <v>0</v>
      </c>
    </row>
    <row r="20" spans="1:18" x14ac:dyDescent="0.25">
      <c r="A20" s="106">
        <v>2100</v>
      </c>
      <c r="B20" s="106" t="s">
        <v>288</v>
      </c>
      <c r="C20" s="106" t="s">
        <v>289</v>
      </c>
      <c r="D20" s="101" t="str">
        <f>IF(C20="","",IFERROR(INDEX(Mapping!$B$5:$B$40,MATCH(C20,Mapping!$A$5:$A$40,0)),"UNMAPPED"))</f>
        <v>BS</v>
      </c>
      <c r="E20" s="107">
        <v>-31000</v>
      </c>
      <c r="F20" s="107">
        <v>-28648</v>
      </c>
      <c r="G20" s="107">
        <v>-28348</v>
      </c>
      <c r="H20" s="107">
        <v>-30848</v>
      </c>
      <c r="I20" s="107">
        <v>-31745</v>
      </c>
      <c r="J20" s="107">
        <v>-32714</v>
      </c>
      <c r="K20" s="107">
        <v>-32438</v>
      </c>
      <c r="L20" s="107">
        <v>-32471</v>
      </c>
      <c r="M20" s="107">
        <v>-33514</v>
      </c>
      <c r="N20" s="107">
        <v>-34940</v>
      </c>
      <c r="O20" s="107">
        <v>-36426</v>
      </c>
      <c r="P20" s="107"/>
      <c r="Q20" s="107"/>
      <c r="R20" s="108">
        <f t="shared" si="0"/>
        <v>0</v>
      </c>
    </row>
    <row r="21" spans="1:18" x14ac:dyDescent="0.25">
      <c r="A21" s="106">
        <v>2110</v>
      </c>
      <c r="B21" s="106" t="s">
        <v>290</v>
      </c>
      <c r="C21" s="106" t="s">
        <v>291</v>
      </c>
      <c r="D21" s="101" t="str">
        <f>IF(C21="","",IFERROR(INDEX(Mapping!$B$5:$B$40,MATCH(C21,Mapping!$A$5:$A$40,0)),"UNMAPPED"))</f>
        <v>BS</v>
      </c>
      <c r="E21" s="107">
        <v>-33000</v>
      </c>
      <c r="F21" s="107">
        <v>-33248</v>
      </c>
      <c r="G21" s="107">
        <v>-33429</v>
      </c>
      <c r="H21" s="107">
        <v>-33455</v>
      </c>
      <c r="I21" s="107">
        <v>-33409</v>
      </c>
      <c r="J21" s="107">
        <v>-33996</v>
      </c>
      <c r="K21" s="107">
        <v>-33646</v>
      </c>
      <c r="L21" s="107">
        <v>-34046</v>
      </c>
      <c r="M21" s="107">
        <v>-33952</v>
      </c>
      <c r="N21" s="107">
        <v>-34107</v>
      </c>
      <c r="O21" s="107">
        <v>-34309</v>
      </c>
      <c r="P21" s="107"/>
      <c r="Q21" s="107"/>
      <c r="R21" s="108">
        <f t="shared" si="0"/>
        <v>0</v>
      </c>
    </row>
    <row r="22" spans="1:18" x14ac:dyDescent="0.25">
      <c r="A22" s="106">
        <v>2120</v>
      </c>
      <c r="B22" s="106" t="s">
        <v>292</v>
      </c>
      <c r="C22" s="106" t="s">
        <v>291</v>
      </c>
      <c r="D22" s="101" t="str">
        <f>IF(C22="","",IFERROR(INDEX(Mapping!$B$5:$B$40,MATCH(C22,Mapping!$A$5:$A$40,0)),"UNMAPPED"))</f>
        <v>BS</v>
      </c>
      <c r="E22" s="107">
        <v>-12000</v>
      </c>
      <c r="F22" s="107">
        <v>-12112</v>
      </c>
      <c r="G22" s="107">
        <v>-12178</v>
      </c>
      <c r="H22" s="107">
        <v>-12187</v>
      </c>
      <c r="I22" s="107">
        <v>-12171</v>
      </c>
      <c r="J22" s="107">
        <v>-12384</v>
      </c>
      <c r="K22" s="107">
        <v>-12257</v>
      </c>
      <c r="L22" s="107">
        <v>-12402</v>
      </c>
      <c r="M22" s="107">
        <v>-12368</v>
      </c>
      <c r="N22" s="107">
        <v>-12425</v>
      </c>
      <c r="O22" s="107">
        <v>-12498</v>
      </c>
      <c r="P22" s="107"/>
      <c r="Q22" s="107"/>
      <c r="R22" s="108">
        <f t="shared" si="0"/>
        <v>0</v>
      </c>
    </row>
    <row r="23" spans="1:18" x14ac:dyDescent="0.25">
      <c r="A23" s="106">
        <v>2130</v>
      </c>
      <c r="B23" s="106" t="s">
        <v>293</v>
      </c>
      <c r="C23" s="106" t="s">
        <v>291</v>
      </c>
      <c r="D23" s="101" t="str">
        <f>IF(C23="","",IFERROR(INDEX(Mapping!$B$5:$B$40,MATCH(C23,Mapping!$A$5:$A$40,0)),"UNMAPPED"))</f>
        <v>BS</v>
      </c>
      <c r="E23" s="107">
        <v>-2800</v>
      </c>
      <c r="F23" s="107">
        <v>-2850</v>
      </c>
      <c r="G23" s="107">
        <v>-2865</v>
      </c>
      <c r="H23" s="107">
        <v>-2868</v>
      </c>
      <c r="I23" s="107">
        <v>-2864</v>
      </c>
      <c r="J23" s="107">
        <v>-2914</v>
      </c>
      <c r="K23" s="107">
        <v>-2884</v>
      </c>
      <c r="L23" s="107">
        <v>-2918</v>
      </c>
      <c r="M23" s="107">
        <v>-2910</v>
      </c>
      <c r="N23" s="107">
        <v>-2923</v>
      </c>
      <c r="O23" s="107">
        <v>-2941</v>
      </c>
      <c r="P23" s="107"/>
      <c r="Q23" s="107"/>
      <c r="R23" s="108">
        <f t="shared" si="0"/>
        <v>0</v>
      </c>
    </row>
    <row r="24" spans="1:18" x14ac:dyDescent="0.25">
      <c r="A24" s="106">
        <v>2200</v>
      </c>
      <c r="B24" s="106" t="s">
        <v>294</v>
      </c>
      <c r="C24" s="106" t="s">
        <v>294</v>
      </c>
      <c r="D24" s="101" t="str">
        <f>IF(C24="","",IFERROR(INDEX(Mapping!$B$5:$B$40,MATCH(C24,Mapping!$A$5:$A$40,0)),"UNMAPPED"))</f>
        <v>BS</v>
      </c>
      <c r="E24" s="107">
        <v>-310000</v>
      </c>
      <c r="F24" s="107">
        <v>-335222</v>
      </c>
      <c r="G24" s="107">
        <v>-354594</v>
      </c>
      <c r="H24" s="107">
        <v>-389231</v>
      </c>
      <c r="I24" s="107">
        <v>-190348</v>
      </c>
      <c r="J24" s="107">
        <v>-238574</v>
      </c>
      <c r="K24" s="107">
        <v>-116699</v>
      </c>
      <c r="L24" s="107">
        <v>-163169</v>
      </c>
      <c r="M24" s="107">
        <v>-213354</v>
      </c>
      <c r="N24" s="107">
        <v>-103205</v>
      </c>
      <c r="O24" s="107">
        <v>-176051</v>
      </c>
      <c r="P24" s="107"/>
      <c r="Q24" s="107"/>
      <c r="R24" s="108">
        <f t="shared" si="0"/>
        <v>0</v>
      </c>
    </row>
    <row r="25" spans="1:18" x14ac:dyDescent="0.25">
      <c r="A25" s="106">
        <v>2300</v>
      </c>
      <c r="B25" s="106" t="s">
        <v>295</v>
      </c>
      <c r="C25" s="106" t="s">
        <v>296</v>
      </c>
      <c r="D25" s="101" t="str">
        <f>IF(C25="","",IFERROR(INDEX(Mapping!$B$5:$B$40,MATCH(C25,Mapping!$A$5:$A$40,0)),"UNMAPPED"))</f>
        <v>BS</v>
      </c>
      <c r="E25" s="107">
        <v>-360000</v>
      </c>
      <c r="F25" s="107">
        <v>-330000</v>
      </c>
      <c r="G25" s="107">
        <v>-300000</v>
      </c>
      <c r="H25" s="107">
        <v>-270000</v>
      </c>
      <c r="I25" s="107">
        <v>-240000</v>
      </c>
      <c r="J25" s="107">
        <v>-210000</v>
      </c>
      <c r="K25" s="107">
        <v>-180000</v>
      </c>
      <c r="L25" s="107">
        <v>-150000</v>
      </c>
      <c r="M25" s="107">
        <v>-120000</v>
      </c>
      <c r="N25" s="107">
        <v>-90000</v>
      </c>
      <c r="O25" s="107">
        <v>-60000</v>
      </c>
      <c r="P25" s="107"/>
      <c r="Q25" s="107"/>
      <c r="R25" s="108">
        <f t="shared" si="0"/>
        <v>0</v>
      </c>
    </row>
    <row r="26" spans="1:18" x14ac:dyDescent="0.25">
      <c r="A26" s="106">
        <v>2310</v>
      </c>
      <c r="B26" s="106" t="s">
        <v>297</v>
      </c>
      <c r="C26" s="106" t="s">
        <v>297</v>
      </c>
      <c r="D26" s="101" t="str">
        <f>IF(C26="","",IFERROR(INDEX(Mapping!$B$5:$B$40,MATCH(C26,Mapping!$A$5:$A$40,0)),"UNMAPPED"))</f>
        <v>BS</v>
      </c>
      <c r="E26" s="107">
        <v>0</v>
      </c>
      <c r="F26" s="107">
        <v>0</v>
      </c>
      <c r="G26" s="107">
        <v>0</v>
      </c>
      <c r="H26" s="107">
        <v>0</v>
      </c>
      <c r="I26" s="107">
        <v>0</v>
      </c>
      <c r="J26" s="107">
        <v>0</v>
      </c>
      <c r="K26" s="107">
        <v>0</v>
      </c>
      <c r="L26" s="107">
        <v>0</v>
      </c>
      <c r="M26" s="107">
        <v>0</v>
      </c>
      <c r="N26" s="107">
        <v>0</v>
      </c>
      <c r="O26" s="107">
        <v>0</v>
      </c>
      <c r="P26" s="107"/>
      <c r="Q26" s="107"/>
      <c r="R26" s="108">
        <f t="shared" si="0"/>
        <v>0</v>
      </c>
    </row>
    <row r="27" spans="1:18" x14ac:dyDescent="0.25">
      <c r="A27" s="106">
        <v>2400</v>
      </c>
      <c r="B27" s="106" t="s">
        <v>298</v>
      </c>
      <c r="C27" s="106" t="s">
        <v>299</v>
      </c>
      <c r="D27" s="101" t="str">
        <f>IF(C27="","",IFERROR(INDEX(Mapping!$B$5:$B$40,MATCH(C27,Mapping!$A$5:$A$40,0)),"UNMAPPED"))</f>
        <v>BS</v>
      </c>
      <c r="E27" s="107">
        <v>-1980000</v>
      </c>
      <c r="F27" s="107">
        <v>-1950000</v>
      </c>
      <c r="G27" s="107">
        <v>-1920000</v>
      </c>
      <c r="H27" s="107">
        <v>-1890000</v>
      </c>
      <c r="I27" s="107">
        <v>-1860000</v>
      </c>
      <c r="J27" s="107">
        <v>-1830000</v>
      </c>
      <c r="K27" s="107">
        <v>-1800000</v>
      </c>
      <c r="L27" s="107">
        <v>-1770000</v>
      </c>
      <c r="M27" s="107">
        <v>-1740000</v>
      </c>
      <c r="N27" s="107">
        <v>-1710000</v>
      </c>
      <c r="O27" s="107">
        <v>-1680000</v>
      </c>
      <c r="P27" s="107"/>
      <c r="Q27" s="107"/>
      <c r="R27" s="108">
        <f t="shared" si="0"/>
        <v>0</v>
      </c>
    </row>
    <row r="28" spans="1:18" x14ac:dyDescent="0.25">
      <c r="A28" s="106">
        <v>2500</v>
      </c>
      <c r="B28" s="106" t="s">
        <v>300</v>
      </c>
      <c r="C28" s="106" t="s">
        <v>301</v>
      </c>
      <c r="D28" s="101" t="str">
        <f>IF(C28="","",IFERROR(INDEX(Mapping!$B$5:$B$40,MATCH(C28,Mapping!$A$5:$A$40,0)),"UNMAPPED"))</f>
        <v>BS</v>
      </c>
      <c r="E28" s="107">
        <v>-450000</v>
      </c>
      <c r="F28" s="107">
        <v>-450000</v>
      </c>
      <c r="G28" s="107">
        <v>-450000</v>
      </c>
      <c r="H28" s="107">
        <v>-450000</v>
      </c>
      <c r="I28" s="107">
        <v>-450000</v>
      </c>
      <c r="J28" s="107">
        <v>-450000</v>
      </c>
      <c r="K28" s="107">
        <v>-450000</v>
      </c>
      <c r="L28" s="107">
        <v>-400000</v>
      </c>
      <c r="M28" s="107">
        <v>-400000</v>
      </c>
      <c r="N28" s="107">
        <v>-400000</v>
      </c>
      <c r="O28" s="107">
        <v>-400000</v>
      </c>
      <c r="P28" s="107"/>
      <c r="Q28" s="107"/>
      <c r="R28" s="108">
        <f t="shared" si="0"/>
        <v>0</v>
      </c>
    </row>
    <row r="29" spans="1:18" x14ac:dyDescent="0.25">
      <c r="A29" s="106">
        <v>3000</v>
      </c>
      <c r="B29" s="106" t="s">
        <v>302</v>
      </c>
      <c r="C29" s="106" t="s">
        <v>302</v>
      </c>
      <c r="D29" s="101" t="str">
        <f>IF(C29="","",IFERROR(INDEX(Mapping!$B$5:$B$40,MATCH(C29,Mapping!$A$5:$A$40,0)),"UNMAPPED"))</f>
        <v>BS</v>
      </c>
      <c r="E29" s="107">
        <v>-1000</v>
      </c>
      <c r="F29" s="107">
        <v>-1000</v>
      </c>
      <c r="G29" s="107">
        <v>-1000</v>
      </c>
      <c r="H29" s="107">
        <v>-1000</v>
      </c>
      <c r="I29" s="107">
        <v>-1000</v>
      </c>
      <c r="J29" s="107">
        <v>-1000</v>
      </c>
      <c r="K29" s="107">
        <v>-1000</v>
      </c>
      <c r="L29" s="107">
        <v>-1000</v>
      </c>
      <c r="M29" s="107">
        <v>-1000</v>
      </c>
      <c r="N29" s="107">
        <v>-1000</v>
      </c>
      <c r="O29" s="107">
        <v>-1000</v>
      </c>
      <c r="P29" s="107"/>
      <c r="Q29" s="107"/>
      <c r="R29" s="108">
        <f t="shared" si="0"/>
        <v>0</v>
      </c>
    </row>
    <row r="30" spans="1:18" x14ac:dyDescent="0.25">
      <c r="A30" s="106">
        <v>3100</v>
      </c>
      <c r="B30" s="106" t="s">
        <v>303</v>
      </c>
      <c r="C30" s="106" t="s">
        <v>304</v>
      </c>
      <c r="D30" s="101" t="str">
        <f>IF(C30="","",IFERROR(INDEX(Mapping!$B$5:$B$40,MATCH(C30,Mapping!$A$5:$A$40,0)),"UNMAPPED"))</f>
        <v>BS</v>
      </c>
      <c r="E30" s="107">
        <v>-4402700</v>
      </c>
      <c r="F30" s="107">
        <v>-4402700</v>
      </c>
      <c r="G30" s="107">
        <v>-4402700</v>
      </c>
      <c r="H30" s="107">
        <v>-4402700</v>
      </c>
      <c r="I30" s="107">
        <v>-4402700</v>
      </c>
      <c r="J30" s="107">
        <v>-4402700</v>
      </c>
      <c r="K30" s="107">
        <v>-4402700</v>
      </c>
      <c r="L30" s="107">
        <v>-4402700</v>
      </c>
      <c r="M30" s="107">
        <v>-4402700</v>
      </c>
      <c r="N30" s="107">
        <v>-4402700</v>
      </c>
      <c r="O30" s="107">
        <v>-4402700</v>
      </c>
      <c r="P30" s="107"/>
      <c r="Q30" s="107"/>
      <c r="R30" s="108">
        <f t="shared" si="0"/>
        <v>0</v>
      </c>
    </row>
    <row r="31" spans="1:18" x14ac:dyDescent="0.25">
      <c r="A31" s="106">
        <v>3200</v>
      </c>
      <c r="B31" s="106" t="s">
        <v>305</v>
      </c>
      <c r="C31" s="106" t="s">
        <v>306</v>
      </c>
      <c r="D31" s="101" t="str">
        <f>IF(C31="","",IFERROR(INDEX(Mapping!$B$5:$B$40,MATCH(C31,Mapping!$A$5:$A$40,0)),"UNMAPPED"))</f>
        <v>BS</v>
      </c>
      <c r="E31" s="107">
        <v>0</v>
      </c>
      <c r="F31" s="107">
        <v>0</v>
      </c>
      <c r="G31" s="107">
        <v>0</v>
      </c>
      <c r="H31" s="107">
        <v>0</v>
      </c>
      <c r="I31" s="107">
        <v>0</v>
      </c>
      <c r="J31" s="107">
        <v>260000</v>
      </c>
      <c r="K31" s="107">
        <v>260000</v>
      </c>
      <c r="L31" s="107">
        <v>260000</v>
      </c>
      <c r="M31" s="107">
        <v>260000</v>
      </c>
      <c r="N31" s="107">
        <v>260000</v>
      </c>
      <c r="O31" s="107">
        <v>260000</v>
      </c>
      <c r="P31" s="107"/>
      <c r="Q31" s="107"/>
      <c r="R31" s="108">
        <f t="shared" si="0"/>
        <v>0</v>
      </c>
    </row>
    <row r="32" spans="1:18" x14ac:dyDescent="0.25">
      <c r="A32" s="106">
        <v>4000</v>
      </c>
      <c r="B32" s="106" t="s">
        <v>307</v>
      </c>
      <c r="C32" s="106" t="s">
        <v>7</v>
      </c>
      <c r="D32" s="101" t="str">
        <f>IF(C32="","",IFERROR(INDEX(Mapping!$B$5:$B$40,MATCH(C32,Mapping!$A$5:$A$40,0)),"UNMAPPED"))</f>
        <v>IS</v>
      </c>
      <c r="E32" s="107"/>
      <c r="F32" s="107">
        <v>-1082249</v>
      </c>
      <c r="G32" s="107">
        <v>-2153159</v>
      </c>
      <c r="H32" s="107">
        <v>-3318530</v>
      </c>
      <c r="I32" s="107">
        <v>-4517787</v>
      </c>
      <c r="J32" s="107">
        <v>-5753650</v>
      </c>
      <c r="K32" s="107">
        <v>-6979073</v>
      </c>
      <c r="L32" s="107">
        <v>-8205749</v>
      </c>
      <c r="M32" s="107">
        <v>-9471850</v>
      </c>
      <c r="N32" s="107">
        <v>-10791812</v>
      </c>
      <c r="O32" s="107">
        <v>-12167892</v>
      </c>
      <c r="P32" s="107"/>
      <c r="Q32" s="107"/>
      <c r="R32" s="108">
        <f t="shared" si="0"/>
        <v>0</v>
      </c>
    </row>
    <row r="33" spans="1:18" x14ac:dyDescent="0.25">
      <c r="A33" s="106">
        <v>4010</v>
      </c>
      <c r="B33" s="106" t="s">
        <v>308</v>
      </c>
      <c r="C33" s="106" t="s">
        <v>7</v>
      </c>
      <c r="D33" s="101" t="str">
        <f>IF(C33="","",IFERROR(INDEX(Mapping!$B$5:$B$40,MATCH(C33,Mapping!$A$5:$A$40,0)),"UNMAPPED"))</f>
        <v>IS</v>
      </c>
      <c r="E33" s="107"/>
      <c r="F33" s="107">
        <v>-509294</v>
      </c>
      <c r="G33" s="107">
        <v>-1013251</v>
      </c>
      <c r="H33" s="107">
        <v>-1561661</v>
      </c>
      <c r="I33" s="107">
        <v>-2126018</v>
      </c>
      <c r="J33" s="107">
        <v>-2707600</v>
      </c>
      <c r="K33" s="107">
        <v>-3284270</v>
      </c>
      <c r="L33" s="107">
        <v>-3861529</v>
      </c>
      <c r="M33" s="107">
        <v>-4457341</v>
      </c>
      <c r="N33" s="107">
        <v>-5078500</v>
      </c>
      <c r="O33" s="107">
        <v>-5726067</v>
      </c>
      <c r="P33" s="107"/>
      <c r="Q33" s="107"/>
      <c r="R33" s="108">
        <f t="shared" si="0"/>
        <v>0</v>
      </c>
    </row>
    <row r="34" spans="1:18" x14ac:dyDescent="0.25">
      <c r="A34" s="106">
        <v>4900</v>
      </c>
      <c r="B34" s="106" t="s">
        <v>309</v>
      </c>
      <c r="C34" s="106" t="s">
        <v>11</v>
      </c>
      <c r="D34" s="101" t="str">
        <f>IF(C34="","",IFERROR(INDEX(Mapping!$B$5:$B$40,MATCH(C34,Mapping!$A$5:$A$40,0)),"UNMAPPED"))</f>
        <v>IS</v>
      </c>
      <c r="E34" s="107"/>
      <c r="F34" s="107">
        <v>-7422</v>
      </c>
      <c r="G34" s="107">
        <v>-13270</v>
      </c>
      <c r="H34" s="107">
        <v>-20014</v>
      </c>
      <c r="I34" s="107">
        <v>-25499</v>
      </c>
      <c r="J34" s="107">
        <v>-30701</v>
      </c>
      <c r="K34" s="107">
        <v>-36434</v>
      </c>
      <c r="L34" s="107">
        <v>-41413</v>
      </c>
      <c r="M34" s="107">
        <v>-47158</v>
      </c>
      <c r="N34" s="107">
        <v>-53158</v>
      </c>
      <c r="O34" s="107">
        <v>-58997</v>
      </c>
      <c r="P34" s="107"/>
      <c r="Q34" s="107"/>
      <c r="R34" s="108">
        <f t="shared" si="0"/>
        <v>0</v>
      </c>
    </row>
    <row r="35" spans="1:18" x14ac:dyDescent="0.25">
      <c r="A35" s="106">
        <v>4950</v>
      </c>
      <c r="B35" s="106" t="s">
        <v>310</v>
      </c>
      <c r="C35" s="106" t="s">
        <v>27</v>
      </c>
      <c r="D35" s="101" t="str">
        <f>IF(C35="","",IFERROR(INDEX(Mapping!$B$5:$B$40,MATCH(C35,Mapping!$A$5:$A$40,0)),"UNMAPPED"))</f>
        <v>IS</v>
      </c>
      <c r="E35" s="107"/>
      <c r="F35" s="107">
        <v>-1428</v>
      </c>
      <c r="G35" s="107">
        <v>-2861</v>
      </c>
      <c r="H35" s="107">
        <v>-4299</v>
      </c>
      <c r="I35" s="107">
        <v>-5741</v>
      </c>
      <c r="J35" s="107">
        <v>-7189</v>
      </c>
      <c r="K35" s="107">
        <v>-8641</v>
      </c>
      <c r="L35" s="107">
        <v>-10099</v>
      </c>
      <c r="M35" s="107">
        <v>-11561</v>
      </c>
      <c r="N35" s="107">
        <v>-13028</v>
      </c>
      <c r="O35" s="107">
        <v>-14500</v>
      </c>
      <c r="P35" s="107"/>
      <c r="Q35" s="107"/>
      <c r="R35" s="108">
        <f t="shared" si="0"/>
        <v>0</v>
      </c>
    </row>
    <row r="36" spans="1:18" x14ac:dyDescent="0.25">
      <c r="A36" s="106">
        <v>5000</v>
      </c>
      <c r="B36" s="106" t="s">
        <v>311</v>
      </c>
      <c r="C36" s="106" t="s">
        <v>8</v>
      </c>
      <c r="D36" s="101" t="str">
        <f>IF(C36="","",IFERROR(INDEX(Mapping!$B$5:$B$40,MATCH(C36,Mapping!$A$5:$A$40,0)),"UNMAPPED"))</f>
        <v>IS</v>
      </c>
      <c r="E36" s="107"/>
      <c r="F36" s="107">
        <v>611471</v>
      </c>
      <c r="G36" s="107">
        <v>1217411</v>
      </c>
      <c r="H36" s="107">
        <v>1877753</v>
      </c>
      <c r="I36" s="107">
        <v>2558277</v>
      </c>
      <c r="J36" s="107">
        <v>3260584</v>
      </c>
      <c r="K36" s="107">
        <v>3957961</v>
      </c>
      <c r="L36" s="107">
        <v>4657055</v>
      </c>
      <c r="M36" s="107">
        <v>5379653</v>
      </c>
      <c r="N36" s="107">
        <v>6134071</v>
      </c>
      <c r="O36" s="107">
        <v>6921690</v>
      </c>
      <c r="P36" s="107"/>
      <c r="Q36" s="107"/>
      <c r="R36" s="108">
        <f t="shared" si="0"/>
        <v>0</v>
      </c>
    </row>
    <row r="37" spans="1:18" x14ac:dyDescent="0.25">
      <c r="A37" s="106">
        <v>5010</v>
      </c>
      <c r="B37" s="106" t="s">
        <v>312</v>
      </c>
      <c r="C37" s="106" t="s">
        <v>8</v>
      </c>
      <c r="D37" s="101" t="str">
        <f>IF(C37="","",IFERROR(INDEX(Mapping!$B$5:$B$40,MATCH(C37,Mapping!$A$5:$A$40,0)),"UNMAPPED"))</f>
        <v>IS</v>
      </c>
      <c r="E37" s="107"/>
      <c r="F37" s="107">
        <v>152788</v>
      </c>
      <c r="G37" s="107">
        <v>303975</v>
      </c>
      <c r="H37" s="107">
        <v>468498</v>
      </c>
      <c r="I37" s="107">
        <v>637805</v>
      </c>
      <c r="J37" s="107">
        <v>812280</v>
      </c>
      <c r="K37" s="107">
        <v>985281</v>
      </c>
      <c r="L37" s="107">
        <v>1158459</v>
      </c>
      <c r="M37" s="107">
        <v>1337202</v>
      </c>
      <c r="N37" s="107">
        <v>1523550</v>
      </c>
      <c r="O37" s="107">
        <v>1717820</v>
      </c>
      <c r="P37" s="107"/>
      <c r="Q37" s="107"/>
      <c r="R37" s="108">
        <f t="shared" si="0"/>
        <v>0</v>
      </c>
    </row>
    <row r="38" spans="1:18" x14ac:dyDescent="0.25">
      <c r="A38" s="106">
        <v>5020</v>
      </c>
      <c r="B38" s="106" t="s">
        <v>313</v>
      </c>
      <c r="C38" s="106" t="s">
        <v>8</v>
      </c>
      <c r="D38" s="101" t="str">
        <f>IF(C38="","",IFERROR(INDEX(Mapping!$B$5:$B$40,MATCH(C38,Mapping!$A$5:$A$40,0)),"UNMAPPED"))</f>
        <v>IS</v>
      </c>
      <c r="E38" s="107"/>
      <c r="F38" s="107">
        <v>41125</v>
      </c>
      <c r="G38" s="107">
        <v>82404</v>
      </c>
      <c r="H38" s="107">
        <v>127960</v>
      </c>
      <c r="I38" s="107">
        <v>175494</v>
      </c>
      <c r="J38" s="107">
        <v>225153</v>
      </c>
      <c r="K38" s="107">
        <v>275061</v>
      </c>
      <c r="L38" s="107">
        <v>325689</v>
      </c>
      <c r="M38" s="107">
        <v>378635</v>
      </c>
      <c r="N38" s="107">
        <v>434554</v>
      </c>
      <c r="O38" s="107">
        <v>493600</v>
      </c>
      <c r="P38" s="107"/>
      <c r="Q38" s="107"/>
      <c r="R38" s="108">
        <f t="shared" si="0"/>
        <v>0</v>
      </c>
    </row>
    <row r="39" spans="1:18" x14ac:dyDescent="0.25">
      <c r="A39" s="106">
        <v>6000</v>
      </c>
      <c r="B39" s="106" t="s">
        <v>314</v>
      </c>
      <c r="C39" s="106" t="s">
        <v>315</v>
      </c>
      <c r="D39" s="101" t="str">
        <f>IF(C39="","",IFERROR(INDEX(Mapping!$B$5:$B$40,MATCH(C39,Mapping!$A$5:$A$40,0)),"UNMAPPED"))</f>
        <v>IS</v>
      </c>
      <c r="E39" s="107"/>
      <c r="F39" s="107">
        <v>316648</v>
      </c>
      <c r="G39" s="107">
        <v>635019</v>
      </c>
      <c r="H39" s="107">
        <v>953643</v>
      </c>
      <c r="I39" s="107">
        <v>1271828</v>
      </c>
      <c r="J39" s="107">
        <v>1595600</v>
      </c>
      <c r="K39" s="107">
        <v>1916042</v>
      </c>
      <c r="L39" s="107">
        <v>2240289</v>
      </c>
      <c r="M39" s="107">
        <v>2563641</v>
      </c>
      <c r="N39" s="107">
        <v>2888467</v>
      </c>
      <c r="O39" s="107">
        <v>3215217</v>
      </c>
      <c r="P39" s="107"/>
      <c r="Q39" s="107"/>
      <c r="R39" s="108">
        <f t="shared" si="0"/>
        <v>0</v>
      </c>
    </row>
    <row r="40" spans="1:18" x14ac:dyDescent="0.25">
      <c r="A40" s="106">
        <v>6010</v>
      </c>
      <c r="B40" s="106" t="s">
        <v>316</v>
      </c>
      <c r="C40" s="106" t="s">
        <v>315</v>
      </c>
      <c r="D40" s="101" t="str">
        <f>IF(C40="","",IFERROR(INDEX(Mapping!$B$5:$B$40,MATCH(C40,Mapping!$A$5:$A$40,0)),"UNMAPPED"))</f>
        <v>IS</v>
      </c>
      <c r="E40" s="107"/>
      <c r="F40" s="107">
        <v>26564</v>
      </c>
      <c r="G40" s="107">
        <v>53159</v>
      </c>
      <c r="H40" s="107">
        <v>80004</v>
      </c>
      <c r="I40" s="107">
        <v>106783</v>
      </c>
      <c r="J40" s="107">
        <v>133485</v>
      </c>
      <c r="K40" s="107">
        <v>160344</v>
      </c>
      <c r="L40" s="107">
        <v>187347</v>
      </c>
      <c r="M40" s="107">
        <v>214511</v>
      </c>
      <c r="N40" s="107">
        <v>241521</v>
      </c>
      <c r="O40" s="107">
        <v>268345</v>
      </c>
      <c r="P40" s="107"/>
      <c r="Q40" s="107"/>
      <c r="R40" s="108">
        <f t="shared" si="0"/>
        <v>0</v>
      </c>
    </row>
    <row r="41" spans="1:18" x14ac:dyDescent="0.25">
      <c r="A41" s="106">
        <v>6020</v>
      </c>
      <c r="B41" s="106" t="s">
        <v>317</v>
      </c>
      <c r="C41" s="106" t="s">
        <v>315</v>
      </c>
      <c r="D41" s="101" t="str">
        <f>IF(C41="","",IFERROR(INDEX(Mapping!$B$5:$B$40,MATCH(C41,Mapping!$A$5:$A$40,0)),"UNMAPPED"))</f>
        <v>IS</v>
      </c>
      <c r="E41" s="107"/>
      <c r="F41" s="107">
        <v>7264</v>
      </c>
      <c r="G41" s="107">
        <v>10823</v>
      </c>
      <c r="H41" s="107">
        <v>17970</v>
      </c>
      <c r="I41" s="107">
        <v>24632</v>
      </c>
      <c r="J41" s="107">
        <v>29630</v>
      </c>
      <c r="K41" s="107">
        <v>35823</v>
      </c>
      <c r="L41" s="107">
        <v>43780</v>
      </c>
      <c r="M41" s="107">
        <v>52275</v>
      </c>
      <c r="N41" s="107">
        <v>60706</v>
      </c>
      <c r="O41" s="107">
        <v>66142</v>
      </c>
      <c r="P41" s="107"/>
      <c r="Q41" s="107"/>
      <c r="R41" s="108">
        <f t="shared" si="0"/>
        <v>0</v>
      </c>
    </row>
    <row r="42" spans="1:18" x14ac:dyDescent="0.25">
      <c r="A42" s="106">
        <v>6100</v>
      </c>
      <c r="B42" s="106" t="s">
        <v>318</v>
      </c>
      <c r="C42" s="106" t="s">
        <v>319</v>
      </c>
      <c r="D42" s="101" t="str">
        <f>IF(C42="","",IFERROR(INDEX(Mapping!$B$5:$B$40,MATCH(C42,Mapping!$A$5:$A$40,0)),"UNMAPPED"))</f>
        <v>IS</v>
      </c>
      <c r="E42" s="107"/>
      <c r="F42" s="107">
        <v>64000</v>
      </c>
      <c r="G42" s="107">
        <v>128192</v>
      </c>
      <c r="H42" s="107">
        <v>192576</v>
      </c>
      <c r="I42" s="107">
        <v>257152</v>
      </c>
      <c r="J42" s="107">
        <v>321920</v>
      </c>
      <c r="K42" s="107">
        <v>386880</v>
      </c>
      <c r="L42" s="107">
        <v>452032</v>
      </c>
      <c r="M42" s="107">
        <v>517376</v>
      </c>
      <c r="N42" s="107">
        <v>582912</v>
      </c>
      <c r="O42" s="107">
        <v>648640</v>
      </c>
      <c r="P42" s="107"/>
      <c r="Q42" s="107"/>
      <c r="R42" s="108">
        <f t="shared" si="0"/>
        <v>0</v>
      </c>
    </row>
    <row r="43" spans="1:18" x14ac:dyDescent="0.25">
      <c r="A43" s="106">
        <v>6110</v>
      </c>
      <c r="B43" s="106" t="s">
        <v>320</v>
      </c>
      <c r="C43" s="106" t="s">
        <v>319</v>
      </c>
      <c r="D43" s="101" t="str">
        <f>IF(C43="","",IFERROR(INDEX(Mapping!$B$5:$B$40,MATCH(C43,Mapping!$A$5:$A$40,0)),"UNMAPPED"))</f>
        <v>IS</v>
      </c>
      <c r="E43" s="107"/>
      <c r="F43" s="107">
        <v>11500</v>
      </c>
      <c r="G43" s="107">
        <v>23034</v>
      </c>
      <c r="H43" s="107">
        <v>34604</v>
      </c>
      <c r="I43" s="107">
        <v>46207</v>
      </c>
      <c r="J43" s="107">
        <v>57845</v>
      </c>
      <c r="K43" s="107">
        <v>69518</v>
      </c>
      <c r="L43" s="107">
        <v>81224</v>
      </c>
      <c r="M43" s="107">
        <v>92966</v>
      </c>
      <c r="N43" s="107">
        <v>104742</v>
      </c>
      <c r="O43" s="107">
        <v>116552</v>
      </c>
      <c r="P43" s="107"/>
      <c r="Q43" s="107"/>
      <c r="R43" s="108">
        <f t="shared" si="0"/>
        <v>0</v>
      </c>
    </row>
    <row r="44" spans="1:18" x14ac:dyDescent="0.25">
      <c r="A44" s="106">
        <v>6200</v>
      </c>
      <c r="B44" s="106" t="s">
        <v>321</v>
      </c>
      <c r="C44" s="106" t="s">
        <v>322</v>
      </c>
      <c r="D44" s="101" t="str">
        <f>IF(C44="","",IFERROR(INDEX(Mapping!$B$5:$B$40,MATCH(C44,Mapping!$A$5:$A$40,0)),"UNMAPPED"))</f>
        <v>IS</v>
      </c>
      <c r="E44" s="107"/>
      <c r="F44" s="107">
        <v>55340</v>
      </c>
      <c r="G44" s="107">
        <v>105954</v>
      </c>
      <c r="H44" s="107">
        <v>154872</v>
      </c>
      <c r="I44" s="107">
        <v>200217</v>
      </c>
      <c r="J44" s="107">
        <v>246745</v>
      </c>
      <c r="K44" s="107">
        <v>294649</v>
      </c>
      <c r="L44" s="107">
        <v>339170</v>
      </c>
      <c r="M44" s="107">
        <v>376081</v>
      </c>
      <c r="N44" s="107">
        <v>428091</v>
      </c>
      <c r="O44" s="107">
        <v>469406</v>
      </c>
      <c r="P44" s="107"/>
      <c r="Q44" s="107"/>
      <c r="R44" s="108">
        <f t="shared" si="0"/>
        <v>0</v>
      </c>
    </row>
    <row r="45" spans="1:18" x14ac:dyDescent="0.25">
      <c r="A45" s="106">
        <v>6210</v>
      </c>
      <c r="B45" s="106" t="s">
        <v>323</v>
      </c>
      <c r="C45" s="106" t="s">
        <v>322</v>
      </c>
      <c r="D45" s="101" t="str">
        <f>IF(C45="","",IFERROR(INDEX(Mapping!$B$5:$B$40,MATCH(C45,Mapping!$A$5:$A$40,0)),"UNMAPPED"))</f>
        <v>IS</v>
      </c>
      <c r="E45" s="107"/>
      <c r="F45" s="107">
        <v>24011</v>
      </c>
      <c r="G45" s="107">
        <v>57295</v>
      </c>
      <c r="H45" s="107">
        <v>84204</v>
      </c>
      <c r="I45" s="107">
        <v>115622</v>
      </c>
      <c r="J45" s="107">
        <v>148748</v>
      </c>
      <c r="K45" s="107">
        <v>181204</v>
      </c>
      <c r="L45" s="107">
        <v>209125</v>
      </c>
      <c r="M45" s="107">
        <v>238495</v>
      </c>
      <c r="N45" s="107">
        <v>275686</v>
      </c>
      <c r="O45" s="107">
        <v>298566</v>
      </c>
      <c r="P45" s="107"/>
      <c r="Q45" s="107"/>
      <c r="R45" s="108">
        <f t="shared" si="0"/>
        <v>0</v>
      </c>
    </row>
    <row r="46" spans="1:18" x14ac:dyDescent="0.25">
      <c r="A46" s="106">
        <v>6300</v>
      </c>
      <c r="B46" s="106" t="s">
        <v>324</v>
      </c>
      <c r="C46" s="106" t="s">
        <v>325</v>
      </c>
      <c r="D46" s="101" t="str">
        <f>IF(C46="","",IFERROR(INDEX(Mapping!$B$5:$B$40,MATCH(C46,Mapping!$A$5:$A$40,0)),"UNMAPPED"))</f>
        <v>IS</v>
      </c>
      <c r="E46" s="107"/>
      <c r="F46" s="107">
        <v>9000</v>
      </c>
      <c r="G46" s="107">
        <v>18027</v>
      </c>
      <c r="H46" s="107">
        <v>27081</v>
      </c>
      <c r="I46" s="107">
        <v>36162</v>
      </c>
      <c r="J46" s="107">
        <v>45270</v>
      </c>
      <c r="K46" s="107">
        <v>54405</v>
      </c>
      <c r="L46" s="107">
        <v>63567</v>
      </c>
      <c r="M46" s="107">
        <v>72756</v>
      </c>
      <c r="N46" s="107">
        <v>81972</v>
      </c>
      <c r="O46" s="107">
        <v>91215</v>
      </c>
      <c r="P46" s="107"/>
      <c r="Q46" s="107"/>
      <c r="R46" s="108">
        <f t="shared" si="0"/>
        <v>0</v>
      </c>
    </row>
    <row r="47" spans="1:18" x14ac:dyDescent="0.25">
      <c r="A47" s="106">
        <v>6310</v>
      </c>
      <c r="B47" s="106" t="s">
        <v>326</v>
      </c>
      <c r="C47" s="106" t="s">
        <v>325</v>
      </c>
      <c r="D47" s="101" t="str">
        <f>IF(C47="","",IFERROR(INDEX(Mapping!$B$5:$B$40,MATCH(C47,Mapping!$A$5:$A$40,0)),"UNMAPPED"))</f>
        <v>IS</v>
      </c>
      <c r="E47" s="107"/>
      <c r="F47" s="107">
        <v>7426</v>
      </c>
      <c r="G47" s="107">
        <v>12975</v>
      </c>
      <c r="H47" s="107">
        <v>17477</v>
      </c>
      <c r="I47" s="107">
        <v>25852</v>
      </c>
      <c r="J47" s="107">
        <v>27374</v>
      </c>
      <c r="K47" s="107">
        <v>34184</v>
      </c>
      <c r="L47" s="107">
        <v>39767</v>
      </c>
      <c r="M47" s="107">
        <v>46695</v>
      </c>
      <c r="N47" s="107">
        <v>54639</v>
      </c>
      <c r="O47" s="107">
        <v>58374</v>
      </c>
      <c r="P47" s="107"/>
      <c r="Q47" s="107"/>
      <c r="R47" s="108">
        <f t="shared" si="0"/>
        <v>0</v>
      </c>
    </row>
    <row r="48" spans="1:18" x14ac:dyDescent="0.25">
      <c r="A48" s="106">
        <v>6320</v>
      </c>
      <c r="B48" s="106" t="s">
        <v>327</v>
      </c>
      <c r="C48" s="106" t="s">
        <v>325</v>
      </c>
      <c r="D48" s="101" t="str">
        <f>IF(C48="","",IFERROR(INDEX(Mapping!$B$5:$B$40,MATCH(C48,Mapping!$A$5:$A$40,0)),"UNMAPPED"))</f>
        <v>IS</v>
      </c>
      <c r="E48" s="107"/>
      <c r="F48" s="107">
        <v>7379</v>
      </c>
      <c r="G48" s="107">
        <v>16921</v>
      </c>
      <c r="H48" s="107">
        <v>34970</v>
      </c>
      <c r="I48" s="107">
        <v>38748</v>
      </c>
      <c r="J48" s="107">
        <v>44240</v>
      </c>
      <c r="K48" s="107">
        <v>58837</v>
      </c>
      <c r="L48" s="107">
        <v>68585</v>
      </c>
      <c r="M48" s="107">
        <v>74166</v>
      </c>
      <c r="N48" s="107">
        <v>84447</v>
      </c>
      <c r="O48" s="107">
        <v>92599</v>
      </c>
      <c r="P48" s="107"/>
      <c r="Q48" s="107"/>
      <c r="R48" s="108">
        <f t="shared" si="0"/>
        <v>0</v>
      </c>
    </row>
    <row r="49" spans="1:18" x14ac:dyDescent="0.25">
      <c r="A49" s="106">
        <v>6400</v>
      </c>
      <c r="B49" s="106" t="s">
        <v>328</v>
      </c>
      <c r="C49" s="106" t="s">
        <v>329</v>
      </c>
      <c r="D49" s="101" t="str">
        <f>IF(C49="","",IFERROR(INDEX(Mapping!$B$5:$B$40,MATCH(C49,Mapping!$A$5:$A$40,0)),"UNMAPPED"))</f>
        <v>IS</v>
      </c>
      <c r="E49" s="107"/>
      <c r="F49" s="107">
        <v>6290</v>
      </c>
      <c r="G49" s="107">
        <v>11514</v>
      </c>
      <c r="H49" s="107">
        <v>17779</v>
      </c>
      <c r="I49" s="107">
        <v>23120</v>
      </c>
      <c r="J49" s="107">
        <v>30814</v>
      </c>
      <c r="K49" s="107">
        <v>38207</v>
      </c>
      <c r="L49" s="107">
        <v>44093</v>
      </c>
      <c r="M49" s="107">
        <v>50510</v>
      </c>
      <c r="N49" s="107">
        <v>56479</v>
      </c>
      <c r="O49" s="107">
        <v>62322</v>
      </c>
      <c r="P49" s="107"/>
      <c r="Q49" s="107"/>
      <c r="R49" s="108">
        <f t="shared" si="0"/>
        <v>0</v>
      </c>
    </row>
    <row r="50" spans="1:18" x14ac:dyDescent="0.25">
      <c r="A50" s="106">
        <v>6410</v>
      </c>
      <c r="B50" s="106" t="s">
        <v>330</v>
      </c>
      <c r="C50" s="106" t="s">
        <v>329</v>
      </c>
      <c r="D50" s="101" t="str">
        <f>IF(C50="","",IFERROR(INDEX(Mapping!$B$5:$B$40,MATCH(C50,Mapping!$A$5:$A$40,0)),"UNMAPPED"))</f>
        <v>IS</v>
      </c>
      <c r="E50" s="107"/>
      <c r="F50" s="107">
        <v>5994</v>
      </c>
      <c r="G50" s="107">
        <v>11916</v>
      </c>
      <c r="H50" s="107">
        <v>17477</v>
      </c>
      <c r="I50" s="107">
        <v>21870</v>
      </c>
      <c r="J50" s="107">
        <v>29510</v>
      </c>
      <c r="K50" s="107">
        <v>35655</v>
      </c>
      <c r="L50" s="107">
        <v>40845</v>
      </c>
      <c r="M50" s="107">
        <v>47613</v>
      </c>
      <c r="N50" s="107">
        <v>52266</v>
      </c>
      <c r="O50" s="107">
        <v>56361</v>
      </c>
      <c r="P50" s="107"/>
      <c r="Q50" s="107"/>
      <c r="R50" s="108">
        <f t="shared" si="0"/>
        <v>0</v>
      </c>
    </row>
    <row r="51" spans="1:18" x14ac:dyDescent="0.25">
      <c r="A51" s="106">
        <v>6420</v>
      </c>
      <c r="B51" s="106" t="s">
        <v>331</v>
      </c>
      <c r="C51" s="106" t="s">
        <v>329</v>
      </c>
      <c r="D51" s="101" t="str">
        <f>IF(C51="","",IFERROR(INDEX(Mapping!$B$5:$B$40,MATCH(C51,Mapping!$A$5:$A$40,0)),"UNMAPPED"))</f>
        <v>IS</v>
      </c>
      <c r="E51" s="107"/>
      <c r="F51" s="107">
        <v>14301</v>
      </c>
      <c r="G51" s="107">
        <v>36322</v>
      </c>
      <c r="H51" s="107">
        <v>57065</v>
      </c>
      <c r="I51" s="107">
        <v>81293</v>
      </c>
      <c r="J51" s="107">
        <v>101421</v>
      </c>
      <c r="K51" s="107">
        <v>119467</v>
      </c>
      <c r="L51" s="107">
        <v>137520</v>
      </c>
      <c r="M51" s="107">
        <v>162006</v>
      </c>
      <c r="N51" s="107">
        <v>177415</v>
      </c>
      <c r="O51" s="107">
        <v>190973</v>
      </c>
      <c r="P51" s="107"/>
      <c r="Q51" s="107"/>
      <c r="R51" s="108">
        <f t="shared" si="0"/>
        <v>0</v>
      </c>
    </row>
    <row r="52" spans="1:18" x14ac:dyDescent="0.25">
      <c r="A52" s="106">
        <v>6500</v>
      </c>
      <c r="B52" s="106" t="s">
        <v>332</v>
      </c>
      <c r="C52" s="106" t="s">
        <v>333</v>
      </c>
      <c r="D52" s="101" t="str">
        <f>IF(C52="","",IFERROR(INDEX(Mapping!$B$5:$B$40,MATCH(C52,Mapping!$A$5:$A$40,0)),"UNMAPPED"))</f>
        <v>IS</v>
      </c>
      <c r="E52" s="107"/>
      <c r="F52" s="107">
        <v>17074</v>
      </c>
      <c r="G52" s="107">
        <v>32501</v>
      </c>
      <c r="H52" s="107">
        <v>47717</v>
      </c>
      <c r="I52" s="107">
        <v>62961</v>
      </c>
      <c r="J52" s="107">
        <v>79436</v>
      </c>
      <c r="K52" s="107">
        <v>94224</v>
      </c>
      <c r="L52" s="107">
        <v>108561</v>
      </c>
      <c r="M52" s="107">
        <v>125017</v>
      </c>
      <c r="N52" s="107">
        <v>141789</v>
      </c>
      <c r="O52" s="107">
        <v>155996</v>
      </c>
      <c r="P52" s="107"/>
      <c r="Q52" s="107"/>
      <c r="R52" s="108">
        <f t="shared" si="0"/>
        <v>0</v>
      </c>
    </row>
    <row r="53" spans="1:18" x14ac:dyDescent="0.25">
      <c r="A53" s="106">
        <v>6510</v>
      </c>
      <c r="B53" s="106" t="s">
        <v>334</v>
      </c>
      <c r="C53" s="106" t="s">
        <v>333</v>
      </c>
      <c r="D53" s="101" t="str">
        <f>IF(C53="","",IFERROR(INDEX(Mapping!$B$5:$B$40,MATCH(C53,Mapping!$A$5:$A$40,0)),"UNMAPPED"))</f>
        <v>IS</v>
      </c>
      <c r="E53" s="107"/>
      <c r="F53" s="107">
        <v>9546</v>
      </c>
      <c r="G53" s="107">
        <v>19198</v>
      </c>
      <c r="H53" s="107">
        <v>28477</v>
      </c>
      <c r="I53" s="107">
        <v>38144</v>
      </c>
      <c r="J53" s="107">
        <v>48341</v>
      </c>
      <c r="K53" s="107">
        <v>58156</v>
      </c>
      <c r="L53" s="107">
        <v>67587</v>
      </c>
      <c r="M53" s="107">
        <v>77488</v>
      </c>
      <c r="N53" s="107">
        <v>87130</v>
      </c>
      <c r="O53" s="107">
        <v>97361</v>
      </c>
      <c r="P53" s="107"/>
      <c r="Q53" s="107"/>
      <c r="R53" s="108">
        <f t="shared" si="0"/>
        <v>0</v>
      </c>
    </row>
    <row r="54" spans="1:18" x14ac:dyDescent="0.25">
      <c r="A54" s="106">
        <v>6600</v>
      </c>
      <c r="B54" s="106" t="s">
        <v>335</v>
      </c>
      <c r="C54" s="106" t="s">
        <v>335</v>
      </c>
      <c r="D54" s="101" t="str">
        <f>IF(C54="","",IFERROR(INDEX(Mapping!$B$5:$B$40,MATCH(C54,Mapping!$A$5:$A$40,0)),"UNMAPPED"))</f>
        <v>IS</v>
      </c>
      <c r="E54" s="107"/>
      <c r="F54" s="107">
        <v>5465</v>
      </c>
      <c r="G54" s="107">
        <v>13523</v>
      </c>
      <c r="H54" s="107">
        <v>24810</v>
      </c>
      <c r="I54" s="107">
        <v>45179</v>
      </c>
      <c r="J54" s="107">
        <v>49271</v>
      </c>
      <c r="K54" s="107">
        <v>57632</v>
      </c>
      <c r="L54" s="107">
        <v>67729</v>
      </c>
      <c r="M54" s="107">
        <v>79953</v>
      </c>
      <c r="N54" s="107">
        <v>93894</v>
      </c>
      <c r="O54" s="107">
        <v>111866</v>
      </c>
      <c r="P54" s="107"/>
      <c r="Q54" s="107"/>
      <c r="R54" s="108">
        <f t="shared" si="0"/>
        <v>0</v>
      </c>
    </row>
    <row r="55" spans="1:18" x14ac:dyDescent="0.25">
      <c r="A55" s="106">
        <v>6700</v>
      </c>
      <c r="B55" s="106" t="s">
        <v>336</v>
      </c>
      <c r="C55" s="106" t="s">
        <v>336</v>
      </c>
      <c r="D55" s="101" t="str">
        <f>IF(C55="","",IFERROR(INDEX(Mapping!$B$5:$B$40,MATCH(C55,Mapping!$A$5:$A$40,0)),"UNMAPPED"))</f>
        <v>IS</v>
      </c>
      <c r="E55" s="107"/>
      <c r="F55" s="107">
        <v>17500</v>
      </c>
      <c r="G55" s="107">
        <v>35052</v>
      </c>
      <c r="H55" s="107">
        <v>52658</v>
      </c>
      <c r="I55" s="107">
        <v>70315</v>
      </c>
      <c r="J55" s="107">
        <v>88025</v>
      </c>
      <c r="K55" s="107">
        <v>105788</v>
      </c>
      <c r="L55" s="107">
        <v>123602</v>
      </c>
      <c r="M55" s="107">
        <v>141470</v>
      </c>
      <c r="N55" s="107">
        <v>159390</v>
      </c>
      <c r="O55" s="107">
        <v>177362</v>
      </c>
      <c r="P55" s="107"/>
      <c r="Q55" s="107"/>
      <c r="R55" s="108">
        <f t="shared" si="0"/>
        <v>0</v>
      </c>
    </row>
    <row r="56" spans="1:18" x14ac:dyDescent="0.25">
      <c r="A56" s="106">
        <v>6800</v>
      </c>
      <c r="B56" s="106" t="s">
        <v>337</v>
      </c>
      <c r="C56" s="106" t="s">
        <v>337</v>
      </c>
      <c r="D56" s="101" t="str">
        <f>IF(C56="","",IFERROR(INDEX(Mapping!$B$5:$B$40,MATCH(C56,Mapping!$A$5:$A$40,0)),"UNMAPPED"))</f>
        <v>IS</v>
      </c>
      <c r="E56" s="107"/>
      <c r="F56" s="107">
        <v>7361</v>
      </c>
      <c r="G56" s="107">
        <v>15124</v>
      </c>
      <c r="H56" s="107">
        <v>22772</v>
      </c>
      <c r="I56" s="107">
        <v>29784</v>
      </c>
      <c r="J56" s="107">
        <v>38094</v>
      </c>
      <c r="K56" s="107">
        <v>45736</v>
      </c>
      <c r="L56" s="107">
        <v>53316</v>
      </c>
      <c r="M56" s="107">
        <v>61322</v>
      </c>
      <c r="N56" s="107">
        <v>69180</v>
      </c>
      <c r="O56" s="107">
        <v>77220</v>
      </c>
      <c r="P56" s="107"/>
      <c r="Q56" s="107"/>
      <c r="R56" s="108">
        <f t="shared" si="0"/>
        <v>0</v>
      </c>
    </row>
    <row r="57" spans="1:18" x14ac:dyDescent="0.25">
      <c r="A57" s="106">
        <v>6900</v>
      </c>
      <c r="B57" s="106" t="s">
        <v>338</v>
      </c>
      <c r="C57" s="106" t="s">
        <v>339</v>
      </c>
      <c r="D57" s="101" t="str">
        <f>IF(C57="","",IFERROR(INDEX(Mapping!$B$5:$B$40,MATCH(C57,Mapping!$A$5:$A$40,0)),"UNMAPPED"))</f>
        <v>IS</v>
      </c>
      <c r="E57" s="107"/>
      <c r="F57" s="107">
        <v>2534</v>
      </c>
      <c r="G57" s="107">
        <v>5094</v>
      </c>
      <c r="H57" s="107">
        <v>7655</v>
      </c>
      <c r="I57" s="107">
        <v>10624</v>
      </c>
      <c r="J57" s="107">
        <v>12974</v>
      </c>
      <c r="K57" s="107">
        <v>15993</v>
      </c>
      <c r="L57" s="107">
        <v>18534</v>
      </c>
      <c r="M57" s="107">
        <v>22477</v>
      </c>
      <c r="N57" s="107">
        <v>24697</v>
      </c>
      <c r="O57" s="107">
        <v>27164</v>
      </c>
      <c r="P57" s="107"/>
      <c r="Q57" s="107"/>
      <c r="R57" s="108">
        <f t="shared" si="0"/>
        <v>0</v>
      </c>
    </row>
    <row r="58" spans="1:18" x14ac:dyDescent="0.25">
      <c r="A58" s="106">
        <v>6910</v>
      </c>
      <c r="B58" s="106" t="s">
        <v>340</v>
      </c>
      <c r="C58" s="106" t="s">
        <v>339</v>
      </c>
      <c r="D58" s="101" t="str">
        <f>IF(C58="","",IFERROR(INDEX(Mapping!$B$5:$B$40,MATCH(C58,Mapping!$A$5:$A$40,0)),"UNMAPPED"))</f>
        <v>IS</v>
      </c>
      <c r="E58" s="107"/>
      <c r="F58" s="107">
        <v>14833</v>
      </c>
      <c r="G58" s="107">
        <v>30248</v>
      </c>
      <c r="H58" s="107">
        <v>46172</v>
      </c>
      <c r="I58" s="107">
        <v>60785</v>
      </c>
      <c r="J58" s="107">
        <v>75409</v>
      </c>
      <c r="K58" s="107">
        <v>90172</v>
      </c>
      <c r="L58" s="107">
        <v>105613</v>
      </c>
      <c r="M58" s="107">
        <v>121632</v>
      </c>
      <c r="N58" s="107">
        <v>137669</v>
      </c>
      <c r="O58" s="107">
        <v>153172</v>
      </c>
      <c r="P58" s="107"/>
      <c r="Q58" s="107"/>
      <c r="R58" s="108">
        <f t="shared" si="0"/>
        <v>0</v>
      </c>
    </row>
    <row r="59" spans="1:18" x14ac:dyDescent="0.25">
      <c r="A59" s="106">
        <v>6920</v>
      </c>
      <c r="B59" s="106" t="s">
        <v>341</v>
      </c>
      <c r="C59" s="106" t="s">
        <v>339</v>
      </c>
      <c r="D59" s="101" t="str">
        <f>IF(C59="","",IFERROR(INDEX(Mapping!$B$5:$B$40,MATCH(C59,Mapping!$A$5:$A$40,0)),"UNMAPPED"))</f>
        <v>IS</v>
      </c>
      <c r="E59" s="107"/>
      <c r="F59" s="107">
        <v>2927</v>
      </c>
      <c r="G59" s="107">
        <v>6122</v>
      </c>
      <c r="H59" s="107">
        <v>9570</v>
      </c>
      <c r="I59" s="107">
        <v>12748</v>
      </c>
      <c r="J59" s="107">
        <v>15807</v>
      </c>
      <c r="K59" s="107">
        <v>19079</v>
      </c>
      <c r="L59" s="107">
        <v>22695</v>
      </c>
      <c r="M59" s="107">
        <v>25878</v>
      </c>
      <c r="N59" s="107">
        <v>28229</v>
      </c>
      <c r="O59" s="107">
        <v>31429</v>
      </c>
      <c r="P59" s="107"/>
      <c r="Q59" s="107"/>
      <c r="R59" s="108">
        <f t="shared" si="0"/>
        <v>0</v>
      </c>
    </row>
    <row r="60" spans="1:18" x14ac:dyDescent="0.25">
      <c r="A60" s="106">
        <v>6990</v>
      </c>
      <c r="B60" s="106" t="s">
        <v>342</v>
      </c>
      <c r="C60" s="106" t="s">
        <v>339</v>
      </c>
      <c r="D60" s="101" t="str">
        <f>IF(C60="","",IFERROR(INDEX(Mapping!$B$5:$B$40,MATCH(C60,Mapping!$A$5:$A$40,0)),"UNMAPPED"))</f>
        <v>IS</v>
      </c>
      <c r="E60" s="107"/>
      <c r="F60" s="107">
        <v>7152</v>
      </c>
      <c r="G60" s="107">
        <v>14680</v>
      </c>
      <c r="H60" s="107">
        <v>22807</v>
      </c>
      <c r="I60" s="107">
        <v>28049</v>
      </c>
      <c r="J60" s="107">
        <v>35845</v>
      </c>
      <c r="K60" s="107">
        <v>41764</v>
      </c>
      <c r="L60" s="107">
        <v>44027</v>
      </c>
      <c r="M60" s="107">
        <v>52765</v>
      </c>
      <c r="N60" s="107">
        <v>60890</v>
      </c>
      <c r="O60" s="107">
        <v>67519</v>
      </c>
      <c r="P60" s="107"/>
      <c r="Q60" s="107"/>
      <c r="R60" s="108">
        <f t="shared" si="0"/>
        <v>0</v>
      </c>
    </row>
    <row r="61" spans="1:18" x14ac:dyDescent="0.25">
      <c r="A61" s="106">
        <v>7000</v>
      </c>
      <c r="B61" s="106" t="s">
        <v>343</v>
      </c>
      <c r="C61" s="106" t="s">
        <v>25</v>
      </c>
      <c r="D61" s="101" t="str">
        <f>IF(C61="","",IFERROR(INDEX(Mapping!$B$5:$B$40,MATCH(C61,Mapping!$A$5:$A$40,0)),"UNMAPPED"))</f>
        <v>IS</v>
      </c>
      <c r="E61" s="107"/>
      <c r="F61" s="107">
        <v>36250</v>
      </c>
      <c r="G61" s="107">
        <v>72500</v>
      </c>
      <c r="H61" s="107">
        <v>108750</v>
      </c>
      <c r="I61" s="107">
        <v>145000</v>
      </c>
      <c r="J61" s="107">
        <v>185625</v>
      </c>
      <c r="K61" s="107">
        <v>226250</v>
      </c>
      <c r="L61" s="107">
        <v>266875</v>
      </c>
      <c r="M61" s="107">
        <v>307500</v>
      </c>
      <c r="N61" s="107">
        <v>349844</v>
      </c>
      <c r="O61" s="107">
        <v>392188</v>
      </c>
      <c r="P61" s="107"/>
      <c r="Q61" s="107"/>
      <c r="R61" s="108">
        <f t="shared" si="0"/>
        <v>0</v>
      </c>
    </row>
    <row r="62" spans="1:18" x14ac:dyDescent="0.25">
      <c r="A62" s="106">
        <v>7010</v>
      </c>
      <c r="B62" s="106" t="s">
        <v>344</v>
      </c>
      <c r="C62" s="106" t="s">
        <v>25</v>
      </c>
      <c r="D62" s="101" t="str">
        <f>IF(C62="","",IFERROR(INDEX(Mapping!$B$5:$B$40,MATCH(C62,Mapping!$A$5:$A$40,0)),"UNMAPPED"))</f>
        <v>IS</v>
      </c>
      <c r="E62" s="107"/>
      <c r="F62" s="107">
        <v>4500</v>
      </c>
      <c r="G62" s="107">
        <v>9000</v>
      </c>
      <c r="H62" s="107">
        <v>13500</v>
      </c>
      <c r="I62" s="107">
        <v>18000</v>
      </c>
      <c r="J62" s="107">
        <v>22500</v>
      </c>
      <c r="K62" s="107">
        <v>27000</v>
      </c>
      <c r="L62" s="107">
        <v>31500</v>
      </c>
      <c r="M62" s="107">
        <v>36000</v>
      </c>
      <c r="N62" s="107">
        <v>40500</v>
      </c>
      <c r="O62" s="107">
        <v>45000</v>
      </c>
      <c r="P62" s="107"/>
      <c r="Q62" s="107"/>
      <c r="R62" s="108">
        <f t="shared" si="0"/>
        <v>0</v>
      </c>
    </row>
    <row r="63" spans="1:18" x14ac:dyDescent="0.25">
      <c r="A63" s="106">
        <v>7100</v>
      </c>
      <c r="B63" s="106" t="s">
        <v>345</v>
      </c>
      <c r="C63" s="106" t="s">
        <v>28</v>
      </c>
      <c r="D63" s="101" t="str">
        <f>IF(C63="","",IFERROR(INDEX(Mapping!$B$5:$B$40,MATCH(C63,Mapping!$A$5:$A$40,0)),"UNMAPPED"))</f>
        <v>IS</v>
      </c>
      <c r="E63" s="107"/>
      <c r="F63" s="107">
        <v>13260</v>
      </c>
      <c r="G63" s="107">
        <v>26180</v>
      </c>
      <c r="H63" s="107">
        <v>38760</v>
      </c>
      <c r="I63" s="107">
        <v>51000</v>
      </c>
      <c r="J63" s="107">
        <v>62900</v>
      </c>
      <c r="K63" s="107">
        <v>74460</v>
      </c>
      <c r="L63" s="107">
        <v>85680</v>
      </c>
      <c r="M63" s="107">
        <v>96560</v>
      </c>
      <c r="N63" s="107">
        <v>107100</v>
      </c>
      <c r="O63" s="107">
        <v>117300</v>
      </c>
      <c r="P63" s="107"/>
      <c r="Q63" s="107"/>
      <c r="R63" s="108">
        <f t="shared" si="0"/>
        <v>0</v>
      </c>
    </row>
    <row r="64" spans="1:18" x14ac:dyDescent="0.25">
      <c r="A64" s="106">
        <v>7110</v>
      </c>
      <c r="B64" s="106" t="s">
        <v>346</v>
      </c>
      <c r="C64" s="106" t="s">
        <v>28</v>
      </c>
      <c r="D64" s="101" t="str">
        <f>IF(C64="","",IFERROR(INDEX(Mapping!$B$5:$B$40,MATCH(C64,Mapping!$A$5:$A$40,0)),"UNMAPPED"))</f>
        <v>IS</v>
      </c>
      <c r="E64" s="107"/>
      <c r="F64" s="107">
        <v>0</v>
      </c>
      <c r="G64" s="107">
        <v>0</v>
      </c>
      <c r="H64" s="107">
        <v>0</v>
      </c>
      <c r="I64" s="107">
        <v>0</v>
      </c>
      <c r="J64" s="107">
        <v>0</v>
      </c>
      <c r="K64" s="107">
        <v>1850</v>
      </c>
      <c r="L64" s="107">
        <v>1850</v>
      </c>
      <c r="M64" s="107">
        <v>1850</v>
      </c>
      <c r="N64" s="107">
        <v>1850</v>
      </c>
      <c r="O64" s="107">
        <v>1850</v>
      </c>
      <c r="P64" s="107"/>
      <c r="Q64" s="107"/>
      <c r="R64" s="108">
        <f t="shared" si="0"/>
        <v>0</v>
      </c>
    </row>
    <row r="65" spans="1:18" x14ac:dyDescent="0.25">
      <c r="A65" s="106">
        <v>7500</v>
      </c>
      <c r="B65" s="106" t="s">
        <v>30</v>
      </c>
      <c r="C65" s="106" t="s">
        <v>30</v>
      </c>
      <c r="D65" s="101" t="str">
        <f>IF(C65="","",IFERROR(INDEX(Mapping!$B$5:$B$40,MATCH(C65,Mapping!$A$5:$A$40,0)),"UNMAPPED"))</f>
        <v>IS</v>
      </c>
      <c r="E65" s="107"/>
      <c r="F65" s="107">
        <v>25222</v>
      </c>
      <c r="G65" s="107">
        <v>44594</v>
      </c>
      <c r="H65" s="107">
        <v>79231</v>
      </c>
      <c r="I65" s="107">
        <v>120348</v>
      </c>
      <c r="J65" s="107">
        <v>168574</v>
      </c>
      <c r="K65" s="107">
        <v>211699</v>
      </c>
      <c r="L65" s="107">
        <v>258169</v>
      </c>
      <c r="M65" s="107">
        <v>308354</v>
      </c>
      <c r="N65" s="107">
        <v>363205</v>
      </c>
      <c r="O65" s="107">
        <v>436051</v>
      </c>
      <c r="P65" s="107"/>
      <c r="Q65" s="107"/>
      <c r="R65" s="108">
        <f t="shared" si="0"/>
        <v>0</v>
      </c>
    </row>
    <row r="66" spans="1:18" x14ac:dyDescent="0.25">
      <c r="A66" s="106"/>
      <c r="B66" s="106"/>
      <c r="C66" s="106"/>
      <c r="D66" s="101" t="str">
        <f>IF(C66="","",IFERROR(INDEX(Mapping!$B$5:$B$40,MATCH(C66,Mapping!$A$5:$A$40,0)),"UNMAPPED"))</f>
        <v/>
      </c>
      <c r="E66" s="107"/>
      <c r="F66" s="107"/>
      <c r="G66" s="107"/>
      <c r="H66" s="107"/>
      <c r="I66" s="107"/>
      <c r="J66" s="107"/>
      <c r="K66" s="107"/>
      <c r="L66" s="107"/>
      <c r="M66" s="107"/>
      <c r="N66" s="107"/>
      <c r="O66" s="107"/>
      <c r="P66" s="107"/>
      <c r="Q66" s="107"/>
      <c r="R66" s="108">
        <f t="shared" si="0"/>
        <v>0</v>
      </c>
    </row>
    <row r="67" spans="1:18" x14ac:dyDescent="0.25">
      <c r="A67" s="106"/>
      <c r="B67" s="106"/>
      <c r="C67" s="106"/>
      <c r="D67" s="101" t="str">
        <f>IF(C67="","",IFERROR(INDEX(Mapping!$B$5:$B$40,MATCH(C67,Mapping!$A$5:$A$40,0)),"UNMAPPED"))</f>
        <v/>
      </c>
      <c r="E67" s="107"/>
      <c r="F67" s="107"/>
      <c r="G67" s="107"/>
      <c r="H67" s="107"/>
      <c r="I67" s="107"/>
      <c r="J67" s="107"/>
      <c r="K67" s="107"/>
      <c r="L67" s="107"/>
      <c r="M67" s="107"/>
      <c r="N67" s="107"/>
      <c r="O67" s="107"/>
      <c r="P67" s="107"/>
      <c r="Q67" s="107"/>
      <c r="R67" s="108">
        <f t="shared" si="0"/>
        <v>0</v>
      </c>
    </row>
    <row r="68" spans="1:18" x14ac:dyDescent="0.25">
      <c r="A68" s="106"/>
      <c r="B68" s="106"/>
      <c r="C68" s="106"/>
      <c r="D68" s="101" t="str">
        <f>IF(C68="","",IFERROR(INDEX(Mapping!$B$5:$B$40,MATCH(C68,Mapping!$A$5:$A$40,0)),"UNMAPPED"))</f>
        <v/>
      </c>
      <c r="E68" s="107"/>
      <c r="F68" s="107"/>
      <c r="G68" s="107"/>
      <c r="H68" s="107"/>
      <c r="I68" s="107"/>
      <c r="J68" s="107"/>
      <c r="K68" s="107"/>
      <c r="L68" s="107"/>
      <c r="M68" s="107"/>
      <c r="N68" s="107"/>
      <c r="O68" s="107"/>
      <c r="P68" s="107"/>
      <c r="Q68" s="107"/>
      <c r="R68" s="108">
        <f t="shared" si="0"/>
        <v>0</v>
      </c>
    </row>
    <row r="69" spans="1:18" x14ac:dyDescent="0.25">
      <c r="A69" s="106"/>
      <c r="B69" s="106"/>
      <c r="C69" s="106"/>
      <c r="D69" s="101" t="str">
        <f>IF(C69="","",IFERROR(INDEX(Mapping!$B$5:$B$40,MATCH(C69,Mapping!$A$5:$A$40,0)),"UNMAPPED"))</f>
        <v/>
      </c>
      <c r="E69" s="107"/>
      <c r="F69" s="107"/>
      <c r="G69" s="107"/>
      <c r="H69" s="107"/>
      <c r="I69" s="107"/>
      <c r="J69" s="107"/>
      <c r="K69" s="107"/>
      <c r="L69" s="107"/>
      <c r="M69" s="107"/>
      <c r="N69" s="107"/>
      <c r="O69" s="107"/>
      <c r="P69" s="107"/>
      <c r="Q69" s="107"/>
      <c r="R69" s="108">
        <f t="shared" si="0"/>
        <v>0</v>
      </c>
    </row>
    <row r="70" spans="1:18" x14ac:dyDescent="0.25">
      <c r="A70" s="106"/>
      <c r="B70" s="106"/>
      <c r="C70" s="106"/>
      <c r="D70" s="101" t="str">
        <f>IF(C70="","",IFERROR(INDEX(Mapping!$B$5:$B$40,MATCH(C70,Mapping!$A$5:$A$40,0)),"UNMAPPED"))</f>
        <v/>
      </c>
      <c r="E70" s="107"/>
      <c r="F70" s="107"/>
      <c r="G70" s="107"/>
      <c r="H70" s="107"/>
      <c r="I70" s="107"/>
      <c r="J70" s="107"/>
      <c r="K70" s="107"/>
      <c r="L70" s="107"/>
      <c r="M70" s="107"/>
      <c r="N70" s="107"/>
      <c r="O70" s="107"/>
      <c r="P70" s="107"/>
      <c r="Q70" s="107"/>
      <c r="R70" s="108">
        <f t="shared" ref="R70:R133" si="1">IF(SUMPRODUCT(ABS(E70:Q70))=0,0,IF(OR(D70="IS",D70="BS"),0,1))</f>
        <v>0</v>
      </c>
    </row>
    <row r="71" spans="1:18" x14ac:dyDescent="0.25">
      <c r="A71" s="106"/>
      <c r="B71" s="106"/>
      <c r="C71" s="106"/>
      <c r="D71" s="101" t="str">
        <f>IF(C71="","",IFERROR(INDEX(Mapping!$B$5:$B$40,MATCH(C71,Mapping!$A$5:$A$40,0)),"UNMAPPED"))</f>
        <v/>
      </c>
      <c r="E71" s="107"/>
      <c r="F71" s="107"/>
      <c r="G71" s="107"/>
      <c r="H71" s="107"/>
      <c r="I71" s="107"/>
      <c r="J71" s="107"/>
      <c r="K71" s="107"/>
      <c r="L71" s="107"/>
      <c r="M71" s="107"/>
      <c r="N71" s="107"/>
      <c r="O71" s="107"/>
      <c r="P71" s="107"/>
      <c r="Q71" s="107"/>
      <c r="R71" s="108">
        <f t="shared" si="1"/>
        <v>0</v>
      </c>
    </row>
    <row r="72" spans="1:18" x14ac:dyDescent="0.25">
      <c r="A72" s="106"/>
      <c r="B72" s="106"/>
      <c r="C72" s="106"/>
      <c r="D72" s="101" t="str">
        <f>IF(C72="","",IFERROR(INDEX(Mapping!$B$5:$B$40,MATCH(C72,Mapping!$A$5:$A$40,0)),"UNMAPPED"))</f>
        <v/>
      </c>
      <c r="E72" s="107"/>
      <c r="F72" s="107"/>
      <c r="G72" s="107"/>
      <c r="H72" s="107"/>
      <c r="I72" s="107"/>
      <c r="J72" s="107"/>
      <c r="K72" s="107"/>
      <c r="L72" s="107"/>
      <c r="M72" s="107"/>
      <c r="N72" s="107"/>
      <c r="O72" s="107"/>
      <c r="P72" s="107"/>
      <c r="Q72" s="107"/>
      <c r="R72" s="108">
        <f t="shared" si="1"/>
        <v>0</v>
      </c>
    </row>
    <row r="73" spans="1:18" x14ac:dyDescent="0.25">
      <c r="A73" s="106"/>
      <c r="B73" s="106"/>
      <c r="C73" s="106"/>
      <c r="D73" s="101" t="str">
        <f>IF(C73="","",IFERROR(INDEX(Mapping!$B$5:$B$40,MATCH(C73,Mapping!$A$5:$A$40,0)),"UNMAPPED"))</f>
        <v/>
      </c>
      <c r="E73" s="107"/>
      <c r="F73" s="107"/>
      <c r="G73" s="107"/>
      <c r="H73" s="107"/>
      <c r="I73" s="107"/>
      <c r="J73" s="107"/>
      <c r="K73" s="107"/>
      <c r="L73" s="107"/>
      <c r="M73" s="107"/>
      <c r="N73" s="107"/>
      <c r="O73" s="107"/>
      <c r="P73" s="107"/>
      <c r="Q73" s="107"/>
      <c r="R73" s="108">
        <f t="shared" si="1"/>
        <v>0</v>
      </c>
    </row>
    <row r="74" spans="1:18" x14ac:dyDescent="0.25">
      <c r="A74" s="106"/>
      <c r="B74" s="106"/>
      <c r="C74" s="106"/>
      <c r="D74" s="101" t="str">
        <f>IF(C74="","",IFERROR(INDEX(Mapping!$B$5:$B$40,MATCH(C74,Mapping!$A$5:$A$40,0)),"UNMAPPED"))</f>
        <v/>
      </c>
      <c r="E74" s="107"/>
      <c r="F74" s="107"/>
      <c r="G74" s="107"/>
      <c r="H74" s="107"/>
      <c r="I74" s="107"/>
      <c r="J74" s="107"/>
      <c r="K74" s="107"/>
      <c r="L74" s="107"/>
      <c r="M74" s="107"/>
      <c r="N74" s="107"/>
      <c r="O74" s="107"/>
      <c r="P74" s="107"/>
      <c r="Q74" s="107"/>
      <c r="R74" s="108">
        <f t="shared" si="1"/>
        <v>0</v>
      </c>
    </row>
    <row r="75" spans="1:18" x14ac:dyDescent="0.25">
      <c r="A75" s="106"/>
      <c r="B75" s="106"/>
      <c r="C75" s="106"/>
      <c r="D75" s="101" t="str">
        <f>IF(C75="","",IFERROR(INDEX(Mapping!$B$5:$B$40,MATCH(C75,Mapping!$A$5:$A$40,0)),"UNMAPPED"))</f>
        <v/>
      </c>
      <c r="E75" s="107"/>
      <c r="F75" s="107"/>
      <c r="G75" s="107"/>
      <c r="H75" s="107"/>
      <c r="I75" s="107"/>
      <c r="J75" s="107"/>
      <c r="K75" s="107"/>
      <c r="L75" s="107"/>
      <c r="M75" s="107"/>
      <c r="N75" s="107"/>
      <c r="O75" s="107"/>
      <c r="P75" s="107"/>
      <c r="Q75" s="107"/>
      <c r="R75" s="108">
        <f t="shared" si="1"/>
        <v>0</v>
      </c>
    </row>
    <row r="76" spans="1:18" x14ac:dyDescent="0.25">
      <c r="A76" s="106"/>
      <c r="B76" s="106"/>
      <c r="C76" s="106"/>
      <c r="D76" s="101" t="str">
        <f>IF(C76="","",IFERROR(INDEX(Mapping!$B$5:$B$40,MATCH(C76,Mapping!$A$5:$A$40,0)),"UNMAPPED"))</f>
        <v/>
      </c>
      <c r="E76" s="107"/>
      <c r="F76" s="107"/>
      <c r="G76" s="107"/>
      <c r="H76" s="107"/>
      <c r="I76" s="107"/>
      <c r="J76" s="107"/>
      <c r="K76" s="107"/>
      <c r="L76" s="107"/>
      <c r="M76" s="107"/>
      <c r="N76" s="107"/>
      <c r="O76" s="107"/>
      <c r="P76" s="107"/>
      <c r="Q76" s="107"/>
      <c r="R76" s="108">
        <f t="shared" si="1"/>
        <v>0</v>
      </c>
    </row>
    <row r="77" spans="1:18" x14ac:dyDescent="0.25">
      <c r="A77" s="106"/>
      <c r="B77" s="106"/>
      <c r="C77" s="106"/>
      <c r="D77" s="101" t="str">
        <f>IF(C77="","",IFERROR(INDEX(Mapping!$B$5:$B$40,MATCH(C77,Mapping!$A$5:$A$40,0)),"UNMAPPED"))</f>
        <v/>
      </c>
      <c r="E77" s="107"/>
      <c r="F77" s="107"/>
      <c r="G77" s="107"/>
      <c r="H77" s="107"/>
      <c r="I77" s="107"/>
      <c r="J77" s="107"/>
      <c r="K77" s="107"/>
      <c r="L77" s="107"/>
      <c r="M77" s="107"/>
      <c r="N77" s="107"/>
      <c r="O77" s="107"/>
      <c r="P77" s="107"/>
      <c r="Q77" s="107"/>
      <c r="R77" s="108">
        <f t="shared" si="1"/>
        <v>0</v>
      </c>
    </row>
    <row r="78" spans="1:18" x14ac:dyDescent="0.25">
      <c r="A78" s="106"/>
      <c r="B78" s="106"/>
      <c r="C78" s="106"/>
      <c r="D78" s="101" t="str">
        <f>IF(C78="","",IFERROR(INDEX(Mapping!$B$5:$B$40,MATCH(C78,Mapping!$A$5:$A$40,0)),"UNMAPPED"))</f>
        <v/>
      </c>
      <c r="E78" s="107"/>
      <c r="F78" s="107"/>
      <c r="G78" s="107"/>
      <c r="H78" s="107"/>
      <c r="I78" s="107"/>
      <c r="J78" s="107"/>
      <c r="K78" s="107"/>
      <c r="L78" s="107"/>
      <c r="M78" s="107"/>
      <c r="N78" s="107"/>
      <c r="O78" s="107"/>
      <c r="P78" s="107"/>
      <c r="Q78" s="107"/>
      <c r="R78" s="108">
        <f t="shared" si="1"/>
        <v>0</v>
      </c>
    </row>
    <row r="79" spans="1:18" x14ac:dyDescent="0.25">
      <c r="A79" s="106"/>
      <c r="B79" s="106"/>
      <c r="C79" s="106"/>
      <c r="D79" s="101" t="str">
        <f>IF(C79="","",IFERROR(INDEX(Mapping!$B$5:$B$40,MATCH(C79,Mapping!$A$5:$A$40,0)),"UNMAPPED"))</f>
        <v/>
      </c>
      <c r="E79" s="107"/>
      <c r="F79" s="107"/>
      <c r="G79" s="107"/>
      <c r="H79" s="107"/>
      <c r="I79" s="107"/>
      <c r="J79" s="107"/>
      <c r="K79" s="107"/>
      <c r="L79" s="107"/>
      <c r="M79" s="107"/>
      <c r="N79" s="107"/>
      <c r="O79" s="107"/>
      <c r="P79" s="107"/>
      <c r="Q79" s="107"/>
      <c r="R79" s="108">
        <f t="shared" si="1"/>
        <v>0</v>
      </c>
    </row>
    <row r="80" spans="1:18" x14ac:dyDescent="0.25">
      <c r="A80" s="106"/>
      <c r="B80" s="106"/>
      <c r="C80" s="106"/>
      <c r="D80" s="101" t="str">
        <f>IF(C80="","",IFERROR(INDEX(Mapping!$B$5:$B$40,MATCH(C80,Mapping!$A$5:$A$40,0)),"UNMAPPED"))</f>
        <v/>
      </c>
      <c r="E80" s="107"/>
      <c r="F80" s="107"/>
      <c r="G80" s="107"/>
      <c r="H80" s="107"/>
      <c r="I80" s="107"/>
      <c r="J80" s="107"/>
      <c r="K80" s="107"/>
      <c r="L80" s="107"/>
      <c r="M80" s="107"/>
      <c r="N80" s="107"/>
      <c r="O80" s="107"/>
      <c r="P80" s="107"/>
      <c r="Q80" s="107"/>
      <c r="R80" s="108">
        <f t="shared" si="1"/>
        <v>0</v>
      </c>
    </row>
    <row r="81" spans="1:18" x14ac:dyDescent="0.25">
      <c r="A81" s="106"/>
      <c r="B81" s="106"/>
      <c r="C81" s="106"/>
      <c r="D81" s="101" t="str">
        <f>IF(C81="","",IFERROR(INDEX(Mapping!$B$5:$B$40,MATCH(C81,Mapping!$A$5:$A$40,0)),"UNMAPPED"))</f>
        <v/>
      </c>
      <c r="E81" s="107"/>
      <c r="F81" s="107"/>
      <c r="G81" s="107"/>
      <c r="H81" s="107"/>
      <c r="I81" s="107"/>
      <c r="J81" s="107"/>
      <c r="K81" s="107"/>
      <c r="L81" s="107"/>
      <c r="M81" s="107"/>
      <c r="N81" s="107"/>
      <c r="O81" s="107"/>
      <c r="P81" s="107"/>
      <c r="Q81" s="107"/>
      <c r="R81" s="108">
        <f t="shared" si="1"/>
        <v>0</v>
      </c>
    </row>
    <row r="82" spans="1:18" x14ac:dyDescent="0.25">
      <c r="A82" s="106"/>
      <c r="B82" s="106"/>
      <c r="C82" s="106"/>
      <c r="D82" s="101" t="str">
        <f>IF(C82="","",IFERROR(INDEX(Mapping!$B$5:$B$40,MATCH(C82,Mapping!$A$5:$A$40,0)),"UNMAPPED"))</f>
        <v/>
      </c>
      <c r="E82" s="107"/>
      <c r="F82" s="107"/>
      <c r="G82" s="107"/>
      <c r="H82" s="107"/>
      <c r="I82" s="107"/>
      <c r="J82" s="107"/>
      <c r="K82" s="107"/>
      <c r="L82" s="107"/>
      <c r="M82" s="107"/>
      <c r="N82" s="107"/>
      <c r="O82" s="107"/>
      <c r="P82" s="107"/>
      <c r="Q82" s="107"/>
      <c r="R82" s="108">
        <f t="shared" si="1"/>
        <v>0</v>
      </c>
    </row>
    <row r="83" spans="1:18" x14ac:dyDescent="0.25">
      <c r="A83" s="106"/>
      <c r="B83" s="106"/>
      <c r="C83" s="106"/>
      <c r="D83" s="101" t="str">
        <f>IF(C83="","",IFERROR(INDEX(Mapping!$B$5:$B$40,MATCH(C83,Mapping!$A$5:$A$40,0)),"UNMAPPED"))</f>
        <v/>
      </c>
      <c r="E83" s="107"/>
      <c r="F83" s="107"/>
      <c r="G83" s="107"/>
      <c r="H83" s="107"/>
      <c r="I83" s="107"/>
      <c r="J83" s="107"/>
      <c r="K83" s="107"/>
      <c r="L83" s="107"/>
      <c r="M83" s="107"/>
      <c r="N83" s="107"/>
      <c r="O83" s="107"/>
      <c r="P83" s="107"/>
      <c r="Q83" s="107"/>
      <c r="R83" s="108">
        <f t="shared" si="1"/>
        <v>0</v>
      </c>
    </row>
    <row r="84" spans="1:18" x14ac:dyDescent="0.25">
      <c r="A84" s="106"/>
      <c r="B84" s="106"/>
      <c r="C84" s="106"/>
      <c r="D84" s="101" t="str">
        <f>IF(C84="","",IFERROR(INDEX(Mapping!$B$5:$B$40,MATCH(C84,Mapping!$A$5:$A$40,0)),"UNMAPPED"))</f>
        <v/>
      </c>
      <c r="E84" s="107"/>
      <c r="F84" s="107"/>
      <c r="G84" s="107"/>
      <c r="H84" s="107"/>
      <c r="I84" s="107"/>
      <c r="J84" s="107"/>
      <c r="K84" s="107"/>
      <c r="L84" s="107"/>
      <c r="M84" s="107"/>
      <c r="N84" s="107"/>
      <c r="O84" s="107"/>
      <c r="P84" s="107"/>
      <c r="Q84" s="107"/>
      <c r="R84" s="108">
        <f t="shared" si="1"/>
        <v>0</v>
      </c>
    </row>
    <row r="85" spans="1:18" x14ac:dyDescent="0.25">
      <c r="A85" s="106"/>
      <c r="B85" s="106"/>
      <c r="C85" s="106"/>
      <c r="D85" s="101" t="str">
        <f>IF(C85="","",IFERROR(INDEX(Mapping!$B$5:$B$40,MATCH(C85,Mapping!$A$5:$A$40,0)),"UNMAPPED"))</f>
        <v/>
      </c>
      <c r="E85" s="107"/>
      <c r="F85" s="107"/>
      <c r="G85" s="107"/>
      <c r="H85" s="107"/>
      <c r="I85" s="107"/>
      <c r="J85" s="107"/>
      <c r="K85" s="107"/>
      <c r="L85" s="107"/>
      <c r="M85" s="107"/>
      <c r="N85" s="107"/>
      <c r="O85" s="107"/>
      <c r="P85" s="107"/>
      <c r="Q85" s="107"/>
      <c r="R85" s="108">
        <f t="shared" si="1"/>
        <v>0</v>
      </c>
    </row>
    <row r="86" spans="1:18" x14ac:dyDescent="0.25">
      <c r="A86" s="106"/>
      <c r="B86" s="106"/>
      <c r="C86" s="106"/>
      <c r="D86" s="101" t="str">
        <f>IF(C86="","",IFERROR(INDEX(Mapping!$B$5:$B$40,MATCH(C86,Mapping!$A$5:$A$40,0)),"UNMAPPED"))</f>
        <v/>
      </c>
      <c r="E86" s="107"/>
      <c r="F86" s="107"/>
      <c r="G86" s="107"/>
      <c r="H86" s="107"/>
      <c r="I86" s="107"/>
      <c r="J86" s="107"/>
      <c r="K86" s="107"/>
      <c r="L86" s="107"/>
      <c r="M86" s="107"/>
      <c r="N86" s="107"/>
      <c r="O86" s="107"/>
      <c r="P86" s="107"/>
      <c r="Q86" s="107"/>
      <c r="R86" s="108">
        <f t="shared" si="1"/>
        <v>0</v>
      </c>
    </row>
    <row r="87" spans="1:18" x14ac:dyDescent="0.25">
      <c r="A87" s="106"/>
      <c r="B87" s="106"/>
      <c r="C87" s="106"/>
      <c r="D87" s="101" t="str">
        <f>IF(C87="","",IFERROR(INDEX(Mapping!$B$5:$B$40,MATCH(C87,Mapping!$A$5:$A$40,0)),"UNMAPPED"))</f>
        <v/>
      </c>
      <c r="E87" s="107"/>
      <c r="F87" s="107"/>
      <c r="G87" s="107"/>
      <c r="H87" s="107"/>
      <c r="I87" s="107"/>
      <c r="J87" s="107"/>
      <c r="K87" s="107"/>
      <c r="L87" s="107"/>
      <c r="M87" s="107"/>
      <c r="N87" s="107"/>
      <c r="O87" s="107"/>
      <c r="P87" s="107"/>
      <c r="Q87" s="107"/>
      <c r="R87" s="108">
        <f t="shared" si="1"/>
        <v>0</v>
      </c>
    </row>
    <row r="88" spans="1:18" x14ac:dyDescent="0.25">
      <c r="A88" s="106"/>
      <c r="B88" s="106"/>
      <c r="C88" s="106"/>
      <c r="D88" s="101" t="str">
        <f>IF(C88="","",IFERROR(INDEX(Mapping!$B$5:$B$40,MATCH(C88,Mapping!$A$5:$A$40,0)),"UNMAPPED"))</f>
        <v/>
      </c>
      <c r="E88" s="107"/>
      <c r="F88" s="107"/>
      <c r="G88" s="107"/>
      <c r="H88" s="107"/>
      <c r="I88" s="107"/>
      <c r="J88" s="107"/>
      <c r="K88" s="107"/>
      <c r="L88" s="107"/>
      <c r="M88" s="107"/>
      <c r="N88" s="107"/>
      <c r="O88" s="107"/>
      <c r="P88" s="107"/>
      <c r="Q88" s="107"/>
      <c r="R88" s="108">
        <f t="shared" si="1"/>
        <v>0</v>
      </c>
    </row>
    <row r="89" spans="1:18" x14ac:dyDescent="0.25">
      <c r="A89" s="106"/>
      <c r="B89" s="106"/>
      <c r="C89" s="106"/>
      <c r="D89" s="101" t="str">
        <f>IF(C89="","",IFERROR(INDEX(Mapping!$B$5:$B$40,MATCH(C89,Mapping!$A$5:$A$40,0)),"UNMAPPED"))</f>
        <v/>
      </c>
      <c r="E89" s="107"/>
      <c r="F89" s="107"/>
      <c r="G89" s="107"/>
      <c r="H89" s="107"/>
      <c r="I89" s="107"/>
      <c r="J89" s="107"/>
      <c r="K89" s="107"/>
      <c r="L89" s="107"/>
      <c r="M89" s="107"/>
      <c r="N89" s="107"/>
      <c r="O89" s="107"/>
      <c r="P89" s="107"/>
      <c r="Q89" s="107"/>
      <c r="R89" s="108">
        <f t="shared" si="1"/>
        <v>0</v>
      </c>
    </row>
    <row r="90" spans="1:18" x14ac:dyDescent="0.25">
      <c r="A90" s="106"/>
      <c r="B90" s="106"/>
      <c r="C90" s="106"/>
      <c r="D90" s="101" t="str">
        <f>IF(C90="","",IFERROR(INDEX(Mapping!$B$5:$B$40,MATCH(C90,Mapping!$A$5:$A$40,0)),"UNMAPPED"))</f>
        <v/>
      </c>
      <c r="E90" s="107"/>
      <c r="F90" s="107"/>
      <c r="G90" s="107"/>
      <c r="H90" s="107"/>
      <c r="I90" s="107"/>
      <c r="J90" s="107"/>
      <c r="K90" s="107"/>
      <c r="L90" s="107"/>
      <c r="M90" s="107"/>
      <c r="N90" s="107"/>
      <c r="O90" s="107"/>
      <c r="P90" s="107"/>
      <c r="Q90" s="107"/>
      <c r="R90" s="108">
        <f t="shared" si="1"/>
        <v>0</v>
      </c>
    </row>
    <row r="91" spans="1:18" x14ac:dyDescent="0.25">
      <c r="A91" s="106"/>
      <c r="B91" s="106"/>
      <c r="C91" s="106"/>
      <c r="D91" s="101" t="str">
        <f>IF(C91="","",IFERROR(INDEX(Mapping!$B$5:$B$40,MATCH(C91,Mapping!$A$5:$A$40,0)),"UNMAPPED"))</f>
        <v/>
      </c>
      <c r="E91" s="107"/>
      <c r="F91" s="107"/>
      <c r="G91" s="107"/>
      <c r="H91" s="107"/>
      <c r="I91" s="107"/>
      <c r="J91" s="107"/>
      <c r="K91" s="107"/>
      <c r="L91" s="107"/>
      <c r="M91" s="107"/>
      <c r="N91" s="107"/>
      <c r="O91" s="107"/>
      <c r="P91" s="107"/>
      <c r="Q91" s="107"/>
      <c r="R91" s="108">
        <f t="shared" si="1"/>
        <v>0</v>
      </c>
    </row>
    <row r="92" spans="1:18" x14ac:dyDescent="0.25">
      <c r="A92" s="106"/>
      <c r="B92" s="106"/>
      <c r="C92" s="106"/>
      <c r="D92" s="101" t="str">
        <f>IF(C92="","",IFERROR(INDEX(Mapping!$B$5:$B$40,MATCH(C92,Mapping!$A$5:$A$40,0)),"UNMAPPED"))</f>
        <v/>
      </c>
      <c r="E92" s="107"/>
      <c r="F92" s="107"/>
      <c r="G92" s="107"/>
      <c r="H92" s="107"/>
      <c r="I92" s="107"/>
      <c r="J92" s="107"/>
      <c r="K92" s="107"/>
      <c r="L92" s="107"/>
      <c r="M92" s="107"/>
      <c r="N92" s="107"/>
      <c r="O92" s="107"/>
      <c r="P92" s="107"/>
      <c r="Q92" s="107"/>
      <c r="R92" s="108">
        <f t="shared" si="1"/>
        <v>0</v>
      </c>
    </row>
    <row r="93" spans="1:18" x14ac:dyDescent="0.25">
      <c r="A93" s="106"/>
      <c r="B93" s="106"/>
      <c r="C93" s="106"/>
      <c r="D93" s="101" t="str">
        <f>IF(C93="","",IFERROR(INDEX(Mapping!$B$5:$B$40,MATCH(C93,Mapping!$A$5:$A$40,0)),"UNMAPPED"))</f>
        <v/>
      </c>
      <c r="E93" s="107"/>
      <c r="F93" s="107"/>
      <c r="G93" s="107"/>
      <c r="H93" s="107"/>
      <c r="I93" s="107"/>
      <c r="J93" s="107"/>
      <c r="K93" s="107"/>
      <c r="L93" s="107"/>
      <c r="M93" s="107"/>
      <c r="N93" s="107"/>
      <c r="O93" s="107"/>
      <c r="P93" s="107"/>
      <c r="Q93" s="107"/>
      <c r="R93" s="108">
        <f t="shared" si="1"/>
        <v>0</v>
      </c>
    </row>
    <row r="94" spans="1:18" x14ac:dyDescent="0.25">
      <c r="A94" s="106"/>
      <c r="B94" s="106"/>
      <c r="C94" s="106"/>
      <c r="D94" s="101" t="str">
        <f>IF(C94="","",IFERROR(INDEX(Mapping!$B$5:$B$40,MATCH(C94,Mapping!$A$5:$A$40,0)),"UNMAPPED"))</f>
        <v/>
      </c>
      <c r="E94" s="107"/>
      <c r="F94" s="107"/>
      <c r="G94" s="107"/>
      <c r="H94" s="107"/>
      <c r="I94" s="107"/>
      <c r="J94" s="107"/>
      <c r="K94" s="107"/>
      <c r="L94" s="107"/>
      <c r="M94" s="107"/>
      <c r="N94" s="107"/>
      <c r="O94" s="107"/>
      <c r="P94" s="107"/>
      <c r="Q94" s="107"/>
      <c r="R94" s="108">
        <f t="shared" si="1"/>
        <v>0</v>
      </c>
    </row>
    <row r="95" spans="1:18" x14ac:dyDescent="0.25">
      <c r="A95" s="106"/>
      <c r="B95" s="106"/>
      <c r="C95" s="106"/>
      <c r="D95" s="101" t="str">
        <f>IF(C95="","",IFERROR(INDEX(Mapping!$B$5:$B$40,MATCH(C95,Mapping!$A$5:$A$40,0)),"UNMAPPED"))</f>
        <v/>
      </c>
      <c r="E95" s="107"/>
      <c r="F95" s="107"/>
      <c r="G95" s="107"/>
      <c r="H95" s="107"/>
      <c r="I95" s="107"/>
      <c r="J95" s="107"/>
      <c r="K95" s="107"/>
      <c r="L95" s="107"/>
      <c r="M95" s="107"/>
      <c r="N95" s="107"/>
      <c r="O95" s="107"/>
      <c r="P95" s="107"/>
      <c r="Q95" s="107"/>
      <c r="R95" s="108">
        <f t="shared" si="1"/>
        <v>0</v>
      </c>
    </row>
    <row r="96" spans="1:18" x14ac:dyDescent="0.25">
      <c r="A96" s="106"/>
      <c r="B96" s="106"/>
      <c r="C96" s="106"/>
      <c r="D96" s="101" t="str">
        <f>IF(C96="","",IFERROR(INDEX(Mapping!$B$5:$B$40,MATCH(C96,Mapping!$A$5:$A$40,0)),"UNMAPPED"))</f>
        <v/>
      </c>
      <c r="E96" s="107"/>
      <c r="F96" s="107"/>
      <c r="G96" s="107"/>
      <c r="H96" s="107"/>
      <c r="I96" s="107"/>
      <c r="J96" s="107"/>
      <c r="K96" s="107"/>
      <c r="L96" s="107"/>
      <c r="M96" s="107"/>
      <c r="N96" s="107"/>
      <c r="O96" s="107"/>
      <c r="P96" s="107"/>
      <c r="Q96" s="107"/>
      <c r="R96" s="108">
        <f t="shared" si="1"/>
        <v>0</v>
      </c>
    </row>
    <row r="97" spans="1:18" x14ac:dyDescent="0.25">
      <c r="A97" s="106"/>
      <c r="B97" s="106"/>
      <c r="C97" s="106"/>
      <c r="D97" s="101" t="str">
        <f>IF(C97="","",IFERROR(INDEX(Mapping!$B$5:$B$40,MATCH(C97,Mapping!$A$5:$A$40,0)),"UNMAPPED"))</f>
        <v/>
      </c>
      <c r="E97" s="107"/>
      <c r="F97" s="107"/>
      <c r="G97" s="107"/>
      <c r="H97" s="107"/>
      <c r="I97" s="107"/>
      <c r="J97" s="107"/>
      <c r="K97" s="107"/>
      <c r="L97" s="107"/>
      <c r="M97" s="107"/>
      <c r="N97" s="107"/>
      <c r="O97" s="107"/>
      <c r="P97" s="107"/>
      <c r="Q97" s="107"/>
      <c r="R97" s="108">
        <f t="shared" si="1"/>
        <v>0</v>
      </c>
    </row>
    <row r="98" spans="1:18" x14ac:dyDescent="0.25">
      <c r="A98" s="106"/>
      <c r="B98" s="106"/>
      <c r="C98" s="106"/>
      <c r="D98" s="101" t="str">
        <f>IF(C98="","",IFERROR(INDEX(Mapping!$B$5:$B$40,MATCH(C98,Mapping!$A$5:$A$40,0)),"UNMAPPED"))</f>
        <v/>
      </c>
      <c r="E98" s="107"/>
      <c r="F98" s="107"/>
      <c r="G98" s="107"/>
      <c r="H98" s="107"/>
      <c r="I98" s="107"/>
      <c r="J98" s="107"/>
      <c r="K98" s="107"/>
      <c r="L98" s="107"/>
      <c r="M98" s="107"/>
      <c r="N98" s="107"/>
      <c r="O98" s="107"/>
      <c r="P98" s="107"/>
      <c r="Q98" s="107"/>
      <c r="R98" s="108">
        <f t="shared" si="1"/>
        <v>0</v>
      </c>
    </row>
    <row r="99" spans="1:18" x14ac:dyDescent="0.25">
      <c r="A99" s="106"/>
      <c r="B99" s="106"/>
      <c r="C99" s="106"/>
      <c r="D99" s="101" t="str">
        <f>IF(C99="","",IFERROR(INDEX(Mapping!$B$5:$B$40,MATCH(C99,Mapping!$A$5:$A$40,0)),"UNMAPPED"))</f>
        <v/>
      </c>
      <c r="E99" s="107"/>
      <c r="F99" s="107"/>
      <c r="G99" s="107"/>
      <c r="H99" s="107"/>
      <c r="I99" s="107"/>
      <c r="J99" s="107"/>
      <c r="K99" s="107"/>
      <c r="L99" s="107"/>
      <c r="M99" s="107"/>
      <c r="N99" s="107"/>
      <c r="O99" s="107"/>
      <c r="P99" s="107"/>
      <c r="Q99" s="107"/>
      <c r="R99" s="108">
        <f t="shared" si="1"/>
        <v>0</v>
      </c>
    </row>
    <row r="100" spans="1:18" x14ac:dyDescent="0.25">
      <c r="A100" s="106"/>
      <c r="B100" s="106"/>
      <c r="C100" s="106"/>
      <c r="D100" s="101" t="str">
        <f>IF(C100="","",IFERROR(INDEX(Mapping!$B$5:$B$40,MATCH(C100,Mapping!$A$5:$A$40,0)),"UNMAPPED"))</f>
        <v/>
      </c>
      <c r="E100" s="107"/>
      <c r="F100" s="107"/>
      <c r="G100" s="107"/>
      <c r="H100" s="107"/>
      <c r="I100" s="107"/>
      <c r="J100" s="107"/>
      <c r="K100" s="107"/>
      <c r="L100" s="107"/>
      <c r="M100" s="107"/>
      <c r="N100" s="107"/>
      <c r="O100" s="107"/>
      <c r="P100" s="107"/>
      <c r="Q100" s="107"/>
      <c r="R100" s="108">
        <f t="shared" si="1"/>
        <v>0</v>
      </c>
    </row>
    <row r="101" spans="1:18" x14ac:dyDescent="0.25">
      <c r="A101" s="106"/>
      <c r="B101" s="106"/>
      <c r="C101" s="106"/>
      <c r="D101" s="101" t="str">
        <f>IF(C101="","",IFERROR(INDEX(Mapping!$B$5:$B$40,MATCH(C101,Mapping!$A$5:$A$40,0)),"UNMAPPED"))</f>
        <v/>
      </c>
      <c r="E101" s="107"/>
      <c r="F101" s="107"/>
      <c r="G101" s="107"/>
      <c r="H101" s="107"/>
      <c r="I101" s="107"/>
      <c r="J101" s="107"/>
      <c r="K101" s="107"/>
      <c r="L101" s="107"/>
      <c r="M101" s="107"/>
      <c r="N101" s="107"/>
      <c r="O101" s="107"/>
      <c r="P101" s="107"/>
      <c r="Q101" s="107"/>
      <c r="R101" s="108">
        <f t="shared" si="1"/>
        <v>0</v>
      </c>
    </row>
    <row r="102" spans="1:18" x14ac:dyDescent="0.25">
      <c r="A102" s="106"/>
      <c r="B102" s="106"/>
      <c r="C102" s="106"/>
      <c r="D102" s="101" t="str">
        <f>IF(C102="","",IFERROR(INDEX(Mapping!$B$5:$B$40,MATCH(C102,Mapping!$A$5:$A$40,0)),"UNMAPPED"))</f>
        <v/>
      </c>
      <c r="E102" s="107"/>
      <c r="F102" s="107"/>
      <c r="G102" s="107"/>
      <c r="H102" s="107"/>
      <c r="I102" s="107"/>
      <c r="J102" s="107"/>
      <c r="K102" s="107"/>
      <c r="L102" s="107"/>
      <c r="M102" s="107"/>
      <c r="N102" s="107"/>
      <c r="O102" s="107"/>
      <c r="P102" s="107"/>
      <c r="Q102" s="107"/>
      <c r="R102" s="108">
        <f t="shared" si="1"/>
        <v>0</v>
      </c>
    </row>
    <row r="103" spans="1:18" x14ac:dyDescent="0.25">
      <c r="A103" s="106"/>
      <c r="B103" s="106"/>
      <c r="C103" s="106"/>
      <c r="D103" s="101" t="str">
        <f>IF(C103="","",IFERROR(INDEX(Mapping!$B$5:$B$40,MATCH(C103,Mapping!$A$5:$A$40,0)),"UNMAPPED"))</f>
        <v/>
      </c>
      <c r="E103" s="107"/>
      <c r="F103" s="107"/>
      <c r="G103" s="107"/>
      <c r="H103" s="107"/>
      <c r="I103" s="107"/>
      <c r="J103" s="107"/>
      <c r="K103" s="107"/>
      <c r="L103" s="107"/>
      <c r="M103" s="107"/>
      <c r="N103" s="107"/>
      <c r="O103" s="107"/>
      <c r="P103" s="107"/>
      <c r="Q103" s="107"/>
      <c r="R103" s="108">
        <f t="shared" si="1"/>
        <v>0</v>
      </c>
    </row>
    <row r="104" spans="1:18" x14ac:dyDescent="0.25">
      <c r="A104" s="106"/>
      <c r="B104" s="106"/>
      <c r="C104" s="106"/>
      <c r="D104" s="101" t="str">
        <f>IF(C104="","",IFERROR(INDEX(Mapping!$B$5:$B$40,MATCH(C104,Mapping!$A$5:$A$40,0)),"UNMAPPED"))</f>
        <v/>
      </c>
      <c r="E104" s="107"/>
      <c r="F104" s="107"/>
      <c r="G104" s="107"/>
      <c r="H104" s="107"/>
      <c r="I104" s="107"/>
      <c r="J104" s="107"/>
      <c r="K104" s="107"/>
      <c r="L104" s="107"/>
      <c r="M104" s="107"/>
      <c r="N104" s="107"/>
      <c r="O104" s="107"/>
      <c r="P104" s="107"/>
      <c r="Q104" s="107"/>
      <c r="R104" s="108">
        <f t="shared" si="1"/>
        <v>0</v>
      </c>
    </row>
    <row r="105" spans="1:18" x14ac:dyDescent="0.25">
      <c r="A105" s="106"/>
      <c r="B105" s="106"/>
      <c r="C105" s="106"/>
      <c r="D105" s="101" t="str">
        <f>IF(C105="","",IFERROR(INDEX(Mapping!$B$5:$B$40,MATCH(C105,Mapping!$A$5:$A$40,0)),"UNMAPPED"))</f>
        <v/>
      </c>
      <c r="E105" s="107"/>
      <c r="F105" s="107"/>
      <c r="G105" s="107"/>
      <c r="H105" s="107"/>
      <c r="I105" s="107"/>
      <c r="J105" s="107"/>
      <c r="K105" s="107"/>
      <c r="L105" s="107"/>
      <c r="M105" s="107"/>
      <c r="N105" s="107"/>
      <c r="O105" s="107"/>
      <c r="P105" s="107"/>
      <c r="Q105" s="107"/>
      <c r="R105" s="108">
        <f t="shared" si="1"/>
        <v>0</v>
      </c>
    </row>
    <row r="106" spans="1:18" x14ac:dyDescent="0.25">
      <c r="A106" s="106"/>
      <c r="B106" s="106"/>
      <c r="C106" s="106"/>
      <c r="D106" s="101" t="str">
        <f>IF(C106="","",IFERROR(INDEX(Mapping!$B$5:$B$40,MATCH(C106,Mapping!$A$5:$A$40,0)),"UNMAPPED"))</f>
        <v/>
      </c>
      <c r="E106" s="107"/>
      <c r="F106" s="107"/>
      <c r="G106" s="107"/>
      <c r="H106" s="107"/>
      <c r="I106" s="107"/>
      <c r="J106" s="107"/>
      <c r="K106" s="107"/>
      <c r="L106" s="107"/>
      <c r="M106" s="107"/>
      <c r="N106" s="107"/>
      <c r="O106" s="107"/>
      <c r="P106" s="107"/>
      <c r="Q106" s="107"/>
      <c r="R106" s="108">
        <f t="shared" si="1"/>
        <v>0</v>
      </c>
    </row>
    <row r="107" spans="1:18" x14ac:dyDescent="0.25">
      <c r="A107" s="106"/>
      <c r="B107" s="106"/>
      <c r="C107" s="106"/>
      <c r="D107" s="101" t="str">
        <f>IF(C107="","",IFERROR(INDEX(Mapping!$B$5:$B$40,MATCH(C107,Mapping!$A$5:$A$40,0)),"UNMAPPED"))</f>
        <v/>
      </c>
      <c r="E107" s="107"/>
      <c r="F107" s="107"/>
      <c r="G107" s="107"/>
      <c r="H107" s="107"/>
      <c r="I107" s="107"/>
      <c r="J107" s="107"/>
      <c r="K107" s="107"/>
      <c r="L107" s="107"/>
      <c r="M107" s="107"/>
      <c r="N107" s="107"/>
      <c r="O107" s="107"/>
      <c r="P107" s="107"/>
      <c r="Q107" s="107"/>
      <c r="R107" s="108">
        <f t="shared" si="1"/>
        <v>0</v>
      </c>
    </row>
    <row r="108" spans="1:18" x14ac:dyDescent="0.25">
      <c r="A108" s="106"/>
      <c r="B108" s="106"/>
      <c r="C108" s="106"/>
      <c r="D108" s="101" t="str">
        <f>IF(C108="","",IFERROR(INDEX(Mapping!$B$5:$B$40,MATCH(C108,Mapping!$A$5:$A$40,0)),"UNMAPPED"))</f>
        <v/>
      </c>
      <c r="E108" s="107"/>
      <c r="F108" s="107"/>
      <c r="G108" s="107"/>
      <c r="H108" s="107"/>
      <c r="I108" s="107"/>
      <c r="J108" s="107"/>
      <c r="K108" s="107"/>
      <c r="L108" s="107"/>
      <c r="M108" s="107"/>
      <c r="N108" s="107"/>
      <c r="O108" s="107"/>
      <c r="P108" s="107"/>
      <c r="Q108" s="107"/>
      <c r="R108" s="108">
        <f t="shared" si="1"/>
        <v>0</v>
      </c>
    </row>
    <row r="109" spans="1:18" x14ac:dyDescent="0.25">
      <c r="A109" s="106"/>
      <c r="B109" s="106"/>
      <c r="C109" s="106"/>
      <c r="D109" s="101" t="str">
        <f>IF(C109="","",IFERROR(INDEX(Mapping!$B$5:$B$40,MATCH(C109,Mapping!$A$5:$A$40,0)),"UNMAPPED"))</f>
        <v/>
      </c>
      <c r="E109" s="107"/>
      <c r="F109" s="107"/>
      <c r="G109" s="107"/>
      <c r="H109" s="107"/>
      <c r="I109" s="107"/>
      <c r="J109" s="107"/>
      <c r="K109" s="107"/>
      <c r="L109" s="107"/>
      <c r="M109" s="107"/>
      <c r="N109" s="107"/>
      <c r="O109" s="107"/>
      <c r="P109" s="107"/>
      <c r="Q109" s="107"/>
      <c r="R109" s="108">
        <f t="shared" si="1"/>
        <v>0</v>
      </c>
    </row>
    <row r="110" spans="1:18" x14ac:dyDescent="0.25">
      <c r="A110" s="106"/>
      <c r="B110" s="106"/>
      <c r="C110" s="106"/>
      <c r="D110" s="101" t="str">
        <f>IF(C110="","",IFERROR(INDEX(Mapping!$B$5:$B$40,MATCH(C110,Mapping!$A$5:$A$40,0)),"UNMAPPED"))</f>
        <v/>
      </c>
      <c r="E110" s="107"/>
      <c r="F110" s="107"/>
      <c r="G110" s="107"/>
      <c r="H110" s="107"/>
      <c r="I110" s="107"/>
      <c r="J110" s="107"/>
      <c r="K110" s="107"/>
      <c r="L110" s="107"/>
      <c r="M110" s="107"/>
      <c r="N110" s="107"/>
      <c r="O110" s="107"/>
      <c r="P110" s="107"/>
      <c r="Q110" s="107"/>
      <c r="R110" s="108">
        <f t="shared" si="1"/>
        <v>0</v>
      </c>
    </row>
    <row r="111" spans="1:18" x14ac:dyDescent="0.25">
      <c r="A111" s="106"/>
      <c r="B111" s="106"/>
      <c r="C111" s="106"/>
      <c r="D111" s="101" t="str">
        <f>IF(C111="","",IFERROR(INDEX(Mapping!$B$5:$B$40,MATCH(C111,Mapping!$A$5:$A$40,0)),"UNMAPPED"))</f>
        <v/>
      </c>
      <c r="E111" s="107"/>
      <c r="F111" s="107"/>
      <c r="G111" s="107"/>
      <c r="H111" s="107"/>
      <c r="I111" s="107"/>
      <c r="J111" s="107"/>
      <c r="K111" s="107"/>
      <c r="L111" s="107"/>
      <c r="M111" s="107"/>
      <c r="N111" s="107"/>
      <c r="O111" s="107"/>
      <c r="P111" s="107"/>
      <c r="Q111" s="107"/>
      <c r="R111" s="108">
        <f t="shared" si="1"/>
        <v>0</v>
      </c>
    </row>
    <row r="112" spans="1:18" x14ac:dyDescent="0.25">
      <c r="A112" s="106"/>
      <c r="B112" s="106"/>
      <c r="C112" s="106"/>
      <c r="D112" s="101" t="str">
        <f>IF(C112="","",IFERROR(INDEX(Mapping!$B$5:$B$40,MATCH(C112,Mapping!$A$5:$A$40,0)),"UNMAPPED"))</f>
        <v/>
      </c>
      <c r="E112" s="107"/>
      <c r="F112" s="107"/>
      <c r="G112" s="107"/>
      <c r="H112" s="107"/>
      <c r="I112" s="107"/>
      <c r="J112" s="107"/>
      <c r="K112" s="107"/>
      <c r="L112" s="107"/>
      <c r="M112" s="107"/>
      <c r="N112" s="107"/>
      <c r="O112" s="107"/>
      <c r="P112" s="107"/>
      <c r="Q112" s="107"/>
      <c r="R112" s="108">
        <f t="shared" si="1"/>
        <v>0</v>
      </c>
    </row>
    <row r="113" spans="1:18" x14ac:dyDescent="0.25">
      <c r="A113" s="106"/>
      <c r="B113" s="106"/>
      <c r="C113" s="106"/>
      <c r="D113" s="101" t="str">
        <f>IF(C113="","",IFERROR(INDEX(Mapping!$B$5:$B$40,MATCH(C113,Mapping!$A$5:$A$40,0)),"UNMAPPED"))</f>
        <v/>
      </c>
      <c r="E113" s="107"/>
      <c r="F113" s="107"/>
      <c r="G113" s="107"/>
      <c r="H113" s="107"/>
      <c r="I113" s="107"/>
      <c r="J113" s="107"/>
      <c r="K113" s="107"/>
      <c r="L113" s="107"/>
      <c r="M113" s="107"/>
      <c r="N113" s="107"/>
      <c r="O113" s="107"/>
      <c r="P113" s="107"/>
      <c r="Q113" s="107"/>
      <c r="R113" s="108">
        <f t="shared" si="1"/>
        <v>0</v>
      </c>
    </row>
    <row r="114" spans="1:18" x14ac:dyDescent="0.25">
      <c r="A114" s="106"/>
      <c r="B114" s="106"/>
      <c r="C114" s="106"/>
      <c r="D114" s="101" t="str">
        <f>IF(C114="","",IFERROR(INDEX(Mapping!$B$5:$B$40,MATCH(C114,Mapping!$A$5:$A$40,0)),"UNMAPPED"))</f>
        <v/>
      </c>
      <c r="E114" s="107"/>
      <c r="F114" s="107"/>
      <c r="G114" s="107"/>
      <c r="H114" s="107"/>
      <c r="I114" s="107"/>
      <c r="J114" s="107"/>
      <c r="K114" s="107"/>
      <c r="L114" s="107"/>
      <c r="M114" s="107"/>
      <c r="N114" s="107"/>
      <c r="O114" s="107"/>
      <c r="P114" s="107"/>
      <c r="Q114" s="107"/>
      <c r="R114" s="108">
        <f t="shared" si="1"/>
        <v>0</v>
      </c>
    </row>
    <row r="115" spans="1:18" x14ac:dyDescent="0.25">
      <c r="A115" s="106"/>
      <c r="B115" s="106"/>
      <c r="C115" s="106"/>
      <c r="D115" s="101" t="str">
        <f>IF(C115="","",IFERROR(INDEX(Mapping!$B$5:$B$40,MATCH(C115,Mapping!$A$5:$A$40,0)),"UNMAPPED"))</f>
        <v/>
      </c>
      <c r="E115" s="107"/>
      <c r="F115" s="107"/>
      <c r="G115" s="107"/>
      <c r="H115" s="107"/>
      <c r="I115" s="107"/>
      <c r="J115" s="107"/>
      <c r="K115" s="107"/>
      <c r="L115" s="107"/>
      <c r="M115" s="107"/>
      <c r="N115" s="107"/>
      <c r="O115" s="107"/>
      <c r="P115" s="107"/>
      <c r="Q115" s="107"/>
      <c r="R115" s="108">
        <f t="shared" si="1"/>
        <v>0</v>
      </c>
    </row>
    <row r="116" spans="1:18" x14ac:dyDescent="0.25">
      <c r="A116" s="106"/>
      <c r="B116" s="106"/>
      <c r="C116" s="106"/>
      <c r="D116" s="101" t="str">
        <f>IF(C116="","",IFERROR(INDEX(Mapping!$B$5:$B$40,MATCH(C116,Mapping!$A$5:$A$40,0)),"UNMAPPED"))</f>
        <v/>
      </c>
      <c r="E116" s="107"/>
      <c r="F116" s="107"/>
      <c r="G116" s="107"/>
      <c r="H116" s="107"/>
      <c r="I116" s="107"/>
      <c r="J116" s="107"/>
      <c r="K116" s="107"/>
      <c r="L116" s="107"/>
      <c r="M116" s="107"/>
      <c r="N116" s="107"/>
      <c r="O116" s="107"/>
      <c r="P116" s="107"/>
      <c r="Q116" s="107"/>
      <c r="R116" s="108">
        <f t="shared" si="1"/>
        <v>0</v>
      </c>
    </row>
    <row r="117" spans="1:18" x14ac:dyDescent="0.25">
      <c r="A117" s="106"/>
      <c r="B117" s="106"/>
      <c r="C117" s="106"/>
      <c r="D117" s="101" t="str">
        <f>IF(C117="","",IFERROR(INDEX(Mapping!$B$5:$B$40,MATCH(C117,Mapping!$A$5:$A$40,0)),"UNMAPPED"))</f>
        <v/>
      </c>
      <c r="E117" s="107"/>
      <c r="F117" s="107"/>
      <c r="G117" s="107"/>
      <c r="H117" s="107"/>
      <c r="I117" s="107"/>
      <c r="J117" s="107"/>
      <c r="K117" s="107"/>
      <c r="L117" s="107"/>
      <c r="M117" s="107"/>
      <c r="N117" s="107"/>
      <c r="O117" s="107"/>
      <c r="P117" s="107"/>
      <c r="Q117" s="107"/>
      <c r="R117" s="108">
        <f t="shared" si="1"/>
        <v>0</v>
      </c>
    </row>
    <row r="118" spans="1:18" x14ac:dyDescent="0.25">
      <c r="A118" s="106"/>
      <c r="B118" s="106"/>
      <c r="C118" s="106"/>
      <c r="D118" s="101" t="str">
        <f>IF(C118="","",IFERROR(INDEX(Mapping!$B$5:$B$40,MATCH(C118,Mapping!$A$5:$A$40,0)),"UNMAPPED"))</f>
        <v/>
      </c>
      <c r="E118" s="107"/>
      <c r="F118" s="107"/>
      <c r="G118" s="107"/>
      <c r="H118" s="107"/>
      <c r="I118" s="107"/>
      <c r="J118" s="107"/>
      <c r="K118" s="107"/>
      <c r="L118" s="107"/>
      <c r="M118" s="107"/>
      <c r="N118" s="107"/>
      <c r="O118" s="107"/>
      <c r="P118" s="107"/>
      <c r="Q118" s="107"/>
      <c r="R118" s="108">
        <f t="shared" si="1"/>
        <v>0</v>
      </c>
    </row>
    <row r="119" spans="1:18" x14ac:dyDescent="0.25">
      <c r="A119" s="106"/>
      <c r="B119" s="106"/>
      <c r="C119" s="106"/>
      <c r="D119" s="101" t="str">
        <f>IF(C119="","",IFERROR(INDEX(Mapping!$B$5:$B$40,MATCH(C119,Mapping!$A$5:$A$40,0)),"UNMAPPED"))</f>
        <v/>
      </c>
      <c r="E119" s="107"/>
      <c r="F119" s="107"/>
      <c r="G119" s="107"/>
      <c r="H119" s="107"/>
      <c r="I119" s="107"/>
      <c r="J119" s="107"/>
      <c r="K119" s="107"/>
      <c r="L119" s="107"/>
      <c r="M119" s="107"/>
      <c r="N119" s="107"/>
      <c r="O119" s="107"/>
      <c r="P119" s="107"/>
      <c r="Q119" s="107"/>
      <c r="R119" s="108">
        <f t="shared" si="1"/>
        <v>0</v>
      </c>
    </row>
    <row r="120" spans="1:18" x14ac:dyDescent="0.25">
      <c r="A120" s="106"/>
      <c r="B120" s="106"/>
      <c r="C120" s="106"/>
      <c r="D120" s="101" t="str">
        <f>IF(C120="","",IFERROR(INDEX(Mapping!$B$5:$B$40,MATCH(C120,Mapping!$A$5:$A$40,0)),"UNMAPPED"))</f>
        <v/>
      </c>
      <c r="E120" s="107"/>
      <c r="F120" s="107"/>
      <c r="G120" s="107"/>
      <c r="H120" s="107"/>
      <c r="I120" s="107"/>
      <c r="J120" s="107"/>
      <c r="K120" s="107"/>
      <c r="L120" s="107"/>
      <c r="M120" s="107"/>
      <c r="N120" s="107"/>
      <c r="O120" s="107"/>
      <c r="P120" s="107"/>
      <c r="Q120" s="107"/>
      <c r="R120" s="108">
        <f t="shared" si="1"/>
        <v>0</v>
      </c>
    </row>
    <row r="121" spans="1:18" x14ac:dyDescent="0.25">
      <c r="A121" s="106"/>
      <c r="B121" s="106"/>
      <c r="C121" s="106"/>
      <c r="D121" s="101" t="str">
        <f>IF(C121="","",IFERROR(INDEX(Mapping!$B$5:$B$40,MATCH(C121,Mapping!$A$5:$A$40,0)),"UNMAPPED"))</f>
        <v/>
      </c>
      <c r="E121" s="107"/>
      <c r="F121" s="107"/>
      <c r="G121" s="107"/>
      <c r="H121" s="107"/>
      <c r="I121" s="107"/>
      <c r="J121" s="107"/>
      <c r="K121" s="107"/>
      <c r="L121" s="107"/>
      <c r="M121" s="107"/>
      <c r="N121" s="107"/>
      <c r="O121" s="107"/>
      <c r="P121" s="107"/>
      <c r="Q121" s="107"/>
      <c r="R121" s="108">
        <f t="shared" si="1"/>
        <v>0</v>
      </c>
    </row>
    <row r="122" spans="1:18" x14ac:dyDescent="0.25">
      <c r="A122" s="106"/>
      <c r="B122" s="106"/>
      <c r="C122" s="106"/>
      <c r="D122" s="101" t="str">
        <f>IF(C122="","",IFERROR(INDEX(Mapping!$B$5:$B$40,MATCH(C122,Mapping!$A$5:$A$40,0)),"UNMAPPED"))</f>
        <v/>
      </c>
      <c r="E122" s="107"/>
      <c r="F122" s="107"/>
      <c r="G122" s="107"/>
      <c r="H122" s="107"/>
      <c r="I122" s="107"/>
      <c r="J122" s="107"/>
      <c r="K122" s="107"/>
      <c r="L122" s="107"/>
      <c r="M122" s="107"/>
      <c r="N122" s="107"/>
      <c r="O122" s="107"/>
      <c r="P122" s="107"/>
      <c r="Q122" s="107"/>
      <c r="R122" s="108">
        <f t="shared" si="1"/>
        <v>0</v>
      </c>
    </row>
    <row r="123" spans="1:18" x14ac:dyDescent="0.25">
      <c r="A123" s="106"/>
      <c r="B123" s="106"/>
      <c r="C123" s="106"/>
      <c r="D123" s="101" t="str">
        <f>IF(C123="","",IFERROR(INDEX(Mapping!$B$5:$B$40,MATCH(C123,Mapping!$A$5:$A$40,0)),"UNMAPPED"))</f>
        <v/>
      </c>
      <c r="E123" s="107"/>
      <c r="F123" s="107"/>
      <c r="G123" s="107"/>
      <c r="H123" s="107"/>
      <c r="I123" s="107"/>
      <c r="J123" s="107"/>
      <c r="K123" s="107"/>
      <c r="L123" s="107"/>
      <c r="M123" s="107"/>
      <c r="N123" s="107"/>
      <c r="O123" s="107"/>
      <c r="P123" s="107"/>
      <c r="Q123" s="107"/>
      <c r="R123" s="108">
        <f t="shared" si="1"/>
        <v>0</v>
      </c>
    </row>
    <row r="124" spans="1:18" x14ac:dyDescent="0.25">
      <c r="A124" s="106"/>
      <c r="B124" s="106"/>
      <c r="C124" s="106"/>
      <c r="D124" s="101" t="str">
        <f>IF(C124="","",IFERROR(INDEX(Mapping!$B$5:$B$40,MATCH(C124,Mapping!$A$5:$A$40,0)),"UNMAPPED"))</f>
        <v/>
      </c>
      <c r="E124" s="107"/>
      <c r="F124" s="107"/>
      <c r="G124" s="107"/>
      <c r="H124" s="107"/>
      <c r="I124" s="107"/>
      <c r="J124" s="107"/>
      <c r="K124" s="107"/>
      <c r="L124" s="107"/>
      <c r="M124" s="107"/>
      <c r="N124" s="107"/>
      <c r="O124" s="107"/>
      <c r="P124" s="107"/>
      <c r="Q124" s="107"/>
      <c r="R124" s="108">
        <f t="shared" si="1"/>
        <v>0</v>
      </c>
    </row>
    <row r="125" spans="1:18" x14ac:dyDescent="0.25">
      <c r="A125" s="106"/>
      <c r="B125" s="106"/>
      <c r="C125" s="106"/>
      <c r="D125" s="101" t="str">
        <f>IF(C125="","",IFERROR(INDEX(Mapping!$B$5:$B$40,MATCH(C125,Mapping!$A$5:$A$40,0)),"UNMAPPED"))</f>
        <v/>
      </c>
      <c r="E125" s="107"/>
      <c r="F125" s="107"/>
      <c r="G125" s="107"/>
      <c r="H125" s="107"/>
      <c r="I125" s="107"/>
      <c r="J125" s="107"/>
      <c r="K125" s="107"/>
      <c r="L125" s="107"/>
      <c r="M125" s="107"/>
      <c r="N125" s="107"/>
      <c r="O125" s="107"/>
      <c r="P125" s="107"/>
      <c r="Q125" s="107"/>
      <c r="R125" s="108">
        <f t="shared" si="1"/>
        <v>0</v>
      </c>
    </row>
    <row r="126" spans="1:18" x14ac:dyDescent="0.25">
      <c r="A126" s="106"/>
      <c r="B126" s="106"/>
      <c r="C126" s="106"/>
      <c r="D126" s="101" t="str">
        <f>IF(C126="","",IFERROR(INDEX(Mapping!$B$5:$B$40,MATCH(C126,Mapping!$A$5:$A$40,0)),"UNMAPPED"))</f>
        <v/>
      </c>
      <c r="E126" s="107"/>
      <c r="F126" s="107"/>
      <c r="G126" s="107"/>
      <c r="H126" s="107"/>
      <c r="I126" s="107"/>
      <c r="J126" s="107"/>
      <c r="K126" s="107"/>
      <c r="L126" s="107"/>
      <c r="M126" s="107"/>
      <c r="N126" s="107"/>
      <c r="O126" s="107"/>
      <c r="P126" s="107"/>
      <c r="Q126" s="107"/>
      <c r="R126" s="108">
        <f t="shared" si="1"/>
        <v>0</v>
      </c>
    </row>
    <row r="127" spans="1:18" x14ac:dyDescent="0.25">
      <c r="A127" s="106"/>
      <c r="B127" s="106"/>
      <c r="C127" s="106"/>
      <c r="D127" s="101" t="str">
        <f>IF(C127="","",IFERROR(INDEX(Mapping!$B$5:$B$40,MATCH(C127,Mapping!$A$5:$A$40,0)),"UNMAPPED"))</f>
        <v/>
      </c>
      <c r="E127" s="107"/>
      <c r="F127" s="107"/>
      <c r="G127" s="107"/>
      <c r="H127" s="107"/>
      <c r="I127" s="107"/>
      <c r="J127" s="107"/>
      <c r="K127" s="107"/>
      <c r="L127" s="107"/>
      <c r="M127" s="107"/>
      <c r="N127" s="107"/>
      <c r="O127" s="107"/>
      <c r="P127" s="107"/>
      <c r="Q127" s="107"/>
      <c r="R127" s="108">
        <f t="shared" si="1"/>
        <v>0</v>
      </c>
    </row>
    <row r="128" spans="1:18" x14ac:dyDescent="0.25">
      <c r="A128" s="106"/>
      <c r="B128" s="106"/>
      <c r="C128" s="106"/>
      <c r="D128" s="101" t="str">
        <f>IF(C128="","",IFERROR(INDEX(Mapping!$B$5:$B$40,MATCH(C128,Mapping!$A$5:$A$40,0)),"UNMAPPED"))</f>
        <v/>
      </c>
      <c r="E128" s="107"/>
      <c r="F128" s="107"/>
      <c r="G128" s="107"/>
      <c r="H128" s="107"/>
      <c r="I128" s="107"/>
      <c r="J128" s="107"/>
      <c r="K128" s="107"/>
      <c r="L128" s="107"/>
      <c r="M128" s="107"/>
      <c r="N128" s="107"/>
      <c r="O128" s="107"/>
      <c r="P128" s="107"/>
      <c r="Q128" s="107"/>
      <c r="R128" s="108">
        <f t="shared" si="1"/>
        <v>0</v>
      </c>
    </row>
    <row r="129" spans="1:18" x14ac:dyDescent="0.25">
      <c r="A129" s="106"/>
      <c r="B129" s="106"/>
      <c r="C129" s="106"/>
      <c r="D129" s="101" t="str">
        <f>IF(C129="","",IFERROR(INDEX(Mapping!$B$5:$B$40,MATCH(C129,Mapping!$A$5:$A$40,0)),"UNMAPPED"))</f>
        <v/>
      </c>
      <c r="E129" s="107"/>
      <c r="F129" s="107"/>
      <c r="G129" s="107"/>
      <c r="H129" s="107"/>
      <c r="I129" s="107"/>
      <c r="J129" s="107"/>
      <c r="K129" s="107"/>
      <c r="L129" s="107"/>
      <c r="M129" s="107"/>
      <c r="N129" s="107"/>
      <c r="O129" s="107"/>
      <c r="P129" s="107"/>
      <c r="Q129" s="107"/>
      <c r="R129" s="108">
        <f t="shared" si="1"/>
        <v>0</v>
      </c>
    </row>
    <row r="130" spans="1:18" x14ac:dyDescent="0.25">
      <c r="A130" s="106"/>
      <c r="B130" s="106"/>
      <c r="C130" s="106"/>
      <c r="D130" s="101" t="str">
        <f>IF(C130="","",IFERROR(INDEX(Mapping!$B$5:$B$40,MATCH(C130,Mapping!$A$5:$A$40,0)),"UNMAPPED"))</f>
        <v/>
      </c>
      <c r="E130" s="107"/>
      <c r="F130" s="107"/>
      <c r="G130" s="107"/>
      <c r="H130" s="107"/>
      <c r="I130" s="107"/>
      <c r="J130" s="107"/>
      <c r="K130" s="107"/>
      <c r="L130" s="107"/>
      <c r="M130" s="107"/>
      <c r="N130" s="107"/>
      <c r="O130" s="107"/>
      <c r="P130" s="107"/>
      <c r="Q130" s="107"/>
      <c r="R130" s="108">
        <f t="shared" si="1"/>
        <v>0</v>
      </c>
    </row>
    <row r="131" spans="1:18" x14ac:dyDescent="0.25">
      <c r="A131" s="106"/>
      <c r="B131" s="106"/>
      <c r="C131" s="106"/>
      <c r="D131" s="101" t="str">
        <f>IF(C131="","",IFERROR(INDEX(Mapping!$B$5:$B$40,MATCH(C131,Mapping!$A$5:$A$40,0)),"UNMAPPED"))</f>
        <v/>
      </c>
      <c r="E131" s="107"/>
      <c r="F131" s="107"/>
      <c r="G131" s="107"/>
      <c r="H131" s="107"/>
      <c r="I131" s="107"/>
      <c r="J131" s="107"/>
      <c r="K131" s="107"/>
      <c r="L131" s="107"/>
      <c r="M131" s="107"/>
      <c r="N131" s="107"/>
      <c r="O131" s="107"/>
      <c r="P131" s="107"/>
      <c r="Q131" s="107"/>
      <c r="R131" s="108">
        <f t="shared" si="1"/>
        <v>0</v>
      </c>
    </row>
    <row r="132" spans="1:18" x14ac:dyDescent="0.25">
      <c r="A132" s="106"/>
      <c r="B132" s="106"/>
      <c r="C132" s="106"/>
      <c r="D132" s="101" t="str">
        <f>IF(C132="","",IFERROR(INDEX(Mapping!$B$5:$B$40,MATCH(C132,Mapping!$A$5:$A$40,0)),"UNMAPPED"))</f>
        <v/>
      </c>
      <c r="E132" s="107"/>
      <c r="F132" s="107"/>
      <c r="G132" s="107"/>
      <c r="H132" s="107"/>
      <c r="I132" s="107"/>
      <c r="J132" s="107"/>
      <c r="K132" s="107"/>
      <c r="L132" s="107"/>
      <c r="M132" s="107"/>
      <c r="N132" s="107"/>
      <c r="O132" s="107"/>
      <c r="P132" s="107"/>
      <c r="Q132" s="107"/>
      <c r="R132" s="108">
        <f t="shared" si="1"/>
        <v>0</v>
      </c>
    </row>
    <row r="133" spans="1:18" x14ac:dyDescent="0.25">
      <c r="A133" s="106"/>
      <c r="B133" s="106"/>
      <c r="C133" s="106"/>
      <c r="D133" s="101" t="str">
        <f>IF(C133="","",IFERROR(INDEX(Mapping!$B$5:$B$40,MATCH(C133,Mapping!$A$5:$A$40,0)),"UNMAPPED"))</f>
        <v/>
      </c>
      <c r="E133" s="107"/>
      <c r="F133" s="107"/>
      <c r="G133" s="107"/>
      <c r="H133" s="107"/>
      <c r="I133" s="107"/>
      <c r="J133" s="107"/>
      <c r="K133" s="107"/>
      <c r="L133" s="107"/>
      <c r="M133" s="107"/>
      <c r="N133" s="107"/>
      <c r="O133" s="107"/>
      <c r="P133" s="107"/>
      <c r="Q133" s="107"/>
      <c r="R133" s="108">
        <f t="shared" si="1"/>
        <v>0</v>
      </c>
    </row>
    <row r="134" spans="1:18" x14ac:dyDescent="0.25">
      <c r="A134" s="106"/>
      <c r="B134" s="106"/>
      <c r="C134" s="106"/>
      <c r="D134" s="101" t="str">
        <f>IF(C134="","",IFERROR(INDEX(Mapping!$B$5:$B$40,MATCH(C134,Mapping!$A$5:$A$40,0)),"UNMAPPED"))</f>
        <v/>
      </c>
      <c r="E134" s="107"/>
      <c r="F134" s="107"/>
      <c r="G134" s="107"/>
      <c r="H134" s="107"/>
      <c r="I134" s="107"/>
      <c r="J134" s="107"/>
      <c r="K134" s="107"/>
      <c r="L134" s="107"/>
      <c r="M134" s="107"/>
      <c r="N134" s="107"/>
      <c r="O134" s="107"/>
      <c r="P134" s="107"/>
      <c r="Q134" s="107"/>
      <c r="R134" s="108">
        <f t="shared" ref="R134:R197" si="2">IF(SUMPRODUCT(ABS(E134:Q134))=0,0,IF(OR(D134="IS",D134="BS"),0,1))</f>
        <v>0</v>
      </c>
    </row>
    <row r="135" spans="1:18" x14ac:dyDescent="0.25">
      <c r="A135" s="106"/>
      <c r="B135" s="106"/>
      <c r="C135" s="106"/>
      <c r="D135" s="101" t="str">
        <f>IF(C135="","",IFERROR(INDEX(Mapping!$B$5:$B$40,MATCH(C135,Mapping!$A$5:$A$40,0)),"UNMAPPED"))</f>
        <v/>
      </c>
      <c r="E135" s="107"/>
      <c r="F135" s="107"/>
      <c r="G135" s="107"/>
      <c r="H135" s="107"/>
      <c r="I135" s="107"/>
      <c r="J135" s="107"/>
      <c r="K135" s="107"/>
      <c r="L135" s="107"/>
      <c r="M135" s="107"/>
      <c r="N135" s="107"/>
      <c r="O135" s="107"/>
      <c r="P135" s="107"/>
      <c r="Q135" s="107"/>
      <c r="R135" s="108">
        <f t="shared" si="2"/>
        <v>0</v>
      </c>
    </row>
    <row r="136" spans="1:18" x14ac:dyDescent="0.25">
      <c r="A136" s="106"/>
      <c r="B136" s="106"/>
      <c r="C136" s="106"/>
      <c r="D136" s="101" t="str">
        <f>IF(C136="","",IFERROR(INDEX(Mapping!$B$5:$B$40,MATCH(C136,Mapping!$A$5:$A$40,0)),"UNMAPPED"))</f>
        <v/>
      </c>
      <c r="E136" s="107"/>
      <c r="F136" s="107"/>
      <c r="G136" s="107"/>
      <c r="H136" s="107"/>
      <c r="I136" s="107"/>
      <c r="J136" s="107"/>
      <c r="K136" s="107"/>
      <c r="L136" s="107"/>
      <c r="M136" s="107"/>
      <c r="N136" s="107"/>
      <c r="O136" s="107"/>
      <c r="P136" s="107"/>
      <c r="Q136" s="107"/>
      <c r="R136" s="108">
        <f t="shared" si="2"/>
        <v>0</v>
      </c>
    </row>
    <row r="137" spans="1:18" x14ac:dyDescent="0.25">
      <c r="A137" s="106"/>
      <c r="B137" s="106"/>
      <c r="C137" s="106"/>
      <c r="D137" s="101" t="str">
        <f>IF(C137="","",IFERROR(INDEX(Mapping!$B$5:$B$40,MATCH(C137,Mapping!$A$5:$A$40,0)),"UNMAPPED"))</f>
        <v/>
      </c>
      <c r="E137" s="107"/>
      <c r="F137" s="107"/>
      <c r="G137" s="107"/>
      <c r="H137" s="107"/>
      <c r="I137" s="107"/>
      <c r="J137" s="107"/>
      <c r="K137" s="107"/>
      <c r="L137" s="107"/>
      <c r="M137" s="107"/>
      <c r="N137" s="107"/>
      <c r="O137" s="107"/>
      <c r="P137" s="107"/>
      <c r="Q137" s="107"/>
      <c r="R137" s="108">
        <f t="shared" si="2"/>
        <v>0</v>
      </c>
    </row>
    <row r="138" spans="1:18" x14ac:dyDescent="0.25">
      <c r="A138" s="106"/>
      <c r="B138" s="106"/>
      <c r="C138" s="106"/>
      <c r="D138" s="101" t="str">
        <f>IF(C138="","",IFERROR(INDEX(Mapping!$B$5:$B$40,MATCH(C138,Mapping!$A$5:$A$40,0)),"UNMAPPED"))</f>
        <v/>
      </c>
      <c r="E138" s="107"/>
      <c r="F138" s="107"/>
      <c r="G138" s="107"/>
      <c r="H138" s="107"/>
      <c r="I138" s="107"/>
      <c r="J138" s="107"/>
      <c r="K138" s="107"/>
      <c r="L138" s="107"/>
      <c r="M138" s="107"/>
      <c r="N138" s="107"/>
      <c r="O138" s="107"/>
      <c r="P138" s="107"/>
      <c r="Q138" s="107"/>
      <c r="R138" s="108">
        <f t="shared" si="2"/>
        <v>0</v>
      </c>
    </row>
    <row r="139" spans="1:18" x14ac:dyDescent="0.25">
      <c r="A139" s="106"/>
      <c r="B139" s="106"/>
      <c r="C139" s="106"/>
      <c r="D139" s="101" t="str">
        <f>IF(C139="","",IFERROR(INDEX(Mapping!$B$5:$B$40,MATCH(C139,Mapping!$A$5:$A$40,0)),"UNMAPPED"))</f>
        <v/>
      </c>
      <c r="E139" s="107"/>
      <c r="F139" s="107"/>
      <c r="G139" s="107"/>
      <c r="H139" s="107"/>
      <c r="I139" s="107"/>
      <c r="J139" s="107"/>
      <c r="K139" s="107"/>
      <c r="L139" s="107"/>
      <c r="M139" s="107"/>
      <c r="N139" s="107"/>
      <c r="O139" s="107"/>
      <c r="P139" s="107"/>
      <c r="Q139" s="107"/>
      <c r="R139" s="108">
        <f t="shared" si="2"/>
        <v>0</v>
      </c>
    </row>
    <row r="140" spans="1:18" x14ac:dyDescent="0.25">
      <c r="A140" s="106"/>
      <c r="B140" s="106"/>
      <c r="C140" s="106"/>
      <c r="D140" s="101" t="str">
        <f>IF(C140="","",IFERROR(INDEX(Mapping!$B$5:$B$40,MATCH(C140,Mapping!$A$5:$A$40,0)),"UNMAPPED"))</f>
        <v/>
      </c>
      <c r="E140" s="107"/>
      <c r="F140" s="107"/>
      <c r="G140" s="107"/>
      <c r="H140" s="107"/>
      <c r="I140" s="107"/>
      <c r="J140" s="107"/>
      <c r="K140" s="107"/>
      <c r="L140" s="107"/>
      <c r="M140" s="107"/>
      <c r="N140" s="107"/>
      <c r="O140" s="107"/>
      <c r="P140" s="107"/>
      <c r="Q140" s="107"/>
      <c r="R140" s="108">
        <f t="shared" si="2"/>
        <v>0</v>
      </c>
    </row>
    <row r="141" spans="1:18" x14ac:dyDescent="0.25">
      <c r="A141" s="106"/>
      <c r="B141" s="106"/>
      <c r="C141" s="106"/>
      <c r="D141" s="101" t="str">
        <f>IF(C141="","",IFERROR(INDEX(Mapping!$B$5:$B$40,MATCH(C141,Mapping!$A$5:$A$40,0)),"UNMAPPED"))</f>
        <v/>
      </c>
      <c r="E141" s="107"/>
      <c r="F141" s="107"/>
      <c r="G141" s="107"/>
      <c r="H141" s="107"/>
      <c r="I141" s="107"/>
      <c r="J141" s="107"/>
      <c r="K141" s="107"/>
      <c r="L141" s="107"/>
      <c r="M141" s="107"/>
      <c r="N141" s="107"/>
      <c r="O141" s="107"/>
      <c r="P141" s="107"/>
      <c r="Q141" s="107"/>
      <c r="R141" s="108">
        <f t="shared" si="2"/>
        <v>0</v>
      </c>
    </row>
    <row r="142" spans="1:18" x14ac:dyDescent="0.25">
      <c r="A142" s="106"/>
      <c r="B142" s="106"/>
      <c r="C142" s="106"/>
      <c r="D142" s="101" t="str">
        <f>IF(C142="","",IFERROR(INDEX(Mapping!$B$5:$B$40,MATCH(C142,Mapping!$A$5:$A$40,0)),"UNMAPPED"))</f>
        <v/>
      </c>
      <c r="E142" s="107"/>
      <c r="F142" s="107"/>
      <c r="G142" s="107"/>
      <c r="H142" s="107"/>
      <c r="I142" s="107"/>
      <c r="J142" s="107"/>
      <c r="K142" s="107"/>
      <c r="L142" s="107"/>
      <c r="M142" s="107"/>
      <c r="N142" s="107"/>
      <c r="O142" s="107"/>
      <c r="P142" s="107"/>
      <c r="Q142" s="107"/>
      <c r="R142" s="108">
        <f t="shared" si="2"/>
        <v>0</v>
      </c>
    </row>
    <row r="143" spans="1:18" x14ac:dyDescent="0.25">
      <c r="A143" s="106"/>
      <c r="B143" s="106"/>
      <c r="C143" s="106"/>
      <c r="D143" s="101" t="str">
        <f>IF(C143="","",IFERROR(INDEX(Mapping!$B$5:$B$40,MATCH(C143,Mapping!$A$5:$A$40,0)),"UNMAPPED"))</f>
        <v/>
      </c>
      <c r="E143" s="107"/>
      <c r="F143" s="107"/>
      <c r="G143" s="107"/>
      <c r="H143" s="107"/>
      <c r="I143" s="107"/>
      <c r="J143" s="107"/>
      <c r="K143" s="107"/>
      <c r="L143" s="107"/>
      <c r="M143" s="107"/>
      <c r="N143" s="107"/>
      <c r="O143" s="107"/>
      <c r="P143" s="107"/>
      <c r="Q143" s="107"/>
      <c r="R143" s="108">
        <f t="shared" si="2"/>
        <v>0</v>
      </c>
    </row>
    <row r="144" spans="1:18" x14ac:dyDescent="0.25">
      <c r="A144" s="106"/>
      <c r="B144" s="106"/>
      <c r="C144" s="106"/>
      <c r="D144" s="101" t="str">
        <f>IF(C144="","",IFERROR(INDEX(Mapping!$B$5:$B$40,MATCH(C144,Mapping!$A$5:$A$40,0)),"UNMAPPED"))</f>
        <v/>
      </c>
      <c r="E144" s="107"/>
      <c r="F144" s="107"/>
      <c r="G144" s="107"/>
      <c r="H144" s="107"/>
      <c r="I144" s="107"/>
      <c r="J144" s="107"/>
      <c r="K144" s="107"/>
      <c r="L144" s="107"/>
      <c r="M144" s="107"/>
      <c r="N144" s="107"/>
      <c r="O144" s="107"/>
      <c r="P144" s="107"/>
      <c r="Q144" s="107"/>
      <c r="R144" s="108">
        <f t="shared" si="2"/>
        <v>0</v>
      </c>
    </row>
    <row r="145" spans="1:18" x14ac:dyDescent="0.25">
      <c r="A145" s="106"/>
      <c r="B145" s="106"/>
      <c r="C145" s="106"/>
      <c r="D145" s="101" t="str">
        <f>IF(C145="","",IFERROR(INDEX(Mapping!$B$5:$B$40,MATCH(C145,Mapping!$A$5:$A$40,0)),"UNMAPPED"))</f>
        <v/>
      </c>
      <c r="E145" s="107"/>
      <c r="F145" s="107"/>
      <c r="G145" s="107"/>
      <c r="H145" s="107"/>
      <c r="I145" s="107"/>
      <c r="J145" s="107"/>
      <c r="K145" s="107"/>
      <c r="L145" s="107"/>
      <c r="M145" s="107"/>
      <c r="N145" s="107"/>
      <c r="O145" s="107"/>
      <c r="P145" s="107"/>
      <c r="Q145" s="107"/>
      <c r="R145" s="108">
        <f t="shared" si="2"/>
        <v>0</v>
      </c>
    </row>
    <row r="146" spans="1:18" x14ac:dyDescent="0.25">
      <c r="A146" s="106"/>
      <c r="B146" s="106"/>
      <c r="C146" s="106"/>
      <c r="D146" s="101" t="str">
        <f>IF(C146="","",IFERROR(INDEX(Mapping!$B$5:$B$40,MATCH(C146,Mapping!$A$5:$A$40,0)),"UNMAPPED"))</f>
        <v/>
      </c>
      <c r="E146" s="107"/>
      <c r="F146" s="107"/>
      <c r="G146" s="107"/>
      <c r="H146" s="107"/>
      <c r="I146" s="107"/>
      <c r="J146" s="107"/>
      <c r="K146" s="107"/>
      <c r="L146" s="107"/>
      <c r="M146" s="107"/>
      <c r="N146" s="107"/>
      <c r="O146" s="107"/>
      <c r="P146" s="107"/>
      <c r="Q146" s="107"/>
      <c r="R146" s="108">
        <f t="shared" si="2"/>
        <v>0</v>
      </c>
    </row>
    <row r="147" spans="1:18" x14ac:dyDescent="0.25">
      <c r="A147" s="106"/>
      <c r="B147" s="106"/>
      <c r="C147" s="106"/>
      <c r="D147" s="101" t="str">
        <f>IF(C147="","",IFERROR(INDEX(Mapping!$B$5:$B$40,MATCH(C147,Mapping!$A$5:$A$40,0)),"UNMAPPED"))</f>
        <v/>
      </c>
      <c r="E147" s="107"/>
      <c r="F147" s="107"/>
      <c r="G147" s="107"/>
      <c r="H147" s="107"/>
      <c r="I147" s="107"/>
      <c r="J147" s="107"/>
      <c r="K147" s="107"/>
      <c r="L147" s="107"/>
      <c r="M147" s="107"/>
      <c r="N147" s="107"/>
      <c r="O147" s="107"/>
      <c r="P147" s="107"/>
      <c r="Q147" s="107"/>
      <c r="R147" s="108">
        <f t="shared" si="2"/>
        <v>0</v>
      </c>
    </row>
    <row r="148" spans="1:18" x14ac:dyDescent="0.25">
      <c r="A148" s="106"/>
      <c r="B148" s="106"/>
      <c r="C148" s="106"/>
      <c r="D148" s="101" t="str">
        <f>IF(C148="","",IFERROR(INDEX(Mapping!$B$5:$B$40,MATCH(C148,Mapping!$A$5:$A$40,0)),"UNMAPPED"))</f>
        <v/>
      </c>
      <c r="E148" s="107"/>
      <c r="F148" s="107"/>
      <c r="G148" s="107"/>
      <c r="H148" s="107"/>
      <c r="I148" s="107"/>
      <c r="J148" s="107"/>
      <c r="K148" s="107"/>
      <c r="L148" s="107"/>
      <c r="M148" s="107"/>
      <c r="N148" s="107"/>
      <c r="O148" s="107"/>
      <c r="P148" s="107"/>
      <c r="Q148" s="107"/>
      <c r="R148" s="108">
        <f t="shared" si="2"/>
        <v>0</v>
      </c>
    </row>
    <row r="149" spans="1:18" x14ac:dyDescent="0.25">
      <c r="A149" s="106"/>
      <c r="B149" s="106"/>
      <c r="C149" s="106"/>
      <c r="D149" s="101" t="str">
        <f>IF(C149="","",IFERROR(INDEX(Mapping!$B$5:$B$40,MATCH(C149,Mapping!$A$5:$A$40,0)),"UNMAPPED"))</f>
        <v/>
      </c>
      <c r="E149" s="107"/>
      <c r="F149" s="107"/>
      <c r="G149" s="107"/>
      <c r="H149" s="107"/>
      <c r="I149" s="107"/>
      <c r="J149" s="107"/>
      <c r="K149" s="107"/>
      <c r="L149" s="107"/>
      <c r="M149" s="107"/>
      <c r="N149" s="107"/>
      <c r="O149" s="107"/>
      <c r="P149" s="107"/>
      <c r="Q149" s="107"/>
      <c r="R149" s="108">
        <f t="shared" si="2"/>
        <v>0</v>
      </c>
    </row>
    <row r="150" spans="1:18" x14ac:dyDescent="0.25">
      <c r="A150" s="106"/>
      <c r="B150" s="106"/>
      <c r="C150" s="106"/>
      <c r="D150" s="101" t="str">
        <f>IF(C150="","",IFERROR(INDEX(Mapping!$B$5:$B$40,MATCH(C150,Mapping!$A$5:$A$40,0)),"UNMAPPED"))</f>
        <v/>
      </c>
      <c r="E150" s="107"/>
      <c r="F150" s="107"/>
      <c r="G150" s="107"/>
      <c r="H150" s="107"/>
      <c r="I150" s="107"/>
      <c r="J150" s="107"/>
      <c r="K150" s="107"/>
      <c r="L150" s="107"/>
      <c r="M150" s="107"/>
      <c r="N150" s="107"/>
      <c r="O150" s="107"/>
      <c r="P150" s="107"/>
      <c r="Q150" s="107"/>
      <c r="R150" s="108">
        <f t="shared" si="2"/>
        <v>0</v>
      </c>
    </row>
    <row r="151" spans="1:18" x14ac:dyDescent="0.25">
      <c r="A151" s="106"/>
      <c r="B151" s="106"/>
      <c r="C151" s="106"/>
      <c r="D151" s="101" t="str">
        <f>IF(C151="","",IFERROR(INDEX(Mapping!$B$5:$B$40,MATCH(C151,Mapping!$A$5:$A$40,0)),"UNMAPPED"))</f>
        <v/>
      </c>
      <c r="E151" s="107"/>
      <c r="F151" s="107"/>
      <c r="G151" s="107"/>
      <c r="H151" s="107"/>
      <c r="I151" s="107"/>
      <c r="J151" s="107"/>
      <c r="K151" s="107"/>
      <c r="L151" s="107"/>
      <c r="M151" s="107"/>
      <c r="N151" s="107"/>
      <c r="O151" s="107"/>
      <c r="P151" s="107"/>
      <c r="Q151" s="107"/>
      <c r="R151" s="108">
        <f t="shared" si="2"/>
        <v>0</v>
      </c>
    </row>
    <row r="152" spans="1:18" x14ac:dyDescent="0.25">
      <c r="A152" s="106"/>
      <c r="B152" s="106"/>
      <c r="C152" s="106"/>
      <c r="D152" s="101" t="str">
        <f>IF(C152="","",IFERROR(INDEX(Mapping!$B$5:$B$40,MATCH(C152,Mapping!$A$5:$A$40,0)),"UNMAPPED"))</f>
        <v/>
      </c>
      <c r="E152" s="107"/>
      <c r="F152" s="107"/>
      <c r="G152" s="107"/>
      <c r="H152" s="107"/>
      <c r="I152" s="107"/>
      <c r="J152" s="107"/>
      <c r="K152" s="107"/>
      <c r="L152" s="107"/>
      <c r="M152" s="107"/>
      <c r="N152" s="107"/>
      <c r="O152" s="107"/>
      <c r="P152" s="107"/>
      <c r="Q152" s="107"/>
      <c r="R152" s="108">
        <f t="shared" si="2"/>
        <v>0</v>
      </c>
    </row>
    <row r="153" spans="1:18" x14ac:dyDescent="0.25">
      <c r="A153" s="106"/>
      <c r="B153" s="106"/>
      <c r="C153" s="106"/>
      <c r="D153" s="101" t="str">
        <f>IF(C153="","",IFERROR(INDEX(Mapping!$B$5:$B$40,MATCH(C153,Mapping!$A$5:$A$40,0)),"UNMAPPED"))</f>
        <v/>
      </c>
      <c r="E153" s="107"/>
      <c r="F153" s="107"/>
      <c r="G153" s="107"/>
      <c r="H153" s="107"/>
      <c r="I153" s="107"/>
      <c r="J153" s="107"/>
      <c r="K153" s="107"/>
      <c r="L153" s="107"/>
      <c r="M153" s="107"/>
      <c r="N153" s="107"/>
      <c r="O153" s="107"/>
      <c r="P153" s="107"/>
      <c r="Q153" s="107"/>
      <c r="R153" s="108">
        <f t="shared" si="2"/>
        <v>0</v>
      </c>
    </row>
    <row r="154" spans="1:18" x14ac:dyDescent="0.25">
      <c r="A154" s="106"/>
      <c r="B154" s="106"/>
      <c r="C154" s="106"/>
      <c r="D154" s="101" t="str">
        <f>IF(C154="","",IFERROR(INDEX(Mapping!$B$5:$B$40,MATCH(C154,Mapping!$A$5:$A$40,0)),"UNMAPPED"))</f>
        <v/>
      </c>
      <c r="E154" s="107"/>
      <c r="F154" s="107"/>
      <c r="G154" s="107"/>
      <c r="H154" s="107"/>
      <c r="I154" s="107"/>
      <c r="J154" s="107"/>
      <c r="K154" s="107"/>
      <c r="L154" s="107"/>
      <c r="M154" s="107"/>
      <c r="N154" s="107"/>
      <c r="O154" s="107"/>
      <c r="P154" s="107"/>
      <c r="Q154" s="107"/>
      <c r="R154" s="108">
        <f t="shared" si="2"/>
        <v>0</v>
      </c>
    </row>
    <row r="155" spans="1:18" x14ac:dyDescent="0.25">
      <c r="A155" s="106"/>
      <c r="B155" s="106"/>
      <c r="C155" s="106"/>
      <c r="D155" s="101" t="str">
        <f>IF(C155="","",IFERROR(INDEX(Mapping!$B$5:$B$40,MATCH(C155,Mapping!$A$5:$A$40,0)),"UNMAPPED"))</f>
        <v/>
      </c>
      <c r="E155" s="107"/>
      <c r="F155" s="107"/>
      <c r="G155" s="107"/>
      <c r="H155" s="107"/>
      <c r="I155" s="107"/>
      <c r="J155" s="107"/>
      <c r="K155" s="107"/>
      <c r="L155" s="107"/>
      <c r="M155" s="107"/>
      <c r="N155" s="107"/>
      <c r="O155" s="107"/>
      <c r="P155" s="107"/>
      <c r="Q155" s="107"/>
      <c r="R155" s="108">
        <f t="shared" si="2"/>
        <v>0</v>
      </c>
    </row>
    <row r="156" spans="1:18" x14ac:dyDescent="0.25">
      <c r="A156" s="106"/>
      <c r="B156" s="106"/>
      <c r="C156" s="106"/>
      <c r="D156" s="101" t="str">
        <f>IF(C156="","",IFERROR(INDEX(Mapping!$B$5:$B$40,MATCH(C156,Mapping!$A$5:$A$40,0)),"UNMAPPED"))</f>
        <v/>
      </c>
      <c r="E156" s="107"/>
      <c r="F156" s="107"/>
      <c r="G156" s="107"/>
      <c r="H156" s="107"/>
      <c r="I156" s="107"/>
      <c r="J156" s="107"/>
      <c r="K156" s="107"/>
      <c r="L156" s="107"/>
      <c r="M156" s="107"/>
      <c r="N156" s="107"/>
      <c r="O156" s="107"/>
      <c r="P156" s="107"/>
      <c r="Q156" s="107"/>
      <c r="R156" s="108">
        <f t="shared" si="2"/>
        <v>0</v>
      </c>
    </row>
    <row r="157" spans="1:18" x14ac:dyDescent="0.25">
      <c r="A157" s="106"/>
      <c r="B157" s="106"/>
      <c r="C157" s="106"/>
      <c r="D157" s="101" t="str">
        <f>IF(C157="","",IFERROR(INDEX(Mapping!$B$5:$B$40,MATCH(C157,Mapping!$A$5:$A$40,0)),"UNMAPPED"))</f>
        <v/>
      </c>
      <c r="E157" s="107"/>
      <c r="F157" s="107"/>
      <c r="G157" s="107"/>
      <c r="H157" s="107"/>
      <c r="I157" s="107"/>
      <c r="J157" s="107"/>
      <c r="K157" s="107"/>
      <c r="L157" s="107"/>
      <c r="M157" s="107"/>
      <c r="N157" s="107"/>
      <c r="O157" s="107"/>
      <c r="P157" s="107"/>
      <c r="Q157" s="107"/>
      <c r="R157" s="108">
        <f t="shared" si="2"/>
        <v>0</v>
      </c>
    </row>
    <row r="158" spans="1:18" x14ac:dyDescent="0.25">
      <c r="A158" s="106"/>
      <c r="B158" s="106"/>
      <c r="C158" s="106"/>
      <c r="D158" s="101" t="str">
        <f>IF(C158="","",IFERROR(INDEX(Mapping!$B$5:$B$40,MATCH(C158,Mapping!$A$5:$A$40,0)),"UNMAPPED"))</f>
        <v/>
      </c>
      <c r="E158" s="107"/>
      <c r="F158" s="107"/>
      <c r="G158" s="107"/>
      <c r="H158" s="107"/>
      <c r="I158" s="107"/>
      <c r="J158" s="107"/>
      <c r="K158" s="107"/>
      <c r="L158" s="107"/>
      <c r="M158" s="107"/>
      <c r="N158" s="107"/>
      <c r="O158" s="107"/>
      <c r="P158" s="107"/>
      <c r="Q158" s="107"/>
      <c r="R158" s="108">
        <f t="shared" si="2"/>
        <v>0</v>
      </c>
    </row>
    <row r="159" spans="1:18" x14ac:dyDescent="0.25">
      <c r="A159" s="106"/>
      <c r="B159" s="106"/>
      <c r="C159" s="106"/>
      <c r="D159" s="101" t="str">
        <f>IF(C159="","",IFERROR(INDEX(Mapping!$B$5:$B$40,MATCH(C159,Mapping!$A$5:$A$40,0)),"UNMAPPED"))</f>
        <v/>
      </c>
      <c r="E159" s="107"/>
      <c r="F159" s="107"/>
      <c r="G159" s="107"/>
      <c r="H159" s="107"/>
      <c r="I159" s="107"/>
      <c r="J159" s="107"/>
      <c r="K159" s="107"/>
      <c r="L159" s="107"/>
      <c r="M159" s="107"/>
      <c r="N159" s="107"/>
      <c r="O159" s="107"/>
      <c r="P159" s="107"/>
      <c r="Q159" s="107"/>
      <c r="R159" s="108">
        <f t="shared" si="2"/>
        <v>0</v>
      </c>
    </row>
    <row r="160" spans="1:18" x14ac:dyDescent="0.25">
      <c r="A160" s="106"/>
      <c r="B160" s="106"/>
      <c r="C160" s="106"/>
      <c r="D160" s="101" t="str">
        <f>IF(C160="","",IFERROR(INDEX(Mapping!$B$5:$B$40,MATCH(C160,Mapping!$A$5:$A$40,0)),"UNMAPPED"))</f>
        <v/>
      </c>
      <c r="E160" s="107"/>
      <c r="F160" s="107"/>
      <c r="G160" s="107"/>
      <c r="H160" s="107"/>
      <c r="I160" s="107"/>
      <c r="J160" s="107"/>
      <c r="K160" s="107"/>
      <c r="L160" s="107"/>
      <c r="M160" s="107"/>
      <c r="N160" s="107"/>
      <c r="O160" s="107"/>
      <c r="P160" s="107"/>
      <c r="Q160" s="107"/>
      <c r="R160" s="108">
        <f t="shared" si="2"/>
        <v>0</v>
      </c>
    </row>
    <row r="161" spans="1:18" x14ac:dyDescent="0.25">
      <c r="A161" s="106"/>
      <c r="B161" s="106"/>
      <c r="C161" s="106"/>
      <c r="D161" s="101" t="str">
        <f>IF(C161="","",IFERROR(INDEX(Mapping!$B$5:$B$40,MATCH(C161,Mapping!$A$5:$A$40,0)),"UNMAPPED"))</f>
        <v/>
      </c>
      <c r="E161" s="107"/>
      <c r="F161" s="107"/>
      <c r="G161" s="107"/>
      <c r="H161" s="107"/>
      <c r="I161" s="107"/>
      <c r="J161" s="107"/>
      <c r="K161" s="107"/>
      <c r="L161" s="107"/>
      <c r="M161" s="107"/>
      <c r="N161" s="107"/>
      <c r="O161" s="107"/>
      <c r="P161" s="107"/>
      <c r="Q161" s="107"/>
      <c r="R161" s="108">
        <f t="shared" si="2"/>
        <v>0</v>
      </c>
    </row>
    <row r="162" spans="1:18" x14ac:dyDescent="0.25">
      <c r="A162" s="106"/>
      <c r="B162" s="106"/>
      <c r="C162" s="106"/>
      <c r="D162" s="101" t="str">
        <f>IF(C162="","",IFERROR(INDEX(Mapping!$B$5:$B$40,MATCH(C162,Mapping!$A$5:$A$40,0)),"UNMAPPED"))</f>
        <v/>
      </c>
      <c r="E162" s="107"/>
      <c r="F162" s="107"/>
      <c r="G162" s="107"/>
      <c r="H162" s="107"/>
      <c r="I162" s="107"/>
      <c r="J162" s="107"/>
      <c r="K162" s="107"/>
      <c r="L162" s="107"/>
      <c r="M162" s="107"/>
      <c r="N162" s="107"/>
      <c r="O162" s="107"/>
      <c r="P162" s="107"/>
      <c r="Q162" s="107"/>
      <c r="R162" s="108">
        <f t="shared" si="2"/>
        <v>0</v>
      </c>
    </row>
    <row r="163" spans="1:18" x14ac:dyDescent="0.25">
      <c r="A163" s="106"/>
      <c r="B163" s="106"/>
      <c r="C163" s="106"/>
      <c r="D163" s="101" t="str">
        <f>IF(C163="","",IFERROR(INDEX(Mapping!$B$5:$B$40,MATCH(C163,Mapping!$A$5:$A$40,0)),"UNMAPPED"))</f>
        <v/>
      </c>
      <c r="E163" s="107"/>
      <c r="F163" s="107"/>
      <c r="G163" s="107"/>
      <c r="H163" s="107"/>
      <c r="I163" s="107"/>
      <c r="J163" s="107"/>
      <c r="K163" s="107"/>
      <c r="L163" s="107"/>
      <c r="M163" s="107"/>
      <c r="N163" s="107"/>
      <c r="O163" s="107"/>
      <c r="P163" s="107"/>
      <c r="Q163" s="107"/>
      <c r="R163" s="108">
        <f t="shared" si="2"/>
        <v>0</v>
      </c>
    </row>
    <row r="164" spans="1:18" x14ac:dyDescent="0.25">
      <c r="A164" s="106"/>
      <c r="B164" s="106"/>
      <c r="C164" s="106"/>
      <c r="D164" s="101" t="str">
        <f>IF(C164="","",IFERROR(INDEX(Mapping!$B$5:$B$40,MATCH(C164,Mapping!$A$5:$A$40,0)),"UNMAPPED"))</f>
        <v/>
      </c>
      <c r="E164" s="107"/>
      <c r="F164" s="107"/>
      <c r="G164" s="107"/>
      <c r="H164" s="107"/>
      <c r="I164" s="107"/>
      <c r="J164" s="107"/>
      <c r="K164" s="107"/>
      <c r="L164" s="107"/>
      <c r="M164" s="107"/>
      <c r="N164" s="107"/>
      <c r="O164" s="107"/>
      <c r="P164" s="107"/>
      <c r="Q164" s="107"/>
      <c r="R164" s="108">
        <f t="shared" si="2"/>
        <v>0</v>
      </c>
    </row>
    <row r="165" spans="1:18" x14ac:dyDescent="0.25">
      <c r="A165" s="106"/>
      <c r="B165" s="106"/>
      <c r="C165" s="106"/>
      <c r="D165" s="101" t="str">
        <f>IF(C165="","",IFERROR(INDEX(Mapping!$B$5:$B$40,MATCH(C165,Mapping!$A$5:$A$40,0)),"UNMAPPED"))</f>
        <v/>
      </c>
      <c r="E165" s="107"/>
      <c r="F165" s="107"/>
      <c r="G165" s="107"/>
      <c r="H165" s="107"/>
      <c r="I165" s="107"/>
      <c r="J165" s="107"/>
      <c r="K165" s="107"/>
      <c r="L165" s="107"/>
      <c r="M165" s="107"/>
      <c r="N165" s="107"/>
      <c r="O165" s="107"/>
      <c r="P165" s="107"/>
      <c r="Q165" s="107"/>
      <c r="R165" s="108">
        <f t="shared" si="2"/>
        <v>0</v>
      </c>
    </row>
    <row r="166" spans="1:18" x14ac:dyDescent="0.25">
      <c r="A166" s="106"/>
      <c r="B166" s="106"/>
      <c r="C166" s="106"/>
      <c r="D166" s="101" t="str">
        <f>IF(C166="","",IFERROR(INDEX(Mapping!$B$5:$B$40,MATCH(C166,Mapping!$A$5:$A$40,0)),"UNMAPPED"))</f>
        <v/>
      </c>
      <c r="E166" s="107"/>
      <c r="F166" s="107"/>
      <c r="G166" s="107"/>
      <c r="H166" s="107"/>
      <c r="I166" s="107"/>
      <c r="J166" s="107"/>
      <c r="K166" s="107"/>
      <c r="L166" s="107"/>
      <c r="M166" s="107"/>
      <c r="N166" s="107"/>
      <c r="O166" s="107"/>
      <c r="P166" s="107"/>
      <c r="Q166" s="107"/>
      <c r="R166" s="108">
        <f t="shared" si="2"/>
        <v>0</v>
      </c>
    </row>
    <row r="167" spans="1:18" x14ac:dyDescent="0.25">
      <c r="A167" s="106"/>
      <c r="B167" s="106"/>
      <c r="C167" s="106"/>
      <c r="D167" s="101" t="str">
        <f>IF(C167="","",IFERROR(INDEX(Mapping!$B$5:$B$40,MATCH(C167,Mapping!$A$5:$A$40,0)),"UNMAPPED"))</f>
        <v/>
      </c>
      <c r="E167" s="107"/>
      <c r="F167" s="107"/>
      <c r="G167" s="107"/>
      <c r="H167" s="107"/>
      <c r="I167" s="107"/>
      <c r="J167" s="107"/>
      <c r="K167" s="107"/>
      <c r="L167" s="107"/>
      <c r="M167" s="107"/>
      <c r="N167" s="107"/>
      <c r="O167" s="107"/>
      <c r="P167" s="107"/>
      <c r="Q167" s="107"/>
      <c r="R167" s="108">
        <f t="shared" si="2"/>
        <v>0</v>
      </c>
    </row>
    <row r="168" spans="1:18" x14ac:dyDescent="0.25">
      <c r="A168" s="106"/>
      <c r="B168" s="106"/>
      <c r="C168" s="106"/>
      <c r="D168" s="101" t="str">
        <f>IF(C168="","",IFERROR(INDEX(Mapping!$B$5:$B$40,MATCH(C168,Mapping!$A$5:$A$40,0)),"UNMAPPED"))</f>
        <v/>
      </c>
      <c r="E168" s="107"/>
      <c r="F168" s="107"/>
      <c r="G168" s="107"/>
      <c r="H168" s="107"/>
      <c r="I168" s="107"/>
      <c r="J168" s="107"/>
      <c r="K168" s="107"/>
      <c r="L168" s="107"/>
      <c r="M168" s="107"/>
      <c r="N168" s="107"/>
      <c r="O168" s="107"/>
      <c r="P168" s="107"/>
      <c r="Q168" s="107"/>
      <c r="R168" s="108">
        <f t="shared" si="2"/>
        <v>0</v>
      </c>
    </row>
    <row r="169" spans="1:18" x14ac:dyDescent="0.25">
      <c r="A169" s="106"/>
      <c r="B169" s="106"/>
      <c r="C169" s="106"/>
      <c r="D169" s="101" t="str">
        <f>IF(C169="","",IFERROR(INDEX(Mapping!$B$5:$B$40,MATCH(C169,Mapping!$A$5:$A$40,0)),"UNMAPPED"))</f>
        <v/>
      </c>
      <c r="E169" s="107"/>
      <c r="F169" s="107"/>
      <c r="G169" s="107"/>
      <c r="H169" s="107"/>
      <c r="I169" s="107"/>
      <c r="J169" s="107"/>
      <c r="K169" s="107"/>
      <c r="L169" s="107"/>
      <c r="M169" s="107"/>
      <c r="N169" s="107"/>
      <c r="O169" s="107"/>
      <c r="P169" s="107"/>
      <c r="Q169" s="107"/>
      <c r="R169" s="108">
        <f t="shared" si="2"/>
        <v>0</v>
      </c>
    </row>
    <row r="170" spans="1:18" x14ac:dyDescent="0.25">
      <c r="A170" s="106"/>
      <c r="B170" s="106"/>
      <c r="C170" s="106"/>
      <c r="D170" s="101" t="str">
        <f>IF(C170="","",IFERROR(INDEX(Mapping!$B$5:$B$40,MATCH(C170,Mapping!$A$5:$A$40,0)),"UNMAPPED"))</f>
        <v/>
      </c>
      <c r="E170" s="107"/>
      <c r="F170" s="107"/>
      <c r="G170" s="107"/>
      <c r="H170" s="107"/>
      <c r="I170" s="107"/>
      <c r="J170" s="107"/>
      <c r="K170" s="107"/>
      <c r="L170" s="107"/>
      <c r="M170" s="107"/>
      <c r="N170" s="107"/>
      <c r="O170" s="107"/>
      <c r="P170" s="107"/>
      <c r="Q170" s="107"/>
      <c r="R170" s="108">
        <f t="shared" si="2"/>
        <v>0</v>
      </c>
    </row>
    <row r="171" spans="1:18" x14ac:dyDescent="0.25">
      <c r="A171" s="106"/>
      <c r="B171" s="106"/>
      <c r="C171" s="106"/>
      <c r="D171" s="101" t="str">
        <f>IF(C171="","",IFERROR(INDEX(Mapping!$B$5:$B$40,MATCH(C171,Mapping!$A$5:$A$40,0)),"UNMAPPED"))</f>
        <v/>
      </c>
      <c r="E171" s="107"/>
      <c r="F171" s="107"/>
      <c r="G171" s="107"/>
      <c r="H171" s="107"/>
      <c r="I171" s="107"/>
      <c r="J171" s="107"/>
      <c r="K171" s="107"/>
      <c r="L171" s="107"/>
      <c r="M171" s="107"/>
      <c r="N171" s="107"/>
      <c r="O171" s="107"/>
      <c r="P171" s="107"/>
      <c r="Q171" s="107"/>
      <c r="R171" s="108">
        <f t="shared" si="2"/>
        <v>0</v>
      </c>
    </row>
    <row r="172" spans="1:18" x14ac:dyDescent="0.25">
      <c r="A172" s="106"/>
      <c r="B172" s="106"/>
      <c r="C172" s="106"/>
      <c r="D172" s="101" t="str">
        <f>IF(C172="","",IFERROR(INDEX(Mapping!$B$5:$B$40,MATCH(C172,Mapping!$A$5:$A$40,0)),"UNMAPPED"))</f>
        <v/>
      </c>
      <c r="E172" s="107"/>
      <c r="F172" s="107"/>
      <c r="G172" s="107"/>
      <c r="H172" s="107"/>
      <c r="I172" s="107"/>
      <c r="J172" s="107"/>
      <c r="K172" s="107"/>
      <c r="L172" s="107"/>
      <c r="M172" s="107"/>
      <c r="N172" s="107"/>
      <c r="O172" s="107"/>
      <c r="P172" s="107"/>
      <c r="Q172" s="107"/>
      <c r="R172" s="108">
        <f t="shared" si="2"/>
        <v>0</v>
      </c>
    </row>
    <row r="173" spans="1:18" x14ac:dyDescent="0.25">
      <c r="A173" s="106"/>
      <c r="B173" s="106"/>
      <c r="C173" s="106"/>
      <c r="D173" s="101" t="str">
        <f>IF(C173="","",IFERROR(INDEX(Mapping!$B$5:$B$40,MATCH(C173,Mapping!$A$5:$A$40,0)),"UNMAPPED"))</f>
        <v/>
      </c>
      <c r="E173" s="107"/>
      <c r="F173" s="107"/>
      <c r="G173" s="107"/>
      <c r="H173" s="107"/>
      <c r="I173" s="107"/>
      <c r="J173" s="107"/>
      <c r="K173" s="107"/>
      <c r="L173" s="107"/>
      <c r="M173" s="107"/>
      <c r="N173" s="107"/>
      <c r="O173" s="107"/>
      <c r="P173" s="107"/>
      <c r="Q173" s="107"/>
      <c r="R173" s="108">
        <f t="shared" si="2"/>
        <v>0</v>
      </c>
    </row>
    <row r="174" spans="1:18" x14ac:dyDescent="0.25">
      <c r="A174" s="106"/>
      <c r="B174" s="106"/>
      <c r="C174" s="106"/>
      <c r="D174" s="101" t="str">
        <f>IF(C174="","",IFERROR(INDEX(Mapping!$B$5:$B$40,MATCH(C174,Mapping!$A$5:$A$40,0)),"UNMAPPED"))</f>
        <v/>
      </c>
      <c r="E174" s="107"/>
      <c r="F174" s="107"/>
      <c r="G174" s="107"/>
      <c r="H174" s="107"/>
      <c r="I174" s="107"/>
      <c r="J174" s="107"/>
      <c r="K174" s="107"/>
      <c r="L174" s="107"/>
      <c r="M174" s="107"/>
      <c r="N174" s="107"/>
      <c r="O174" s="107"/>
      <c r="P174" s="107"/>
      <c r="Q174" s="107"/>
      <c r="R174" s="108">
        <f t="shared" si="2"/>
        <v>0</v>
      </c>
    </row>
    <row r="175" spans="1:18" x14ac:dyDescent="0.25">
      <c r="A175" s="106"/>
      <c r="B175" s="106"/>
      <c r="C175" s="106"/>
      <c r="D175" s="101" t="str">
        <f>IF(C175="","",IFERROR(INDEX(Mapping!$B$5:$B$40,MATCH(C175,Mapping!$A$5:$A$40,0)),"UNMAPPED"))</f>
        <v/>
      </c>
      <c r="E175" s="107"/>
      <c r="F175" s="107"/>
      <c r="G175" s="107"/>
      <c r="H175" s="107"/>
      <c r="I175" s="107"/>
      <c r="J175" s="107"/>
      <c r="K175" s="107"/>
      <c r="L175" s="107"/>
      <c r="M175" s="107"/>
      <c r="N175" s="107"/>
      <c r="O175" s="107"/>
      <c r="P175" s="107"/>
      <c r="Q175" s="107"/>
      <c r="R175" s="108">
        <f t="shared" si="2"/>
        <v>0</v>
      </c>
    </row>
    <row r="176" spans="1:18" x14ac:dyDescent="0.25">
      <c r="A176" s="106"/>
      <c r="B176" s="106"/>
      <c r="C176" s="106"/>
      <c r="D176" s="101" t="str">
        <f>IF(C176="","",IFERROR(INDEX(Mapping!$B$5:$B$40,MATCH(C176,Mapping!$A$5:$A$40,0)),"UNMAPPED"))</f>
        <v/>
      </c>
      <c r="E176" s="107"/>
      <c r="F176" s="107"/>
      <c r="G176" s="107"/>
      <c r="H176" s="107"/>
      <c r="I176" s="107"/>
      <c r="J176" s="107"/>
      <c r="K176" s="107"/>
      <c r="L176" s="107"/>
      <c r="M176" s="107"/>
      <c r="N176" s="107"/>
      <c r="O176" s="107"/>
      <c r="P176" s="107"/>
      <c r="Q176" s="107"/>
      <c r="R176" s="108">
        <f t="shared" si="2"/>
        <v>0</v>
      </c>
    </row>
    <row r="177" spans="1:18" x14ac:dyDescent="0.25">
      <c r="A177" s="106"/>
      <c r="B177" s="106"/>
      <c r="C177" s="106"/>
      <c r="D177" s="101" t="str">
        <f>IF(C177="","",IFERROR(INDEX(Mapping!$B$5:$B$40,MATCH(C177,Mapping!$A$5:$A$40,0)),"UNMAPPED"))</f>
        <v/>
      </c>
      <c r="E177" s="107"/>
      <c r="F177" s="107"/>
      <c r="G177" s="107"/>
      <c r="H177" s="107"/>
      <c r="I177" s="107"/>
      <c r="J177" s="107"/>
      <c r="K177" s="107"/>
      <c r="L177" s="107"/>
      <c r="M177" s="107"/>
      <c r="N177" s="107"/>
      <c r="O177" s="107"/>
      <c r="P177" s="107"/>
      <c r="Q177" s="107"/>
      <c r="R177" s="108">
        <f t="shared" si="2"/>
        <v>0</v>
      </c>
    </row>
    <row r="178" spans="1:18" x14ac:dyDescent="0.25">
      <c r="A178" s="106"/>
      <c r="B178" s="106"/>
      <c r="C178" s="106"/>
      <c r="D178" s="101" t="str">
        <f>IF(C178="","",IFERROR(INDEX(Mapping!$B$5:$B$40,MATCH(C178,Mapping!$A$5:$A$40,0)),"UNMAPPED"))</f>
        <v/>
      </c>
      <c r="E178" s="107"/>
      <c r="F178" s="107"/>
      <c r="G178" s="107"/>
      <c r="H178" s="107"/>
      <c r="I178" s="107"/>
      <c r="J178" s="107"/>
      <c r="K178" s="107"/>
      <c r="L178" s="107"/>
      <c r="M178" s="107"/>
      <c r="N178" s="107"/>
      <c r="O178" s="107"/>
      <c r="P178" s="107"/>
      <c r="Q178" s="107"/>
      <c r="R178" s="108">
        <f t="shared" si="2"/>
        <v>0</v>
      </c>
    </row>
    <row r="179" spans="1:18" x14ac:dyDescent="0.25">
      <c r="A179" s="106"/>
      <c r="B179" s="106"/>
      <c r="C179" s="106"/>
      <c r="D179" s="101" t="str">
        <f>IF(C179="","",IFERROR(INDEX(Mapping!$B$5:$B$40,MATCH(C179,Mapping!$A$5:$A$40,0)),"UNMAPPED"))</f>
        <v/>
      </c>
      <c r="E179" s="107"/>
      <c r="F179" s="107"/>
      <c r="G179" s="107"/>
      <c r="H179" s="107"/>
      <c r="I179" s="107"/>
      <c r="J179" s="107"/>
      <c r="K179" s="107"/>
      <c r="L179" s="107"/>
      <c r="M179" s="107"/>
      <c r="N179" s="107"/>
      <c r="O179" s="107"/>
      <c r="P179" s="107"/>
      <c r="Q179" s="107"/>
      <c r="R179" s="108">
        <f t="shared" si="2"/>
        <v>0</v>
      </c>
    </row>
    <row r="180" spans="1:18" x14ac:dyDescent="0.25">
      <c r="A180" s="106"/>
      <c r="B180" s="106"/>
      <c r="C180" s="106"/>
      <c r="D180" s="101" t="str">
        <f>IF(C180="","",IFERROR(INDEX(Mapping!$B$5:$B$40,MATCH(C180,Mapping!$A$5:$A$40,0)),"UNMAPPED"))</f>
        <v/>
      </c>
      <c r="E180" s="107"/>
      <c r="F180" s="107"/>
      <c r="G180" s="107"/>
      <c r="H180" s="107"/>
      <c r="I180" s="107"/>
      <c r="J180" s="107"/>
      <c r="K180" s="107"/>
      <c r="L180" s="107"/>
      <c r="M180" s="107"/>
      <c r="N180" s="107"/>
      <c r="O180" s="107"/>
      <c r="P180" s="107"/>
      <c r="Q180" s="107"/>
      <c r="R180" s="108">
        <f t="shared" si="2"/>
        <v>0</v>
      </c>
    </row>
    <row r="181" spans="1:18" x14ac:dyDescent="0.25">
      <c r="A181" s="106"/>
      <c r="B181" s="106"/>
      <c r="C181" s="106"/>
      <c r="D181" s="101" t="str">
        <f>IF(C181="","",IFERROR(INDEX(Mapping!$B$5:$B$40,MATCH(C181,Mapping!$A$5:$A$40,0)),"UNMAPPED"))</f>
        <v/>
      </c>
      <c r="E181" s="107"/>
      <c r="F181" s="107"/>
      <c r="G181" s="107"/>
      <c r="H181" s="107"/>
      <c r="I181" s="107"/>
      <c r="J181" s="107"/>
      <c r="K181" s="107"/>
      <c r="L181" s="107"/>
      <c r="M181" s="107"/>
      <c r="N181" s="107"/>
      <c r="O181" s="107"/>
      <c r="P181" s="107"/>
      <c r="Q181" s="107"/>
      <c r="R181" s="108">
        <f t="shared" si="2"/>
        <v>0</v>
      </c>
    </row>
    <row r="182" spans="1:18" x14ac:dyDescent="0.25">
      <c r="A182" s="106"/>
      <c r="B182" s="106"/>
      <c r="C182" s="106"/>
      <c r="D182" s="101" t="str">
        <f>IF(C182="","",IFERROR(INDEX(Mapping!$B$5:$B$40,MATCH(C182,Mapping!$A$5:$A$40,0)),"UNMAPPED"))</f>
        <v/>
      </c>
      <c r="E182" s="107"/>
      <c r="F182" s="107"/>
      <c r="G182" s="107"/>
      <c r="H182" s="107"/>
      <c r="I182" s="107"/>
      <c r="J182" s="107"/>
      <c r="K182" s="107"/>
      <c r="L182" s="107"/>
      <c r="M182" s="107"/>
      <c r="N182" s="107"/>
      <c r="O182" s="107"/>
      <c r="P182" s="107"/>
      <c r="Q182" s="107"/>
      <c r="R182" s="108">
        <f t="shared" si="2"/>
        <v>0</v>
      </c>
    </row>
    <row r="183" spans="1:18" x14ac:dyDescent="0.25">
      <c r="A183" s="106"/>
      <c r="B183" s="106"/>
      <c r="C183" s="106"/>
      <c r="D183" s="101" t="str">
        <f>IF(C183="","",IFERROR(INDEX(Mapping!$B$5:$B$40,MATCH(C183,Mapping!$A$5:$A$40,0)),"UNMAPPED"))</f>
        <v/>
      </c>
      <c r="E183" s="107"/>
      <c r="F183" s="107"/>
      <c r="G183" s="107"/>
      <c r="H183" s="107"/>
      <c r="I183" s="107"/>
      <c r="J183" s="107"/>
      <c r="K183" s="107"/>
      <c r="L183" s="107"/>
      <c r="M183" s="107"/>
      <c r="N183" s="107"/>
      <c r="O183" s="107"/>
      <c r="P183" s="107"/>
      <c r="Q183" s="107"/>
      <c r="R183" s="108">
        <f t="shared" si="2"/>
        <v>0</v>
      </c>
    </row>
    <row r="184" spans="1:18" x14ac:dyDescent="0.25">
      <c r="A184" s="106"/>
      <c r="B184" s="106"/>
      <c r="C184" s="106"/>
      <c r="D184" s="101" t="str">
        <f>IF(C184="","",IFERROR(INDEX(Mapping!$B$5:$B$40,MATCH(C184,Mapping!$A$5:$A$40,0)),"UNMAPPED"))</f>
        <v/>
      </c>
      <c r="E184" s="107"/>
      <c r="F184" s="107"/>
      <c r="G184" s="107"/>
      <c r="H184" s="107"/>
      <c r="I184" s="107"/>
      <c r="J184" s="107"/>
      <c r="K184" s="107"/>
      <c r="L184" s="107"/>
      <c r="M184" s="107"/>
      <c r="N184" s="107"/>
      <c r="O184" s="107"/>
      <c r="P184" s="107"/>
      <c r="Q184" s="107"/>
      <c r="R184" s="108">
        <f t="shared" si="2"/>
        <v>0</v>
      </c>
    </row>
    <row r="185" spans="1:18" x14ac:dyDescent="0.25">
      <c r="A185" s="106"/>
      <c r="B185" s="106"/>
      <c r="C185" s="106"/>
      <c r="D185" s="101" t="str">
        <f>IF(C185="","",IFERROR(INDEX(Mapping!$B$5:$B$40,MATCH(C185,Mapping!$A$5:$A$40,0)),"UNMAPPED"))</f>
        <v/>
      </c>
      <c r="E185" s="107"/>
      <c r="F185" s="107"/>
      <c r="G185" s="107"/>
      <c r="H185" s="107"/>
      <c r="I185" s="107"/>
      <c r="J185" s="107"/>
      <c r="K185" s="107"/>
      <c r="L185" s="107"/>
      <c r="M185" s="107"/>
      <c r="N185" s="107"/>
      <c r="O185" s="107"/>
      <c r="P185" s="107"/>
      <c r="Q185" s="107"/>
      <c r="R185" s="108">
        <f t="shared" si="2"/>
        <v>0</v>
      </c>
    </row>
    <row r="186" spans="1:18" x14ac:dyDescent="0.25">
      <c r="A186" s="106"/>
      <c r="B186" s="106"/>
      <c r="C186" s="106"/>
      <c r="D186" s="101" t="str">
        <f>IF(C186="","",IFERROR(INDEX(Mapping!$B$5:$B$40,MATCH(C186,Mapping!$A$5:$A$40,0)),"UNMAPPED"))</f>
        <v/>
      </c>
      <c r="E186" s="107"/>
      <c r="F186" s="107"/>
      <c r="G186" s="107"/>
      <c r="H186" s="107"/>
      <c r="I186" s="107"/>
      <c r="J186" s="107"/>
      <c r="K186" s="107"/>
      <c r="L186" s="107"/>
      <c r="M186" s="107"/>
      <c r="N186" s="107"/>
      <c r="O186" s="107"/>
      <c r="P186" s="107"/>
      <c r="Q186" s="107"/>
      <c r="R186" s="108">
        <f t="shared" si="2"/>
        <v>0</v>
      </c>
    </row>
    <row r="187" spans="1:18" x14ac:dyDescent="0.25">
      <c r="A187" s="106"/>
      <c r="B187" s="106"/>
      <c r="C187" s="106"/>
      <c r="D187" s="101" t="str">
        <f>IF(C187="","",IFERROR(INDEX(Mapping!$B$5:$B$40,MATCH(C187,Mapping!$A$5:$A$40,0)),"UNMAPPED"))</f>
        <v/>
      </c>
      <c r="E187" s="107"/>
      <c r="F187" s="107"/>
      <c r="G187" s="107"/>
      <c r="H187" s="107"/>
      <c r="I187" s="107"/>
      <c r="J187" s="107"/>
      <c r="K187" s="107"/>
      <c r="L187" s="107"/>
      <c r="M187" s="107"/>
      <c r="N187" s="107"/>
      <c r="O187" s="107"/>
      <c r="P187" s="107"/>
      <c r="Q187" s="107"/>
      <c r="R187" s="108">
        <f t="shared" si="2"/>
        <v>0</v>
      </c>
    </row>
    <row r="188" spans="1:18" x14ac:dyDescent="0.25">
      <c r="A188" s="106"/>
      <c r="B188" s="106"/>
      <c r="C188" s="106"/>
      <c r="D188" s="101" t="str">
        <f>IF(C188="","",IFERROR(INDEX(Mapping!$B$5:$B$40,MATCH(C188,Mapping!$A$5:$A$40,0)),"UNMAPPED"))</f>
        <v/>
      </c>
      <c r="E188" s="107"/>
      <c r="F188" s="107"/>
      <c r="G188" s="107"/>
      <c r="H188" s="107"/>
      <c r="I188" s="107"/>
      <c r="J188" s="107"/>
      <c r="K188" s="107"/>
      <c r="L188" s="107"/>
      <c r="M188" s="107"/>
      <c r="N188" s="107"/>
      <c r="O188" s="107"/>
      <c r="P188" s="107"/>
      <c r="Q188" s="107"/>
      <c r="R188" s="108">
        <f t="shared" si="2"/>
        <v>0</v>
      </c>
    </row>
    <row r="189" spans="1:18" x14ac:dyDescent="0.25">
      <c r="A189" s="106"/>
      <c r="B189" s="106"/>
      <c r="C189" s="106"/>
      <c r="D189" s="101" t="str">
        <f>IF(C189="","",IFERROR(INDEX(Mapping!$B$5:$B$40,MATCH(C189,Mapping!$A$5:$A$40,0)),"UNMAPPED"))</f>
        <v/>
      </c>
      <c r="E189" s="107"/>
      <c r="F189" s="107"/>
      <c r="G189" s="107"/>
      <c r="H189" s="107"/>
      <c r="I189" s="107"/>
      <c r="J189" s="107"/>
      <c r="K189" s="107"/>
      <c r="L189" s="107"/>
      <c r="M189" s="107"/>
      <c r="N189" s="107"/>
      <c r="O189" s="107"/>
      <c r="P189" s="107"/>
      <c r="Q189" s="107"/>
      <c r="R189" s="108">
        <f t="shared" si="2"/>
        <v>0</v>
      </c>
    </row>
    <row r="190" spans="1:18" x14ac:dyDescent="0.25">
      <c r="A190" s="106"/>
      <c r="B190" s="106"/>
      <c r="C190" s="106"/>
      <c r="D190" s="101" t="str">
        <f>IF(C190="","",IFERROR(INDEX(Mapping!$B$5:$B$40,MATCH(C190,Mapping!$A$5:$A$40,0)),"UNMAPPED"))</f>
        <v/>
      </c>
      <c r="E190" s="107"/>
      <c r="F190" s="107"/>
      <c r="G190" s="107"/>
      <c r="H190" s="107"/>
      <c r="I190" s="107"/>
      <c r="J190" s="107"/>
      <c r="K190" s="107"/>
      <c r="L190" s="107"/>
      <c r="M190" s="107"/>
      <c r="N190" s="107"/>
      <c r="O190" s="107"/>
      <c r="P190" s="107"/>
      <c r="Q190" s="107"/>
      <c r="R190" s="108">
        <f t="shared" si="2"/>
        <v>0</v>
      </c>
    </row>
    <row r="191" spans="1:18" x14ac:dyDescent="0.25">
      <c r="A191" s="106"/>
      <c r="B191" s="106"/>
      <c r="C191" s="106"/>
      <c r="D191" s="101" t="str">
        <f>IF(C191="","",IFERROR(INDEX(Mapping!$B$5:$B$40,MATCH(C191,Mapping!$A$5:$A$40,0)),"UNMAPPED"))</f>
        <v/>
      </c>
      <c r="E191" s="107"/>
      <c r="F191" s="107"/>
      <c r="G191" s="107"/>
      <c r="H191" s="107"/>
      <c r="I191" s="107"/>
      <c r="J191" s="107"/>
      <c r="K191" s="107"/>
      <c r="L191" s="107"/>
      <c r="M191" s="107"/>
      <c r="N191" s="107"/>
      <c r="O191" s="107"/>
      <c r="P191" s="107"/>
      <c r="Q191" s="107"/>
      <c r="R191" s="108">
        <f t="shared" si="2"/>
        <v>0</v>
      </c>
    </row>
    <row r="192" spans="1:18" x14ac:dyDescent="0.25">
      <c r="A192" s="106"/>
      <c r="B192" s="106"/>
      <c r="C192" s="106"/>
      <c r="D192" s="101" t="str">
        <f>IF(C192="","",IFERROR(INDEX(Mapping!$B$5:$B$40,MATCH(C192,Mapping!$A$5:$A$40,0)),"UNMAPPED"))</f>
        <v/>
      </c>
      <c r="E192" s="107"/>
      <c r="F192" s="107"/>
      <c r="G192" s="107"/>
      <c r="H192" s="107"/>
      <c r="I192" s="107"/>
      <c r="J192" s="107"/>
      <c r="K192" s="107"/>
      <c r="L192" s="107"/>
      <c r="M192" s="107"/>
      <c r="N192" s="107"/>
      <c r="O192" s="107"/>
      <c r="P192" s="107"/>
      <c r="Q192" s="107"/>
      <c r="R192" s="108">
        <f t="shared" si="2"/>
        <v>0</v>
      </c>
    </row>
    <row r="193" spans="1:18" x14ac:dyDescent="0.25">
      <c r="A193" s="106"/>
      <c r="B193" s="106"/>
      <c r="C193" s="106"/>
      <c r="D193" s="101" t="str">
        <f>IF(C193="","",IFERROR(INDEX(Mapping!$B$5:$B$40,MATCH(C193,Mapping!$A$5:$A$40,0)),"UNMAPPED"))</f>
        <v/>
      </c>
      <c r="E193" s="107"/>
      <c r="F193" s="107"/>
      <c r="G193" s="107"/>
      <c r="H193" s="107"/>
      <c r="I193" s="107"/>
      <c r="J193" s="107"/>
      <c r="K193" s="107"/>
      <c r="L193" s="107"/>
      <c r="M193" s="107"/>
      <c r="N193" s="107"/>
      <c r="O193" s="107"/>
      <c r="P193" s="107"/>
      <c r="Q193" s="107"/>
      <c r="R193" s="108">
        <f t="shared" si="2"/>
        <v>0</v>
      </c>
    </row>
    <row r="194" spans="1:18" x14ac:dyDescent="0.25">
      <c r="A194" s="106"/>
      <c r="B194" s="106"/>
      <c r="C194" s="106"/>
      <c r="D194" s="101" t="str">
        <f>IF(C194="","",IFERROR(INDEX(Mapping!$B$5:$B$40,MATCH(C194,Mapping!$A$5:$A$40,0)),"UNMAPPED"))</f>
        <v/>
      </c>
      <c r="E194" s="107"/>
      <c r="F194" s="107"/>
      <c r="G194" s="107"/>
      <c r="H194" s="107"/>
      <c r="I194" s="107"/>
      <c r="J194" s="107"/>
      <c r="K194" s="107"/>
      <c r="L194" s="107"/>
      <c r="M194" s="107"/>
      <c r="N194" s="107"/>
      <c r="O194" s="107"/>
      <c r="P194" s="107"/>
      <c r="Q194" s="107"/>
      <c r="R194" s="108">
        <f t="shared" si="2"/>
        <v>0</v>
      </c>
    </row>
    <row r="195" spans="1:18" x14ac:dyDescent="0.25">
      <c r="A195" s="106"/>
      <c r="B195" s="106"/>
      <c r="C195" s="106"/>
      <c r="D195" s="101" t="str">
        <f>IF(C195="","",IFERROR(INDEX(Mapping!$B$5:$B$40,MATCH(C195,Mapping!$A$5:$A$40,0)),"UNMAPPED"))</f>
        <v/>
      </c>
      <c r="E195" s="107"/>
      <c r="F195" s="107"/>
      <c r="G195" s="107"/>
      <c r="H195" s="107"/>
      <c r="I195" s="107"/>
      <c r="J195" s="107"/>
      <c r="K195" s="107"/>
      <c r="L195" s="107"/>
      <c r="M195" s="107"/>
      <c r="N195" s="107"/>
      <c r="O195" s="107"/>
      <c r="P195" s="107"/>
      <c r="Q195" s="107"/>
      <c r="R195" s="108">
        <f t="shared" si="2"/>
        <v>0</v>
      </c>
    </row>
    <row r="196" spans="1:18" x14ac:dyDescent="0.25">
      <c r="A196" s="106"/>
      <c r="B196" s="106"/>
      <c r="C196" s="106"/>
      <c r="D196" s="101" t="str">
        <f>IF(C196="","",IFERROR(INDEX(Mapping!$B$5:$B$40,MATCH(C196,Mapping!$A$5:$A$40,0)),"UNMAPPED"))</f>
        <v/>
      </c>
      <c r="E196" s="107"/>
      <c r="F196" s="107"/>
      <c r="G196" s="107"/>
      <c r="H196" s="107"/>
      <c r="I196" s="107"/>
      <c r="J196" s="107"/>
      <c r="K196" s="107"/>
      <c r="L196" s="107"/>
      <c r="M196" s="107"/>
      <c r="N196" s="107"/>
      <c r="O196" s="107"/>
      <c r="P196" s="107"/>
      <c r="Q196" s="107"/>
      <c r="R196" s="108">
        <f t="shared" si="2"/>
        <v>0</v>
      </c>
    </row>
    <row r="197" spans="1:18" x14ac:dyDescent="0.25">
      <c r="A197" s="106"/>
      <c r="B197" s="106"/>
      <c r="C197" s="106"/>
      <c r="D197" s="101" t="str">
        <f>IF(C197="","",IFERROR(INDEX(Mapping!$B$5:$B$40,MATCH(C197,Mapping!$A$5:$A$40,0)),"UNMAPPED"))</f>
        <v/>
      </c>
      <c r="E197" s="107"/>
      <c r="F197" s="107"/>
      <c r="G197" s="107"/>
      <c r="H197" s="107"/>
      <c r="I197" s="107"/>
      <c r="J197" s="107"/>
      <c r="K197" s="107"/>
      <c r="L197" s="107"/>
      <c r="M197" s="107"/>
      <c r="N197" s="107"/>
      <c r="O197" s="107"/>
      <c r="P197" s="107"/>
      <c r="Q197" s="107"/>
      <c r="R197" s="108">
        <f t="shared" si="2"/>
        <v>0</v>
      </c>
    </row>
    <row r="198" spans="1:18" x14ac:dyDescent="0.25">
      <c r="A198" s="106"/>
      <c r="B198" s="106"/>
      <c r="C198" s="106"/>
      <c r="D198" s="101" t="str">
        <f>IF(C198="","",IFERROR(INDEX(Mapping!$B$5:$B$40,MATCH(C198,Mapping!$A$5:$A$40,0)),"UNMAPPED"))</f>
        <v/>
      </c>
      <c r="E198" s="107"/>
      <c r="F198" s="107"/>
      <c r="G198" s="107"/>
      <c r="H198" s="107"/>
      <c r="I198" s="107"/>
      <c r="J198" s="107"/>
      <c r="K198" s="107"/>
      <c r="L198" s="107"/>
      <c r="M198" s="107"/>
      <c r="N198" s="107"/>
      <c r="O198" s="107"/>
      <c r="P198" s="107"/>
      <c r="Q198" s="107"/>
      <c r="R198" s="108">
        <f t="shared" ref="R198:R255" si="3">IF(SUMPRODUCT(ABS(E198:Q198))=0,0,IF(OR(D198="IS",D198="BS"),0,1))</f>
        <v>0</v>
      </c>
    </row>
    <row r="199" spans="1:18" x14ac:dyDescent="0.25">
      <c r="A199" s="106"/>
      <c r="B199" s="106"/>
      <c r="C199" s="106"/>
      <c r="D199" s="101" t="str">
        <f>IF(C199="","",IFERROR(INDEX(Mapping!$B$5:$B$40,MATCH(C199,Mapping!$A$5:$A$40,0)),"UNMAPPED"))</f>
        <v/>
      </c>
      <c r="E199" s="107"/>
      <c r="F199" s="107"/>
      <c r="G199" s="107"/>
      <c r="H199" s="107"/>
      <c r="I199" s="107"/>
      <c r="J199" s="107"/>
      <c r="K199" s="107"/>
      <c r="L199" s="107"/>
      <c r="M199" s="107"/>
      <c r="N199" s="107"/>
      <c r="O199" s="107"/>
      <c r="P199" s="107"/>
      <c r="Q199" s="107"/>
      <c r="R199" s="108">
        <f t="shared" si="3"/>
        <v>0</v>
      </c>
    </row>
    <row r="200" spans="1:18" x14ac:dyDescent="0.25">
      <c r="A200" s="106"/>
      <c r="B200" s="106"/>
      <c r="C200" s="106"/>
      <c r="D200" s="101" t="str">
        <f>IF(C200="","",IFERROR(INDEX(Mapping!$B$5:$B$40,MATCH(C200,Mapping!$A$5:$A$40,0)),"UNMAPPED"))</f>
        <v/>
      </c>
      <c r="E200" s="107"/>
      <c r="F200" s="107"/>
      <c r="G200" s="107"/>
      <c r="H200" s="107"/>
      <c r="I200" s="107"/>
      <c r="J200" s="107"/>
      <c r="K200" s="107"/>
      <c r="L200" s="107"/>
      <c r="M200" s="107"/>
      <c r="N200" s="107"/>
      <c r="O200" s="107"/>
      <c r="P200" s="107"/>
      <c r="Q200" s="107"/>
      <c r="R200" s="108">
        <f t="shared" si="3"/>
        <v>0</v>
      </c>
    </row>
    <row r="201" spans="1:18" x14ac:dyDescent="0.25">
      <c r="A201" s="106"/>
      <c r="B201" s="106"/>
      <c r="C201" s="106"/>
      <c r="D201" s="101" t="str">
        <f>IF(C201="","",IFERROR(INDEX(Mapping!$B$5:$B$40,MATCH(C201,Mapping!$A$5:$A$40,0)),"UNMAPPED"))</f>
        <v/>
      </c>
      <c r="E201" s="107"/>
      <c r="F201" s="107"/>
      <c r="G201" s="107"/>
      <c r="H201" s="107"/>
      <c r="I201" s="107"/>
      <c r="J201" s="107"/>
      <c r="K201" s="107"/>
      <c r="L201" s="107"/>
      <c r="M201" s="107"/>
      <c r="N201" s="107"/>
      <c r="O201" s="107"/>
      <c r="P201" s="107"/>
      <c r="Q201" s="107"/>
      <c r="R201" s="108">
        <f t="shared" si="3"/>
        <v>0</v>
      </c>
    </row>
    <row r="202" spans="1:18" x14ac:dyDescent="0.25">
      <c r="A202" s="106"/>
      <c r="B202" s="106"/>
      <c r="C202" s="106"/>
      <c r="D202" s="101" t="str">
        <f>IF(C202="","",IFERROR(INDEX(Mapping!$B$5:$B$40,MATCH(C202,Mapping!$A$5:$A$40,0)),"UNMAPPED"))</f>
        <v/>
      </c>
      <c r="E202" s="107"/>
      <c r="F202" s="107"/>
      <c r="G202" s="107"/>
      <c r="H202" s="107"/>
      <c r="I202" s="107"/>
      <c r="J202" s="107"/>
      <c r="K202" s="107"/>
      <c r="L202" s="107"/>
      <c r="M202" s="107"/>
      <c r="N202" s="107"/>
      <c r="O202" s="107"/>
      <c r="P202" s="107"/>
      <c r="Q202" s="107"/>
      <c r="R202" s="108">
        <f t="shared" si="3"/>
        <v>0</v>
      </c>
    </row>
    <row r="203" spans="1:18" x14ac:dyDescent="0.25">
      <c r="A203" s="106"/>
      <c r="B203" s="106"/>
      <c r="C203" s="106"/>
      <c r="D203" s="101" t="str">
        <f>IF(C203="","",IFERROR(INDEX(Mapping!$B$5:$B$40,MATCH(C203,Mapping!$A$5:$A$40,0)),"UNMAPPED"))</f>
        <v/>
      </c>
      <c r="E203" s="107"/>
      <c r="F203" s="107"/>
      <c r="G203" s="107"/>
      <c r="H203" s="107"/>
      <c r="I203" s="107"/>
      <c r="J203" s="107"/>
      <c r="K203" s="107"/>
      <c r="L203" s="107"/>
      <c r="M203" s="107"/>
      <c r="N203" s="107"/>
      <c r="O203" s="107"/>
      <c r="P203" s="107"/>
      <c r="Q203" s="107"/>
      <c r="R203" s="108">
        <f t="shared" si="3"/>
        <v>0</v>
      </c>
    </row>
    <row r="204" spans="1:18" x14ac:dyDescent="0.25">
      <c r="A204" s="106"/>
      <c r="B204" s="106"/>
      <c r="C204" s="106"/>
      <c r="D204" s="101" t="str">
        <f>IF(C204="","",IFERROR(INDEX(Mapping!$B$5:$B$40,MATCH(C204,Mapping!$A$5:$A$40,0)),"UNMAPPED"))</f>
        <v/>
      </c>
      <c r="E204" s="107"/>
      <c r="F204" s="107"/>
      <c r="G204" s="107"/>
      <c r="H204" s="107"/>
      <c r="I204" s="107"/>
      <c r="J204" s="107"/>
      <c r="K204" s="107"/>
      <c r="L204" s="107"/>
      <c r="M204" s="107"/>
      <c r="N204" s="107"/>
      <c r="O204" s="107"/>
      <c r="P204" s="107"/>
      <c r="Q204" s="107"/>
      <c r="R204" s="108">
        <f t="shared" si="3"/>
        <v>0</v>
      </c>
    </row>
    <row r="205" spans="1:18" x14ac:dyDescent="0.25">
      <c r="A205" s="106"/>
      <c r="B205" s="106"/>
      <c r="C205" s="106"/>
      <c r="D205" s="101" t="str">
        <f>IF(C205="","",IFERROR(INDEX(Mapping!$B$5:$B$40,MATCH(C205,Mapping!$A$5:$A$40,0)),"UNMAPPED"))</f>
        <v/>
      </c>
      <c r="E205" s="107"/>
      <c r="F205" s="107"/>
      <c r="G205" s="107"/>
      <c r="H205" s="107"/>
      <c r="I205" s="107"/>
      <c r="J205" s="107"/>
      <c r="K205" s="107"/>
      <c r="L205" s="107"/>
      <c r="M205" s="107"/>
      <c r="N205" s="107"/>
      <c r="O205" s="107"/>
      <c r="P205" s="107"/>
      <c r="Q205" s="107"/>
      <c r="R205" s="108">
        <f t="shared" si="3"/>
        <v>0</v>
      </c>
    </row>
    <row r="206" spans="1:18" x14ac:dyDescent="0.25">
      <c r="A206" s="106"/>
      <c r="B206" s="106"/>
      <c r="C206" s="106"/>
      <c r="D206" s="101" t="str">
        <f>IF(C206="","",IFERROR(INDEX(Mapping!$B$5:$B$40,MATCH(C206,Mapping!$A$5:$A$40,0)),"UNMAPPED"))</f>
        <v/>
      </c>
      <c r="E206" s="107"/>
      <c r="F206" s="107"/>
      <c r="G206" s="107"/>
      <c r="H206" s="107"/>
      <c r="I206" s="107"/>
      <c r="J206" s="107"/>
      <c r="K206" s="107"/>
      <c r="L206" s="107"/>
      <c r="M206" s="107"/>
      <c r="N206" s="107"/>
      <c r="O206" s="107"/>
      <c r="P206" s="107"/>
      <c r="Q206" s="107"/>
      <c r="R206" s="108">
        <f t="shared" si="3"/>
        <v>0</v>
      </c>
    </row>
    <row r="207" spans="1:18" x14ac:dyDescent="0.25">
      <c r="A207" s="106"/>
      <c r="B207" s="106"/>
      <c r="C207" s="106"/>
      <c r="D207" s="101" t="str">
        <f>IF(C207="","",IFERROR(INDEX(Mapping!$B$5:$B$40,MATCH(C207,Mapping!$A$5:$A$40,0)),"UNMAPPED"))</f>
        <v/>
      </c>
      <c r="E207" s="107"/>
      <c r="F207" s="107"/>
      <c r="G207" s="107"/>
      <c r="H207" s="107"/>
      <c r="I207" s="107"/>
      <c r="J207" s="107"/>
      <c r="K207" s="107"/>
      <c r="L207" s="107"/>
      <c r="M207" s="107"/>
      <c r="N207" s="107"/>
      <c r="O207" s="107"/>
      <c r="P207" s="107"/>
      <c r="Q207" s="107"/>
      <c r="R207" s="108">
        <f t="shared" si="3"/>
        <v>0</v>
      </c>
    </row>
    <row r="208" spans="1:18" x14ac:dyDescent="0.25">
      <c r="A208" s="106"/>
      <c r="B208" s="106"/>
      <c r="C208" s="106"/>
      <c r="D208" s="101" t="str">
        <f>IF(C208="","",IFERROR(INDEX(Mapping!$B$5:$B$40,MATCH(C208,Mapping!$A$5:$A$40,0)),"UNMAPPED"))</f>
        <v/>
      </c>
      <c r="E208" s="107"/>
      <c r="F208" s="107"/>
      <c r="G208" s="107"/>
      <c r="H208" s="107"/>
      <c r="I208" s="107"/>
      <c r="J208" s="107"/>
      <c r="K208" s="107"/>
      <c r="L208" s="107"/>
      <c r="M208" s="107"/>
      <c r="N208" s="107"/>
      <c r="O208" s="107"/>
      <c r="P208" s="107"/>
      <c r="Q208" s="107"/>
      <c r="R208" s="108">
        <f t="shared" si="3"/>
        <v>0</v>
      </c>
    </row>
    <row r="209" spans="1:18" x14ac:dyDescent="0.25">
      <c r="A209" s="106"/>
      <c r="B209" s="106"/>
      <c r="C209" s="106"/>
      <c r="D209" s="101" t="str">
        <f>IF(C209="","",IFERROR(INDEX(Mapping!$B$5:$B$40,MATCH(C209,Mapping!$A$5:$A$40,0)),"UNMAPPED"))</f>
        <v/>
      </c>
      <c r="E209" s="107"/>
      <c r="F209" s="107"/>
      <c r="G209" s="107"/>
      <c r="H209" s="107"/>
      <c r="I209" s="107"/>
      <c r="J209" s="107"/>
      <c r="K209" s="107"/>
      <c r="L209" s="107"/>
      <c r="M209" s="107"/>
      <c r="N209" s="107"/>
      <c r="O209" s="107"/>
      <c r="P209" s="107"/>
      <c r="Q209" s="107"/>
      <c r="R209" s="108">
        <f t="shared" si="3"/>
        <v>0</v>
      </c>
    </row>
    <row r="210" spans="1:18" x14ac:dyDescent="0.25">
      <c r="A210" s="106"/>
      <c r="B210" s="106"/>
      <c r="C210" s="106"/>
      <c r="D210" s="101" t="str">
        <f>IF(C210="","",IFERROR(INDEX(Mapping!$B$5:$B$40,MATCH(C210,Mapping!$A$5:$A$40,0)),"UNMAPPED"))</f>
        <v/>
      </c>
      <c r="E210" s="107"/>
      <c r="F210" s="107"/>
      <c r="G210" s="107"/>
      <c r="H210" s="107"/>
      <c r="I210" s="107"/>
      <c r="J210" s="107"/>
      <c r="K210" s="107"/>
      <c r="L210" s="107"/>
      <c r="M210" s="107"/>
      <c r="N210" s="107"/>
      <c r="O210" s="107"/>
      <c r="P210" s="107"/>
      <c r="Q210" s="107"/>
      <c r="R210" s="108">
        <f t="shared" si="3"/>
        <v>0</v>
      </c>
    </row>
    <row r="211" spans="1:18" x14ac:dyDescent="0.25">
      <c r="A211" s="106"/>
      <c r="B211" s="106"/>
      <c r="C211" s="106"/>
      <c r="D211" s="101" t="str">
        <f>IF(C211="","",IFERROR(INDEX(Mapping!$B$5:$B$40,MATCH(C211,Mapping!$A$5:$A$40,0)),"UNMAPPED"))</f>
        <v/>
      </c>
      <c r="E211" s="107"/>
      <c r="F211" s="107"/>
      <c r="G211" s="107"/>
      <c r="H211" s="107"/>
      <c r="I211" s="107"/>
      <c r="J211" s="107"/>
      <c r="K211" s="107"/>
      <c r="L211" s="107"/>
      <c r="M211" s="107"/>
      <c r="N211" s="107"/>
      <c r="O211" s="107"/>
      <c r="P211" s="107"/>
      <c r="Q211" s="107"/>
      <c r="R211" s="108">
        <f t="shared" si="3"/>
        <v>0</v>
      </c>
    </row>
    <row r="212" spans="1:18" x14ac:dyDescent="0.25">
      <c r="A212" s="106"/>
      <c r="B212" s="106"/>
      <c r="C212" s="106"/>
      <c r="D212" s="101" t="str">
        <f>IF(C212="","",IFERROR(INDEX(Mapping!$B$5:$B$40,MATCH(C212,Mapping!$A$5:$A$40,0)),"UNMAPPED"))</f>
        <v/>
      </c>
      <c r="E212" s="107"/>
      <c r="F212" s="107"/>
      <c r="G212" s="107"/>
      <c r="H212" s="107"/>
      <c r="I212" s="107"/>
      <c r="J212" s="107"/>
      <c r="K212" s="107"/>
      <c r="L212" s="107"/>
      <c r="M212" s="107"/>
      <c r="N212" s="107"/>
      <c r="O212" s="107"/>
      <c r="P212" s="107"/>
      <c r="Q212" s="107"/>
      <c r="R212" s="108">
        <f t="shared" si="3"/>
        <v>0</v>
      </c>
    </row>
    <row r="213" spans="1:18" x14ac:dyDescent="0.25">
      <c r="A213" s="106"/>
      <c r="B213" s="106"/>
      <c r="C213" s="106"/>
      <c r="D213" s="101" t="str">
        <f>IF(C213="","",IFERROR(INDEX(Mapping!$B$5:$B$40,MATCH(C213,Mapping!$A$5:$A$40,0)),"UNMAPPED"))</f>
        <v/>
      </c>
      <c r="E213" s="107"/>
      <c r="F213" s="107"/>
      <c r="G213" s="107"/>
      <c r="H213" s="107"/>
      <c r="I213" s="107"/>
      <c r="J213" s="107"/>
      <c r="K213" s="107"/>
      <c r="L213" s="107"/>
      <c r="M213" s="107"/>
      <c r="N213" s="107"/>
      <c r="O213" s="107"/>
      <c r="P213" s="107"/>
      <c r="Q213" s="107"/>
      <c r="R213" s="108">
        <f t="shared" si="3"/>
        <v>0</v>
      </c>
    </row>
    <row r="214" spans="1:18" x14ac:dyDescent="0.25">
      <c r="A214" s="106"/>
      <c r="B214" s="106"/>
      <c r="C214" s="106"/>
      <c r="D214" s="101" t="str">
        <f>IF(C214="","",IFERROR(INDEX(Mapping!$B$5:$B$40,MATCH(C214,Mapping!$A$5:$A$40,0)),"UNMAPPED"))</f>
        <v/>
      </c>
      <c r="E214" s="107"/>
      <c r="F214" s="107"/>
      <c r="G214" s="107"/>
      <c r="H214" s="107"/>
      <c r="I214" s="107"/>
      <c r="J214" s="107"/>
      <c r="K214" s="107"/>
      <c r="L214" s="107"/>
      <c r="M214" s="107"/>
      <c r="N214" s="107"/>
      <c r="O214" s="107"/>
      <c r="P214" s="107"/>
      <c r="Q214" s="107"/>
      <c r="R214" s="108">
        <f t="shared" si="3"/>
        <v>0</v>
      </c>
    </row>
    <row r="215" spans="1:18" x14ac:dyDescent="0.25">
      <c r="A215" s="106"/>
      <c r="B215" s="106"/>
      <c r="C215" s="106"/>
      <c r="D215" s="101" t="str">
        <f>IF(C215="","",IFERROR(INDEX(Mapping!$B$5:$B$40,MATCH(C215,Mapping!$A$5:$A$40,0)),"UNMAPPED"))</f>
        <v/>
      </c>
      <c r="E215" s="107"/>
      <c r="F215" s="107"/>
      <c r="G215" s="107"/>
      <c r="H215" s="107"/>
      <c r="I215" s="107"/>
      <c r="J215" s="107"/>
      <c r="K215" s="107"/>
      <c r="L215" s="107"/>
      <c r="M215" s="107"/>
      <c r="N215" s="107"/>
      <c r="O215" s="107"/>
      <c r="P215" s="107"/>
      <c r="Q215" s="107"/>
      <c r="R215" s="108">
        <f t="shared" si="3"/>
        <v>0</v>
      </c>
    </row>
    <row r="216" spans="1:18" x14ac:dyDescent="0.25">
      <c r="A216" s="106"/>
      <c r="B216" s="106"/>
      <c r="C216" s="106"/>
      <c r="D216" s="101" t="str">
        <f>IF(C216="","",IFERROR(INDEX(Mapping!$B$5:$B$40,MATCH(C216,Mapping!$A$5:$A$40,0)),"UNMAPPED"))</f>
        <v/>
      </c>
      <c r="E216" s="107"/>
      <c r="F216" s="107"/>
      <c r="G216" s="107"/>
      <c r="H216" s="107"/>
      <c r="I216" s="107"/>
      <c r="J216" s="107"/>
      <c r="K216" s="107"/>
      <c r="L216" s="107"/>
      <c r="M216" s="107"/>
      <c r="N216" s="107"/>
      <c r="O216" s="107"/>
      <c r="P216" s="107"/>
      <c r="Q216" s="107"/>
      <c r="R216" s="108">
        <f t="shared" si="3"/>
        <v>0</v>
      </c>
    </row>
    <row r="217" spans="1:18" x14ac:dyDescent="0.25">
      <c r="A217" s="106"/>
      <c r="B217" s="106"/>
      <c r="C217" s="106"/>
      <c r="D217" s="101" t="str">
        <f>IF(C217="","",IFERROR(INDEX(Mapping!$B$5:$B$40,MATCH(C217,Mapping!$A$5:$A$40,0)),"UNMAPPED"))</f>
        <v/>
      </c>
      <c r="E217" s="107"/>
      <c r="F217" s="107"/>
      <c r="G217" s="107"/>
      <c r="H217" s="107"/>
      <c r="I217" s="107"/>
      <c r="J217" s="107"/>
      <c r="K217" s="107"/>
      <c r="L217" s="107"/>
      <c r="M217" s="107"/>
      <c r="N217" s="107"/>
      <c r="O217" s="107"/>
      <c r="P217" s="107"/>
      <c r="Q217" s="107"/>
      <c r="R217" s="108">
        <f t="shared" si="3"/>
        <v>0</v>
      </c>
    </row>
    <row r="218" spans="1:18" x14ac:dyDescent="0.25">
      <c r="A218" s="106"/>
      <c r="B218" s="106"/>
      <c r="C218" s="106"/>
      <c r="D218" s="101" t="str">
        <f>IF(C218="","",IFERROR(INDEX(Mapping!$B$5:$B$40,MATCH(C218,Mapping!$A$5:$A$40,0)),"UNMAPPED"))</f>
        <v/>
      </c>
      <c r="E218" s="107"/>
      <c r="F218" s="107"/>
      <c r="G218" s="107"/>
      <c r="H218" s="107"/>
      <c r="I218" s="107"/>
      <c r="J218" s="107"/>
      <c r="K218" s="107"/>
      <c r="L218" s="107"/>
      <c r="M218" s="107"/>
      <c r="N218" s="107"/>
      <c r="O218" s="107"/>
      <c r="P218" s="107"/>
      <c r="Q218" s="107"/>
      <c r="R218" s="108">
        <f t="shared" si="3"/>
        <v>0</v>
      </c>
    </row>
    <row r="219" spans="1:18" x14ac:dyDescent="0.25">
      <c r="A219" s="106"/>
      <c r="B219" s="106"/>
      <c r="C219" s="106"/>
      <c r="D219" s="101" t="str">
        <f>IF(C219="","",IFERROR(INDEX(Mapping!$B$5:$B$40,MATCH(C219,Mapping!$A$5:$A$40,0)),"UNMAPPED"))</f>
        <v/>
      </c>
      <c r="E219" s="107"/>
      <c r="F219" s="107"/>
      <c r="G219" s="107"/>
      <c r="H219" s="107"/>
      <c r="I219" s="107"/>
      <c r="J219" s="107"/>
      <c r="K219" s="107"/>
      <c r="L219" s="107"/>
      <c r="M219" s="107"/>
      <c r="N219" s="107"/>
      <c r="O219" s="107"/>
      <c r="P219" s="107"/>
      <c r="Q219" s="107"/>
      <c r="R219" s="108">
        <f t="shared" si="3"/>
        <v>0</v>
      </c>
    </row>
    <row r="220" spans="1:18" x14ac:dyDescent="0.25">
      <c r="A220" s="106"/>
      <c r="B220" s="106"/>
      <c r="C220" s="106"/>
      <c r="D220" s="101" t="str">
        <f>IF(C220="","",IFERROR(INDEX(Mapping!$B$5:$B$40,MATCH(C220,Mapping!$A$5:$A$40,0)),"UNMAPPED"))</f>
        <v/>
      </c>
      <c r="E220" s="107"/>
      <c r="F220" s="107"/>
      <c r="G220" s="107"/>
      <c r="H220" s="107"/>
      <c r="I220" s="107"/>
      <c r="J220" s="107"/>
      <c r="K220" s="107"/>
      <c r="L220" s="107"/>
      <c r="M220" s="107"/>
      <c r="N220" s="107"/>
      <c r="O220" s="107"/>
      <c r="P220" s="107"/>
      <c r="Q220" s="107"/>
      <c r="R220" s="108">
        <f t="shared" si="3"/>
        <v>0</v>
      </c>
    </row>
    <row r="221" spans="1:18" x14ac:dyDescent="0.25">
      <c r="A221" s="106"/>
      <c r="B221" s="106"/>
      <c r="C221" s="106"/>
      <c r="D221" s="101" t="str">
        <f>IF(C221="","",IFERROR(INDEX(Mapping!$B$5:$B$40,MATCH(C221,Mapping!$A$5:$A$40,0)),"UNMAPPED"))</f>
        <v/>
      </c>
      <c r="E221" s="107"/>
      <c r="F221" s="107"/>
      <c r="G221" s="107"/>
      <c r="H221" s="107"/>
      <c r="I221" s="107"/>
      <c r="J221" s="107"/>
      <c r="K221" s="107"/>
      <c r="L221" s="107"/>
      <c r="M221" s="107"/>
      <c r="N221" s="107"/>
      <c r="O221" s="107"/>
      <c r="P221" s="107"/>
      <c r="Q221" s="107"/>
      <c r="R221" s="108">
        <f t="shared" si="3"/>
        <v>0</v>
      </c>
    </row>
    <row r="222" spans="1:18" x14ac:dyDescent="0.25">
      <c r="A222" s="106"/>
      <c r="B222" s="106"/>
      <c r="C222" s="106"/>
      <c r="D222" s="101" t="str">
        <f>IF(C222="","",IFERROR(INDEX(Mapping!$B$5:$B$40,MATCH(C222,Mapping!$A$5:$A$40,0)),"UNMAPPED"))</f>
        <v/>
      </c>
      <c r="E222" s="107"/>
      <c r="F222" s="107"/>
      <c r="G222" s="107"/>
      <c r="H222" s="107"/>
      <c r="I222" s="107"/>
      <c r="J222" s="107"/>
      <c r="K222" s="107"/>
      <c r="L222" s="107"/>
      <c r="M222" s="107"/>
      <c r="N222" s="107"/>
      <c r="O222" s="107"/>
      <c r="P222" s="107"/>
      <c r="Q222" s="107"/>
      <c r="R222" s="108">
        <f t="shared" si="3"/>
        <v>0</v>
      </c>
    </row>
    <row r="223" spans="1:18" x14ac:dyDescent="0.25">
      <c r="A223" s="106"/>
      <c r="B223" s="106"/>
      <c r="C223" s="106"/>
      <c r="D223" s="101" t="str">
        <f>IF(C223="","",IFERROR(INDEX(Mapping!$B$5:$B$40,MATCH(C223,Mapping!$A$5:$A$40,0)),"UNMAPPED"))</f>
        <v/>
      </c>
      <c r="E223" s="107"/>
      <c r="F223" s="107"/>
      <c r="G223" s="107"/>
      <c r="H223" s="107"/>
      <c r="I223" s="107"/>
      <c r="J223" s="107"/>
      <c r="K223" s="107"/>
      <c r="L223" s="107"/>
      <c r="M223" s="107"/>
      <c r="N223" s="107"/>
      <c r="O223" s="107"/>
      <c r="P223" s="107"/>
      <c r="Q223" s="107"/>
      <c r="R223" s="108">
        <f t="shared" si="3"/>
        <v>0</v>
      </c>
    </row>
    <row r="224" spans="1:18" x14ac:dyDescent="0.25">
      <c r="A224" s="106"/>
      <c r="B224" s="106"/>
      <c r="C224" s="106"/>
      <c r="D224" s="101" t="str">
        <f>IF(C224="","",IFERROR(INDEX(Mapping!$B$5:$B$40,MATCH(C224,Mapping!$A$5:$A$40,0)),"UNMAPPED"))</f>
        <v/>
      </c>
      <c r="E224" s="107"/>
      <c r="F224" s="107"/>
      <c r="G224" s="107"/>
      <c r="H224" s="107"/>
      <c r="I224" s="107"/>
      <c r="J224" s="107"/>
      <c r="K224" s="107"/>
      <c r="L224" s="107"/>
      <c r="M224" s="107"/>
      <c r="N224" s="107"/>
      <c r="O224" s="107"/>
      <c r="P224" s="107"/>
      <c r="Q224" s="107"/>
      <c r="R224" s="108">
        <f t="shared" si="3"/>
        <v>0</v>
      </c>
    </row>
    <row r="225" spans="1:18" x14ac:dyDescent="0.25">
      <c r="A225" s="106"/>
      <c r="B225" s="106"/>
      <c r="C225" s="106"/>
      <c r="D225" s="101" t="str">
        <f>IF(C225="","",IFERROR(INDEX(Mapping!$B$5:$B$40,MATCH(C225,Mapping!$A$5:$A$40,0)),"UNMAPPED"))</f>
        <v/>
      </c>
      <c r="E225" s="107"/>
      <c r="F225" s="107"/>
      <c r="G225" s="107"/>
      <c r="H225" s="107"/>
      <c r="I225" s="107"/>
      <c r="J225" s="107"/>
      <c r="K225" s="107"/>
      <c r="L225" s="107"/>
      <c r="M225" s="107"/>
      <c r="N225" s="107"/>
      <c r="O225" s="107"/>
      <c r="P225" s="107"/>
      <c r="Q225" s="107"/>
      <c r="R225" s="108">
        <f t="shared" si="3"/>
        <v>0</v>
      </c>
    </row>
    <row r="226" spans="1:18" x14ac:dyDescent="0.25">
      <c r="A226" s="106"/>
      <c r="B226" s="106"/>
      <c r="C226" s="106"/>
      <c r="D226" s="101" t="str">
        <f>IF(C226="","",IFERROR(INDEX(Mapping!$B$5:$B$40,MATCH(C226,Mapping!$A$5:$A$40,0)),"UNMAPPED"))</f>
        <v/>
      </c>
      <c r="E226" s="107"/>
      <c r="F226" s="107"/>
      <c r="G226" s="107"/>
      <c r="H226" s="107"/>
      <c r="I226" s="107"/>
      <c r="J226" s="107"/>
      <c r="K226" s="107"/>
      <c r="L226" s="107"/>
      <c r="M226" s="107"/>
      <c r="N226" s="107"/>
      <c r="O226" s="107"/>
      <c r="P226" s="107"/>
      <c r="Q226" s="107"/>
      <c r="R226" s="108">
        <f t="shared" si="3"/>
        <v>0</v>
      </c>
    </row>
    <row r="227" spans="1:18" x14ac:dyDescent="0.25">
      <c r="A227" s="106"/>
      <c r="B227" s="106"/>
      <c r="C227" s="106"/>
      <c r="D227" s="101" t="str">
        <f>IF(C227="","",IFERROR(INDEX(Mapping!$B$5:$B$40,MATCH(C227,Mapping!$A$5:$A$40,0)),"UNMAPPED"))</f>
        <v/>
      </c>
      <c r="E227" s="107"/>
      <c r="F227" s="107"/>
      <c r="G227" s="107"/>
      <c r="H227" s="107"/>
      <c r="I227" s="107"/>
      <c r="J227" s="107"/>
      <c r="K227" s="107"/>
      <c r="L227" s="107"/>
      <c r="M227" s="107"/>
      <c r="N227" s="107"/>
      <c r="O227" s="107"/>
      <c r="P227" s="107"/>
      <c r="Q227" s="107"/>
      <c r="R227" s="108">
        <f t="shared" si="3"/>
        <v>0</v>
      </c>
    </row>
    <row r="228" spans="1:18" x14ac:dyDescent="0.25">
      <c r="A228" s="106"/>
      <c r="B228" s="106"/>
      <c r="C228" s="106"/>
      <c r="D228" s="101" t="str">
        <f>IF(C228="","",IFERROR(INDEX(Mapping!$B$5:$B$40,MATCH(C228,Mapping!$A$5:$A$40,0)),"UNMAPPED"))</f>
        <v/>
      </c>
      <c r="E228" s="107"/>
      <c r="F228" s="107"/>
      <c r="G228" s="107"/>
      <c r="H228" s="107"/>
      <c r="I228" s="107"/>
      <c r="J228" s="107"/>
      <c r="K228" s="107"/>
      <c r="L228" s="107"/>
      <c r="M228" s="107"/>
      <c r="N228" s="107"/>
      <c r="O228" s="107"/>
      <c r="P228" s="107"/>
      <c r="Q228" s="107"/>
      <c r="R228" s="108">
        <f t="shared" si="3"/>
        <v>0</v>
      </c>
    </row>
    <row r="229" spans="1:18" x14ac:dyDescent="0.25">
      <c r="A229" s="106"/>
      <c r="B229" s="106"/>
      <c r="C229" s="106"/>
      <c r="D229" s="101" t="str">
        <f>IF(C229="","",IFERROR(INDEX(Mapping!$B$5:$B$40,MATCH(C229,Mapping!$A$5:$A$40,0)),"UNMAPPED"))</f>
        <v/>
      </c>
      <c r="E229" s="107"/>
      <c r="F229" s="107"/>
      <c r="G229" s="107"/>
      <c r="H229" s="107"/>
      <c r="I229" s="107"/>
      <c r="J229" s="107"/>
      <c r="K229" s="107"/>
      <c r="L229" s="107"/>
      <c r="M229" s="107"/>
      <c r="N229" s="107"/>
      <c r="O229" s="107"/>
      <c r="P229" s="107"/>
      <c r="Q229" s="107"/>
      <c r="R229" s="108">
        <f t="shared" si="3"/>
        <v>0</v>
      </c>
    </row>
    <row r="230" spans="1:18" x14ac:dyDescent="0.25">
      <c r="A230" s="106"/>
      <c r="B230" s="106"/>
      <c r="C230" s="106"/>
      <c r="D230" s="101" t="str">
        <f>IF(C230="","",IFERROR(INDEX(Mapping!$B$5:$B$40,MATCH(C230,Mapping!$A$5:$A$40,0)),"UNMAPPED"))</f>
        <v/>
      </c>
      <c r="E230" s="107"/>
      <c r="F230" s="107"/>
      <c r="G230" s="107"/>
      <c r="H230" s="107"/>
      <c r="I230" s="107"/>
      <c r="J230" s="107"/>
      <c r="K230" s="107"/>
      <c r="L230" s="107"/>
      <c r="M230" s="107"/>
      <c r="N230" s="107"/>
      <c r="O230" s="107"/>
      <c r="P230" s="107"/>
      <c r="Q230" s="107"/>
      <c r="R230" s="108">
        <f t="shared" si="3"/>
        <v>0</v>
      </c>
    </row>
    <row r="231" spans="1:18" x14ac:dyDescent="0.25">
      <c r="A231" s="106"/>
      <c r="B231" s="106"/>
      <c r="C231" s="106"/>
      <c r="D231" s="101" t="str">
        <f>IF(C231="","",IFERROR(INDEX(Mapping!$B$5:$B$40,MATCH(C231,Mapping!$A$5:$A$40,0)),"UNMAPPED"))</f>
        <v/>
      </c>
      <c r="E231" s="107"/>
      <c r="F231" s="107"/>
      <c r="G231" s="107"/>
      <c r="H231" s="107"/>
      <c r="I231" s="107"/>
      <c r="J231" s="107"/>
      <c r="K231" s="107"/>
      <c r="L231" s="107"/>
      <c r="M231" s="107"/>
      <c r="N231" s="107"/>
      <c r="O231" s="107"/>
      <c r="P231" s="107"/>
      <c r="Q231" s="107"/>
      <c r="R231" s="108">
        <f t="shared" si="3"/>
        <v>0</v>
      </c>
    </row>
    <row r="232" spans="1:18" x14ac:dyDescent="0.25">
      <c r="A232" s="106"/>
      <c r="B232" s="106"/>
      <c r="C232" s="106"/>
      <c r="D232" s="101" t="str">
        <f>IF(C232="","",IFERROR(INDEX(Mapping!$B$5:$B$40,MATCH(C232,Mapping!$A$5:$A$40,0)),"UNMAPPED"))</f>
        <v/>
      </c>
      <c r="E232" s="107"/>
      <c r="F232" s="107"/>
      <c r="G232" s="107"/>
      <c r="H232" s="107"/>
      <c r="I232" s="107"/>
      <c r="J232" s="107"/>
      <c r="K232" s="107"/>
      <c r="L232" s="107"/>
      <c r="M232" s="107"/>
      <c r="N232" s="107"/>
      <c r="O232" s="107"/>
      <c r="P232" s="107"/>
      <c r="Q232" s="107"/>
      <c r="R232" s="108">
        <f t="shared" si="3"/>
        <v>0</v>
      </c>
    </row>
    <row r="233" spans="1:18" x14ac:dyDescent="0.25">
      <c r="A233" s="106"/>
      <c r="B233" s="106"/>
      <c r="C233" s="106"/>
      <c r="D233" s="101" t="str">
        <f>IF(C233="","",IFERROR(INDEX(Mapping!$B$5:$B$40,MATCH(C233,Mapping!$A$5:$A$40,0)),"UNMAPPED"))</f>
        <v/>
      </c>
      <c r="E233" s="107"/>
      <c r="F233" s="107"/>
      <c r="G233" s="107"/>
      <c r="H233" s="107"/>
      <c r="I233" s="107"/>
      <c r="J233" s="107"/>
      <c r="K233" s="107"/>
      <c r="L233" s="107"/>
      <c r="M233" s="107"/>
      <c r="N233" s="107"/>
      <c r="O233" s="107"/>
      <c r="P233" s="107"/>
      <c r="Q233" s="107"/>
      <c r="R233" s="108">
        <f t="shared" si="3"/>
        <v>0</v>
      </c>
    </row>
    <row r="234" spans="1:18" x14ac:dyDescent="0.25">
      <c r="A234" s="106"/>
      <c r="B234" s="106"/>
      <c r="C234" s="106"/>
      <c r="D234" s="101" t="str">
        <f>IF(C234="","",IFERROR(INDEX(Mapping!$B$5:$B$40,MATCH(C234,Mapping!$A$5:$A$40,0)),"UNMAPPED"))</f>
        <v/>
      </c>
      <c r="E234" s="107"/>
      <c r="F234" s="107"/>
      <c r="G234" s="107"/>
      <c r="H234" s="107"/>
      <c r="I234" s="107"/>
      <c r="J234" s="107"/>
      <c r="K234" s="107"/>
      <c r="L234" s="107"/>
      <c r="M234" s="107"/>
      <c r="N234" s="107"/>
      <c r="O234" s="107"/>
      <c r="P234" s="107"/>
      <c r="Q234" s="107"/>
      <c r="R234" s="108">
        <f t="shared" si="3"/>
        <v>0</v>
      </c>
    </row>
    <row r="235" spans="1:18" x14ac:dyDescent="0.25">
      <c r="A235" s="106"/>
      <c r="B235" s="106"/>
      <c r="C235" s="106"/>
      <c r="D235" s="101" t="str">
        <f>IF(C235="","",IFERROR(INDEX(Mapping!$B$5:$B$40,MATCH(C235,Mapping!$A$5:$A$40,0)),"UNMAPPED"))</f>
        <v/>
      </c>
      <c r="E235" s="107"/>
      <c r="F235" s="107"/>
      <c r="G235" s="107"/>
      <c r="H235" s="107"/>
      <c r="I235" s="107"/>
      <c r="J235" s="107"/>
      <c r="K235" s="107"/>
      <c r="L235" s="107"/>
      <c r="M235" s="107"/>
      <c r="N235" s="107"/>
      <c r="O235" s="107"/>
      <c r="P235" s="107"/>
      <c r="Q235" s="107"/>
      <c r="R235" s="108">
        <f t="shared" si="3"/>
        <v>0</v>
      </c>
    </row>
    <row r="236" spans="1:18" x14ac:dyDescent="0.25">
      <c r="A236" s="106"/>
      <c r="B236" s="106"/>
      <c r="C236" s="106"/>
      <c r="D236" s="101" t="str">
        <f>IF(C236="","",IFERROR(INDEX(Mapping!$B$5:$B$40,MATCH(C236,Mapping!$A$5:$A$40,0)),"UNMAPPED"))</f>
        <v/>
      </c>
      <c r="E236" s="107"/>
      <c r="F236" s="107"/>
      <c r="G236" s="107"/>
      <c r="H236" s="107"/>
      <c r="I236" s="107"/>
      <c r="J236" s="107"/>
      <c r="K236" s="107"/>
      <c r="L236" s="107"/>
      <c r="M236" s="107"/>
      <c r="N236" s="107"/>
      <c r="O236" s="107"/>
      <c r="P236" s="107"/>
      <c r="Q236" s="107"/>
      <c r="R236" s="108">
        <f t="shared" si="3"/>
        <v>0</v>
      </c>
    </row>
    <row r="237" spans="1:18" x14ac:dyDescent="0.25">
      <c r="A237" s="106"/>
      <c r="B237" s="106"/>
      <c r="C237" s="106"/>
      <c r="D237" s="101" t="str">
        <f>IF(C237="","",IFERROR(INDEX(Mapping!$B$5:$B$40,MATCH(C237,Mapping!$A$5:$A$40,0)),"UNMAPPED"))</f>
        <v/>
      </c>
      <c r="E237" s="107"/>
      <c r="F237" s="107"/>
      <c r="G237" s="107"/>
      <c r="H237" s="107"/>
      <c r="I237" s="107"/>
      <c r="J237" s="107"/>
      <c r="K237" s="107"/>
      <c r="L237" s="107"/>
      <c r="M237" s="107"/>
      <c r="N237" s="107"/>
      <c r="O237" s="107"/>
      <c r="P237" s="107"/>
      <c r="Q237" s="107"/>
      <c r="R237" s="108">
        <f t="shared" si="3"/>
        <v>0</v>
      </c>
    </row>
    <row r="238" spans="1:18" x14ac:dyDescent="0.25">
      <c r="A238" s="106"/>
      <c r="B238" s="106"/>
      <c r="C238" s="106"/>
      <c r="D238" s="101" t="str">
        <f>IF(C238="","",IFERROR(INDEX(Mapping!$B$5:$B$40,MATCH(C238,Mapping!$A$5:$A$40,0)),"UNMAPPED"))</f>
        <v/>
      </c>
      <c r="E238" s="107"/>
      <c r="F238" s="107"/>
      <c r="G238" s="107"/>
      <c r="H238" s="107"/>
      <c r="I238" s="107"/>
      <c r="J238" s="107"/>
      <c r="K238" s="107"/>
      <c r="L238" s="107"/>
      <c r="M238" s="107"/>
      <c r="N238" s="107"/>
      <c r="O238" s="107"/>
      <c r="P238" s="107"/>
      <c r="Q238" s="107"/>
      <c r="R238" s="108">
        <f t="shared" si="3"/>
        <v>0</v>
      </c>
    </row>
    <row r="239" spans="1:18" x14ac:dyDescent="0.25">
      <c r="A239" s="106"/>
      <c r="B239" s="106"/>
      <c r="C239" s="106"/>
      <c r="D239" s="101" t="str">
        <f>IF(C239="","",IFERROR(INDEX(Mapping!$B$5:$B$40,MATCH(C239,Mapping!$A$5:$A$40,0)),"UNMAPPED"))</f>
        <v/>
      </c>
      <c r="E239" s="107"/>
      <c r="F239" s="107"/>
      <c r="G239" s="107"/>
      <c r="H239" s="107"/>
      <c r="I239" s="107"/>
      <c r="J239" s="107"/>
      <c r="K239" s="107"/>
      <c r="L239" s="107"/>
      <c r="M239" s="107"/>
      <c r="N239" s="107"/>
      <c r="O239" s="107"/>
      <c r="P239" s="107"/>
      <c r="Q239" s="107"/>
      <c r="R239" s="108">
        <f t="shared" si="3"/>
        <v>0</v>
      </c>
    </row>
    <row r="240" spans="1:18" x14ac:dyDescent="0.25">
      <c r="A240" s="106"/>
      <c r="B240" s="106"/>
      <c r="C240" s="106"/>
      <c r="D240" s="101" t="str">
        <f>IF(C240="","",IFERROR(INDEX(Mapping!$B$5:$B$40,MATCH(C240,Mapping!$A$5:$A$40,0)),"UNMAPPED"))</f>
        <v/>
      </c>
      <c r="E240" s="107"/>
      <c r="F240" s="107"/>
      <c r="G240" s="107"/>
      <c r="H240" s="107"/>
      <c r="I240" s="107"/>
      <c r="J240" s="107"/>
      <c r="K240" s="107"/>
      <c r="L240" s="107"/>
      <c r="M240" s="107"/>
      <c r="N240" s="107"/>
      <c r="O240" s="107"/>
      <c r="P240" s="107"/>
      <c r="Q240" s="107"/>
      <c r="R240" s="108">
        <f t="shared" si="3"/>
        <v>0</v>
      </c>
    </row>
    <row r="241" spans="1:18" x14ac:dyDescent="0.25">
      <c r="A241" s="106"/>
      <c r="B241" s="106"/>
      <c r="C241" s="106"/>
      <c r="D241" s="101" t="str">
        <f>IF(C241="","",IFERROR(INDEX(Mapping!$B$5:$B$40,MATCH(C241,Mapping!$A$5:$A$40,0)),"UNMAPPED"))</f>
        <v/>
      </c>
      <c r="E241" s="107"/>
      <c r="F241" s="107"/>
      <c r="G241" s="107"/>
      <c r="H241" s="107"/>
      <c r="I241" s="107"/>
      <c r="J241" s="107"/>
      <c r="K241" s="107"/>
      <c r="L241" s="107"/>
      <c r="M241" s="107"/>
      <c r="N241" s="107"/>
      <c r="O241" s="107"/>
      <c r="P241" s="107"/>
      <c r="Q241" s="107"/>
      <c r="R241" s="108">
        <f t="shared" si="3"/>
        <v>0</v>
      </c>
    </row>
    <row r="242" spans="1:18" x14ac:dyDescent="0.25">
      <c r="A242" s="106"/>
      <c r="B242" s="106"/>
      <c r="C242" s="106"/>
      <c r="D242" s="101" t="str">
        <f>IF(C242="","",IFERROR(INDEX(Mapping!$B$5:$B$40,MATCH(C242,Mapping!$A$5:$A$40,0)),"UNMAPPED"))</f>
        <v/>
      </c>
      <c r="E242" s="107"/>
      <c r="F242" s="107"/>
      <c r="G242" s="107"/>
      <c r="H242" s="107"/>
      <c r="I242" s="107"/>
      <c r="J242" s="107"/>
      <c r="K242" s="107"/>
      <c r="L242" s="107"/>
      <c r="M242" s="107"/>
      <c r="N242" s="107"/>
      <c r="O242" s="107"/>
      <c r="P242" s="107"/>
      <c r="Q242" s="107"/>
      <c r="R242" s="108">
        <f t="shared" si="3"/>
        <v>0</v>
      </c>
    </row>
    <row r="243" spans="1:18" x14ac:dyDescent="0.25">
      <c r="A243" s="106"/>
      <c r="B243" s="106"/>
      <c r="C243" s="106"/>
      <c r="D243" s="101" t="str">
        <f>IF(C243="","",IFERROR(INDEX(Mapping!$B$5:$B$40,MATCH(C243,Mapping!$A$5:$A$40,0)),"UNMAPPED"))</f>
        <v/>
      </c>
      <c r="E243" s="107"/>
      <c r="F243" s="107"/>
      <c r="G243" s="107"/>
      <c r="H243" s="107"/>
      <c r="I243" s="107"/>
      <c r="J243" s="107"/>
      <c r="K243" s="107"/>
      <c r="L243" s="107"/>
      <c r="M243" s="107"/>
      <c r="N243" s="107"/>
      <c r="O243" s="107"/>
      <c r="P243" s="107"/>
      <c r="Q243" s="107"/>
      <c r="R243" s="108">
        <f t="shared" si="3"/>
        <v>0</v>
      </c>
    </row>
    <row r="244" spans="1:18" x14ac:dyDescent="0.25">
      <c r="A244" s="106"/>
      <c r="B244" s="106"/>
      <c r="C244" s="106"/>
      <c r="D244" s="101" t="str">
        <f>IF(C244="","",IFERROR(INDEX(Mapping!$B$5:$B$40,MATCH(C244,Mapping!$A$5:$A$40,0)),"UNMAPPED"))</f>
        <v/>
      </c>
      <c r="E244" s="107"/>
      <c r="F244" s="107"/>
      <c r="G244" s="107"/>
      <c r="H244" s="107"/>
      <c r="I244" s="107"/>
      <c r="J244" s="107"/>
      <c r="K244" s="107"/>
      <c r="L244" s="107"/>
      <c r="M244" s="107"/>
      <c r="N244" s="107"/>
      <c r="O244" s="107"/>
      <c r="P244" s="107"/>
      <c r="Q244" s="107"/>
      <c r="R244" s="108">
        <f t="shared" si="3"/>
        <v>0</v>
      </c>
    </row>
    <row r="245" spans="1:18" x14ac:dyDescent="0.25">
      <c r="A245" s="106"/>
      <c r="B245" s="106"/>
      <c r="C245" s="106"/>
      <c r="D245" s="101" t="str">
        <f>IF(C245="","",IFERROR(INDEX(Mapping!$B$5:$B$40,MATCH(C245,Mapping!$A$5:$A$40,0)),"UNMAPPED"))</f>
        <v/>
      </c>
      <c r="E245" s="107"/>
      <c r="F245" s="107"/>
      <c r="G245" s="107"/>
      <c r="H245" s="107"/>
      <c r="I245" s="107"/>
      <c r="J245" s="107"/>
      <c r="K245" s="107"/>
      <c r="L245" s="107"/>
      <c r="M245" s="107"/>
      <c r="N245" s="107"/>
      <c r="O245" s="107"/>
      <c r="P245" s="107"/>
      <c r="Q245" s="107"/>
      <c r="R245" s="108">
        <f t="shared" si="3"/>
        <v>0</v>
      </c>
    </row>
    <row r="246" spans="1:18" x14ac:dyDescent="0.25">
      <c r="A246" s="106"/>
      <c r="B246" s="106"/>
      <c r="C246" s="106"/>
      <c r="D246" s="101" t="str">
        <f>IF(C246="","",IFERROR(INDEX(Mapping!$B$5:$B$40,MATCH(C246,Mapping!$A$5:$A$40,0)),"UNMAPPED"))</f>
        <v/>
      </c>
      <c r="E246" s="107"/>
      <c r="F246" s="107"/>
      <c r="G246" s="107"/>
      <c r="H246" s="107"/>
      <c r="I246" s="107"/>
      <c r="J246" s="107"/>
      <c r="K246" s="107"/>
      <c r="L246" s="107"/>
      <c r="M246" s="107"/>
      <c r="N246" s="107"/>
      <c r="O246" s="107"/>
      <c r="P246" s="107"/>
      <c r="Q246" s="107"/>
      <c r="R246" s="108">
        <f t="shared" si="3"/>
        <v>0</v>
      </c>
    </row>
    <row r="247" spans="1:18" x14ac:dyDescent="0.25">
      <c r="A247" s="106"/>
      <c r="B247" s="106"/>
      <c r="C247" s="106"/>
      <c r="D247" s="101" t="str">
        <f>IF(C247="","",IFERROR(INDEX(Mapping!$B$5:$B$40,MATCH(C247,Mapping!$A$5:$A$40,0)),"UNMAPPED"))</f>
        <v/>
      </c>
      <c r="E247" s="107"/>
      <c r="F247" s="107"/>
      <c r="G247" s="107"/>
      <c r="H247" s="107"/>
      <c r="I247" s="107"/>
      <c r="J247" s="107"/>
      <c r="K247" s="107"/>
      <c r="L247" s="107"/>
      <c r="M247" s="107"/>
      <c r="N247" s="107"/>
      <c r="O247" s="107"/>
      <c r="P247" s="107"/>
      <c r="Q247" s="107"/>
      <c r="R247" s="108">
        <f t="shared" si="3"/>
        <v>0</v>
      </c>
    </row>
    <row r="248" spans="1:18" x14ac:dyDescent="0.25">
      <c r="A248" s="106"/>
      <c r="B248" s="106"/>
      <c r="C248" s="106"/>
      <c r="D248" s="101" t="str">
        <f>IF(C248="","",IFERROR(INDEX(Mapping!$B$5:$B$40,MATCH(C248,Mapping!$A$5:$A$40,0)),"UNMAPPED"))</f>
        <v/>
      </c>
      <c r="E248" s="107"/>
      <c r="F248" s="107"/>
      <c r="G248" s="107"/>
      <c r="H248" s="107"/>
      <c r="I248" s="107"/>
      <c r="J248" s="107"/>
      <c r="K248" s="107"/>
      <c r="L248" s="107"/>
      <c r="M248" s="107"/>
      <c r="N248" s="107"/>
      <c r="O248" s="107"/>
      <c r="P248" s="107"/>
      <c r="Q248" s="107"/>
      <c r="R248" s="108">
        <f t="shared" si="3"/>
        <v>0</v>
      </c>
    </row>
    <row r="249" spans="1:18" x14ac:dyDescent="0.25">
      <c r="A249" s="106"/>
      <c r="B249" s="106"/>
      <c r="C249" s="106"/>
      <c r="D249" s="101" t="str">
        <f>IF(C249="","",IFERROR(INDEX(Mapping!$B$5:$B$40,MATCH(C249,Mapping!$A$5:$A$40,0)),"UNMAPPED"))</f>
        <v/>
      </c>
      <c r="E249" s="107"/>
      <c r="F249" s="107"/>
      <c r="G249" s="107"/>
      <c r="H249" s="107"/>
      <c r="I249" s="107"/>
      <c r="J249" s="107"/>
      <c r="K249" s="107"/>
      <c r="L249" s="107"/>
      <c r="M249" s="107"/>
      <c r="N249" s="107"/>
      <c r="O249" s="107"/>
      <c r="P249" s="107"/>
      <c r="Q249" s="107"/>
      <c r="R249" s="108">
        <f t="shared" si="3"/>
        <v>0</v>
      </c>
    </row>
    <row r="250" spans="1:18" x14ac:dyDescent="0.25">
      <c r="A250" s="106"/>
      <c r="B250" s="106"/>
      <c r="C250" s="106"/>
      <c r="D250" s="101" t="str">
        <f>IF(C250="","",IFERROR(INDEX(Mapping!$B$5:$B$40,MATCH(C250,Mapping!$A$5:$A$40,0)),"UNMAPPED"))</f>
        <v/>
      </c>
      <c r="E250" s="107"/>
      <c r="F250" s="107"/>
      <c r="G250" s="107"/>
      <c r="H250" s="107"/>
      <c r="I250" s="107"/>
      <c r="J250" s="107"/>
      <c r="K250" s="107"/>
      <c r="L250" s="107"/>
      <c r="M250" s="107"/>
      <c r="N250" s="107"/>
      <c r="O250" s="107"/>
      <c r="P250" s="107"/>
      <c r="Q250" s="107"/>
      <c r="R250" s="108">
        <f t="shared" si="3"/>
        <v>0</v>
      </c>
    </row>
    <row r="251" spans="1:18" x14ac:dyDescent="0.25">
      <c r="A251" s="106"/>
      <c r="B251" s="106"/>
      <c r="C251" s="106"/>
      <c r="D251" s="101" t="str">
        <f>IF(C251="","",IFERROR(INDEX(Mapping!$B$5:$B$40,MATCH(C251,Mapping!$A$5:$A$40,0)),"UNMAPPED"))</f>
        <v/>
      </c>
      <c r="E251" s="107"/>
      <c r="F251" s="107"/>
      <c r="G251" s="107"/>
      <c r="H251" s="107"/>
      <c r="I251" s="107"/>
      <c r="J251" s="107"/>
      <c r="K251" s="107"/>
      <c r="L251" s="107"/>
      <c r="M251" s="107"/>
      <c r="N251" s="107"/>
      <c r="O251" s="107"/>
      <c r="P251" s="107"/>
      <c r="Q251" s="107"/>
      <c r="R251" s="108">
        <f t="shared" si="3"/>
        <v>0</v>
      </c>
    </row>
    <row r="252" spans="1:18" x14ac:dyDescent="0.25">
      <c r="A252" s="106"/>
      <c r="B252" s="106"/>
      <c r="C252" s="106"/>
      <c r="D252" s="101" t="str">
        <f>IF(C252="","",IFERROR(INDEX(Mapping!$B$5:$B$40,MATCH(C252,Mapping!$A$5:$A$40,0)),"UNMAPPED"))</f>
        <v/>
      </c>
      <c r="E252" s="107"/>
      <c r="F252" s="107"/>
      <c r="G252" s="107"/>
      <c r="H252" s="107"/>
      <c r="I252" s="107"/>
      <c r="J252" s="107"/>
      <c r="K252" s="107"/>
      <c r="L252" s="107"/>
      <c r="M252" s="107"/>
      <c r="N252" s="107"/>
      <c r="O252" s="107"/>
      <c r="P252" s="107"/>
      <c r="Q252" s="107"/>
      <c r="R252" s="108">
        <f t="shared" si="3"/>
        <v>0</v>
      </c>
    </row>
    <row r="253" spans="1:18" x14ac:dyDescent="0.25">
      <c r="A253" s="106"/>
      <c r="B253" s="106"/>
      <c r="C253" s="106"/>
      <c r="D253" s="101" t="str">
        <f>IF(C253="","",IFERROR(INDEX(Mapping!$B$5:$B$40,MATCH(C253,Mapping!$A$5:$A$40,0)),"UNMAPPED"))</f>
        <v/>
      </c>
      <c r="E253" s="107"/>
      <c r="F253" s="107"/>
      <c r="G253" s="107"/>
      <c r="H253" s="107"/>
      <c r="I253" s="107"/>
      <c r="J253" s="107"/>
      <c r="K253" s="107"/>
      <c r="L253" s="107"/>
      <c r="M253" s="107"/>
      <c r="N253" s="107"/>
      <c r="O253" s="107"/>
      <c r="P253" s="107"/>
      <c r="Q253" s="107"/>
      <c r="R253" s="108">
        <f t="shared" si="3"/>
        <v>0</v>
      </c>
    </row>
    <row r="254" spans="1:18" x14ac:dyDescent="0.25">
      <c r="A254" s="106"/>
      <c r="B254" s="106"/>
      <c r="C254" s="106"/>
      <c r="D254" s="101" t="str">
        <f>IF(C254="","",IFERROR(INDEX(Mapping!$B$5:$B$40,MATCH(C254,Mapping!$A$5:$A$40,0)),"UNMAPPED"))</f>
        <v/>
      </c>
      <c r="E254" s="107"/>
      <c r="F254" s="107"/>
      <c r="G254" s="107"/>
      <c r="H254" s="107"/>
      <c r="I254" s="107"/>
      <c r="J254" s="107"/>
      <c r="K254" s="107"/>
      <c r="L254" s="107"/>
      <c r="M254" s="107"/>
      <c r="N254" s="107"/>
      <c r="O254" s="107"/>
      <c r="P254" s="107"/>
      <c r="Q254" s="107"/>
      <c r="R254" s="108">
        <f t="shared" si="3"/>
        <v>0</v>
      </c>
    </row>
    <row r="255" spans="1:18" x14ac:dyDescent="0.25">
      <c r="A255" s="106"/>
      <c r="B255" s="106"/>
      <c r="C255" s="106"/>
      <c r="D255" s="101" t="str">
        <f>IF(C255="","",IFERROR(INDEX(Mapping!$B$5:$B$40,MATCH(C255,Mapping!$A$5:$A$40,0)),"UNMAPPED"))</f>
        <v/>
      </c>
      <c r="E255" s="107"/>
      <c r="F255" s="107"/>
      <c r="G255" s="107"/>
      <c r="H255" s="107"/>
      <c r="I255" s="107"/>
      <c r="J255" s="107"/>
      <c r="K255" s="107"/>
      <c r="L255" s="107"/>
      <c r="M255" s="107"/>
      <c r="N255" s="107"/>
      <c r="O255" s="107"/>
      <c r="P255" s="107"/>
      <c r="Q255" s="107"/>
      <c r="R255" s="108">
        <f t="shared" si="3"/>
        <v>0</v>
      </c>
    </row>
    <row r="257" spans="1:17" x14ac:dyDescent="0.25">
      <c r="A257" s="109" t="s">
        <v>347</v>
      </c>
      <c r="B257" s="110"/>
      <c r="C257" s="110"/>
      <c r="D257" s="110"/>
      <c r="E257" s="111">
        <f t="shared" ref="E257:Q257" si="4">SUM(E6:E255)</f>
        <v>0</v>
      </c>
      <c r="F257" s="111">
        <f t="shared" si="4"/>
        <v>0</v>
      </c>
      <c r="G257" s="111">
        <f t="shared" si="4"/>
        <v>0</v>
      </c>
      <c r="H257" s="111">
        <f t="shared" si="4"/>
        <v>0</v>
      </c>
      <c r="I257" s="111">
        <f t="shared" si="4"/>
        <v>0</v>
      </c>
      <c r="J257" s="111">
        <f t="shared" si="4"/>
        <v>0</v>
      </c>
      <c r="K257" s="111">
        <f t="shared" si="4"/>
        <v>0</v>
      </c>
      <c r="L257" s="111">
        <f t="shared" si="4"/>
        <v>0</v>
      </c>
      <c r="M257" s="111">
        <f t="shared" si="4"/>
        <v>0</v>
      </c>
      <c r="N257" s="111">
        <f t="shared" si="4"/>
        <v>0</v>
      </c>
      <c r="O257" s="111">
        <f t="shared" si="4"/>
        <v>0</v>
      </c>
      <c r="P257" s="111">
        <f t="shared" si="4"/>
        <v>0</v>
      </c>
      <c r="Q257" s="111">
        <f t="shared" si="4"/>
        <v>0</v>
      </c>
    </row>
    <row r="258" spans="1:17" x14ac:dyDescent="0.25">
      <c r="A258" s="88" t="s">
        <v>112</v>
      </c>
      <c r="E258" s="112" t="str">
        <f t="shared" ref="E258:Q258" si="5">IF(ABS(E257)&lt;0.5,"OK","ERROR")</f>
        <v>OK</v>
      </c>
      <c r="F258" s="112" t="str">
        <f t="shared" si="5"/>
        <v>OK</v>
      </c>
      <c r="G258" s="112" t="str">
        <f t="shared" si="5"/>
        <v>OK</v>
      </c>
      <c r="H258" s="112" t="str">
        <f t="shared" si="5"/>
        <v>OK</v>
      </c>
      <c r="I258" s="112" t="str">
        <f t="shared" si="5"/>
        <v>OK</v>
      </c>
      <c r="J258" s="112" t="str">
        <f t="shared" si="5"/>
        <v>OK</v>
      </c>
      <c r="K258" s="112" t="str">
        <f t="shared" si="5"/>
        <v>OK</v>
      </c>
      <c r="L258" s="112" t="str">
        <f t="shared" si="5"/>
        <v>OK</v>
      </c>
      <c r="M258" s="112" t="str">
        <f t="shared" si="5"/>
        <v>OK</v>
      </c>
      <c r="N258" s="112" t="str">
        <f t="shared" si="5"/>
        <v>OK</v>
      </c>
      <c r="O258" s="112" t="str">
        <f t="shared" si="5"/>
        <v>OK</v>
      </c>
      <c r="P258" s="112" t="str">
        <f t="shared" si="5"/>
        <v>OK</v>
      </c>
      <c r="Q258" s="112" t="str">
        <f t="shared" si="5"/>
        <v>OK</v>
      </c>
    </row>
  </sheetData>
  <autoFilter ref="A4:D255" xr:uid="{00000000-0009-0000-0000-000009000000}"/>
  <conditionalFormatting sqref="E258:Q258">
    <cfRule type="expression" dxfId="7" priority="1">
      <formula>LEFT(E258,2)="OK"</formula>
    </cfRule>
    <cfRule type="expression" dxfId="6" priority="2">
      <formula>LEFT(E258,5)="ERROR"</formula>
    </cfRule>
    <cfRule type="expression" dxfId="5" priority="3">
      <formula>LEFT(E258,4)="WARN"</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E0A100"/>
  </sheetPr>
  <dimension ref="A1:N26"/>
  <sheetViews>
    <sheetView workbookViewId="0"/>
  </sheetViews>
  <sheetFormatPr defaultRowHeight="15" x14ac:dyDescent="0.25"/>
  <cols>
    <col min="1" max="1" width="34.7109375" customWidth="1"/>
    <col min="2" max="13" width="12.7109375" customWidth="1"/>
    <col min="14" max="14" width="14.7109375" customWidth="1"/>
  </cols>
  <sheetData>
    <row r="1" spans="1:14" ht="18" customHeight="1" x14ac:dyDescent="0.25">
      <c r="A1" s="86" t="s">
        <v>348</v>
      </c>
    </row>
    <row r="2" spans="1:14" x14ac:dyDescent="0.25">
      <c r="A2" s="87" t="s">
        <v>349</v>
      </c>
    </row>
    <row r="4" spans="1:14" x14ac:dyDescent="0.25">
      <c r="A4" s="99" t="s">
        <v>350</v>
      </c>
      <c r="B4" s="103">
        <f>Setup!$B$24</f>
        <v>46053</v>
      </c>
      <c r="C4" s="103">
        <f>Setup!$B$25</f>
        <v>46081</v>
      </c>
      <c r="D4" s="103">
        <f>Setup!$B$26</f>
        <v>46112</v>
      </c>
      <c r="E4" s="103">
        <f>Setup!$B$27</f>
        <v>46142</v>
      </c>
      <c r="F4" s="103">
        <f>Setup!$B$28</f>
        <v>46173</v>
      </c>
      <c r="G4" s="103">
        <f>Setup!$B$29</f>
        <v>46203</v>
      </c>
      <c r="H4" s="103">
        <f>Setup!$B$30</f>
        <v>46234</v>
      </c>
      <c r="I4" s="103">
        <f>Setup!$B$31</f>
        <v>46265</v>
      </c>
      <c r="J4" s="103">
        <f>Setup!$B$32</f>
        <v>46295</v>
      </c>
      <c r="K4" s="103">
        <f>Setup!$B$33</f>
        <v>46326</v>
      </c>
      <c r="L4" s="103">
        <f>Setup!$B$34</f>
        <v>46356</v>
      </c>
      <c r="M4" s="103">
        <f>Setup!$B$35</f>
        <v>46387</v>
      </c>
      <c r="N4" s="113" t="s">
        <v>351</v>
      </c>
    </row>
    <row r="5" spans="1:14" x14ac:dyDescent="0.25">
      <c r="A5" s="87" t="s">
        <v>352</v>
      </c>
    </row>
    <row r="6" spans="1:14" x14ac:dyDescent="0.25">
      <c r="A6" s="94" t="s">
        <v>7</v>
      </c>
      <c r="B6" s="107">
        <v>1637600</v>
      </c>
      <c r="C6" s="107">
        <v>1608400</v>
      </c>
      <c r="D6" s="107">
        <v>1758400</v>
      </c>
      <c r="E6" s="107">
        <v>1801400</v>
      </c>
      <c r="F6" s="107">
        <v>1844600</v>
      </c>
      <c r="G6" s="107">
        <v>1870100</v>
      </c>
      <c r="H6" s="107">
        <v>1822700</v>
      </c>
      <c r="I6" s="107">
        <v>1848100</v>
      </c>
      <c r="J6" s="107">
        <v>1910400</v>
      </c>
      <c r="K6" s="107">
        <v>1991600</v>
      </c>
      <c r="L6" s="107">
        <v>2110400</v>
      </c>
      <c r="M6" s="107">
        <v>2230000</v>
      </c>
      <c r="N6" s="114">
        <f t="shared" ref="N6:N22" si="0">SUM(B6:M6)</f>
        <v>22433700</v>
      </c>
    </row>
    <row r="7" spans="1:14" x14ac:dyDescent="0.25">
      <c r="A7" s="94" t="s">
        <v>8</v>
      </c>
      <c r="B7" s="107">
        <v>828700</v>
      </c>
      <c r="C7" s="107">
        <v>813900</v>
      </c>
      <c r="D7" s="107">
        <v>889800</v>
      </c>
      <c r="E7" s="107">
        <v>911600</v>
      </c>
      <c r="F7" s="107">
        <v>933500</v>
      </c>
      <c r="G7" s="107">
        <v>946300</v>
      </c>
      <c r="H7" s="107">
        <v>922400</v>
      </c>
      <c r="I7" s="107">
        <v>935200</v>
      </c>
      <c r="J7" s="107">
        <v>966800</v>
      </c>
      <c r="K7" s="107">
        <v>1007800</v>
      </c>
      <c r="L7" s="107">
        <v>1067900</v>
      </c>
      <c r="M7" s="107">
        <v>1128500</v>
      </c>
      <c r="N7" s="114">
        <f t="shared" si="0"/>
        <v>11352400</v>
      </c>
    </row>
    <row r="8" spans="1:14" x14ac:dyDescent="0.25">
      <c r="A8" s="94" t="s">
        <v>11</v>
      </c>
      <c r="B8" s="107">
        <v>6000</v>
      </c>
      <c r="C8" s="107">
        <v>6000</v>
      </c>
      <c r="D8" s="107">
        <v>6000</v>
      </c>
      <c r="E8" s="107">
        <v>6000</v>
      </c>
      <c r="F8" s="107">
        <v>6000</v>
      </c>
      <c r="G8" s="107">
        <v>6000</v>
      </c>
      <c r="H8" s="107">
        <v>6000</v>
      </c>
      <c r="I8" s="107">
        <v>6000</v>
      </c>
      <c r="J8" s="107">
        <v>6000</v>
      </c>
      <c r="K8" s="107">
        <v>6000</v>
      </c>
      <c r="L8" s="107">
        <v>6000</v>
      </c>
      <c r="M8" s="107">
        <v>6000</v>
      </c>
      <c r="N8" s="114">
        <f t="shared" si="0"/>
        <v>72000</v>
      </c>
    </row>
    <row r="9" spans="1:14" x14ac:dyDescent="0.25">
      <c r="A9" s="94" t="s">
        <v>315</v>
      </c>
      <c r="B9" s="107">
        <v>352100</v>
      </c>
      <c r="C9" s="107">
        <v>353100</v>
      </c>
      <c r="D9" s="107">
        <v>354200</v>
      </c>
      <c r="E9" s="107">
        <v>355200</v>
      </c>
      <c r="F9" s="107">
        <v>356300</v>
      </c>
      <c r="G9" s="107">
        <v>357300</v>
      </c>
      <c r="H9" s="107">
        <v>358400</v>
      </c>
      <c r="I9" s="107">
        <v>359500</v>
      </c>
      <c r="J9" s="107">
        <v>360500</v>
      </c>
      <c r="K9" s="107">
        <v>361600</v>
      </c>
      <c r="L9" s="107">
        <v>362600</v>
      </c>
      <c r="M9" s="107">
        <v>363700</v>
      </c>
      <c r="N9" s="114">
        <f t="shared" si="0"/>
        <v>4294500</v>
      </c>
    </row>
    <row r="10" spans="1:14" x14ac:dyDescent="0.25">
      <c r="A10" s="94" t="s">
        <v>319</v>
      </c>
      <c r="B10" s="107">
        <v>75500</v>
      </c>
      <c r="C10" s="107">
        <v>75700</v>
      </c>
      <c r="D10" s="107">
        <v>76000</v>
      </c>
      <c r="E10" s="107">
        <v>76200</v>
      </c>
      <c r="F10" s="107">
        <v>76400</v>
      </c>
      <c r="G10" s="107">
        <v>76600</v>
      </c>
      <c r="H10" s="107">
        <v>76900</v>
      </c>
      <c r="I10" s="107">
        <v>77100</v>
      </c>
      <c r="J10" s="107">
        <v>77300</v>
      </c>
      <c r="K10" s="107">
        <v>77500</v>
      </c>
      <c r="L10" s="107">
        <v>77800</v>
      </c>
      <c r="M10" s="107">
        <v>78000</v>
      </c>
      <c r="N10" s="114">
        <f t="shared" si="0"/>
        <v>921000</v>
      </c>
    </row>
    <row r="11" spans="1:14" x14ac:dyDescent="0.25">
      <c r="A11" s="94" t="s">
        <v>322</v>
      </c>
      <c r="B11" s="107">
        <v>65100</v>
      </c>
      <c r="C11" s="107">
        <v>65300</v>
      </c>
      <c r="D11" s="107">
        <v>65500</v>
      </c>
      <c r="E11" s="107">
        <v>65700</v>
      </c>
      <c r="F11" s="107">
        <v>65900</v>
      </c>
      <c r="G11" s="107">
        <v>66100</v>
      </c>
      <c r="H11" s="107">
        <v>66300</v>
      </c>
      <c r="I11" s="107">
        <v>66400</v>
      </c>
      <c r="J11" s="107">
        <v>66600</v>
      </c>
      <c r="K11" s="107">
        <v>66800</v>
      </c>
      <c r="L11" s="107">
        <v>67000</v>
      </c>
      <c r="M11" s="107">
        <v>67200</v>
      </c>
      <c r="N11" s="114">
        <f t="shared" si="0"/>
        <v>793900</v>
      </c>
    </row>
    <row r="12" spans="1:14" x14ac:dyDescent="0.25">
      <c r="A12" s="94" t="s">
        <v>325</v>
      </c>
      <c r="B12" s="107">
        <v>23200</v>
      </c>
      <c r="C12" s="107">
        <v>23200</v>
      </c>
      <c r="D12" s="107">
        <v>23300</v>
      </c>
      <c r="E12" s="107">
        <v>23400</v>
      </c>
      <c r="F12" s="107">
        <v>23500</v>
      </c>
      <c r="G12" s="107">
        <v>23500</v>
      </c>
      <c r="H12" s="107">
        <v>23600</v>
      </c>
      <c r="I12" s="107">
        <v>23700</v>
      </c>
      <c r="J12" s="107">
        <v>23700</v>
      </c>
      <c r="K12" s="107">
        <v>23800</v>
      </c>
      <c r="L12" s="107">
        <v>23900</v>
      </c>
      <c r="M12" s="107">
        <v>23900</v>
      </c>
      <c r="N12" s="114">
        <f t="shared" si="0"/>
        <v>282700</v>
      </c>
    </row>
    <row r="13" spans="1:14" x14ac:dyDescent="0.25">
      <c r="A13" s="94" t="s">
        <v>329</v>
      </c>
      <c r="B13" s="107">
        <v>30300</v>
      </c>
      <c r="C13" s="107">
        <v>30400</v>
      </c>
      <c r="D13" s="107">
        <v>30500</v>
      </c>
      <c r="E13" s="107">
        <v>30600</v>
      </c>
      <c r="F13" s="107">
        <v>30600</v>
      </c>
      <c r="G13" s="107">
        <v>30700</v>
      </c>
      <c r="H13" s="107">
        <v>30800</v>
      </c>
      <c r="I13" s="107">
        <v>30900</v>
      </c>
      <c r="J13" s="107">
        <v>31000</v>
      </c>
      <c r="K13" s="107">
        <v>31100</v>
      </c>
      <c r="L13" s="107">
        <v>31200</v>
      </c>
      <c r="M13" s="107">
        <v>31300</v>
      </c>
      <c r="N13" s="114">
        <f t="shared" si="0"/>
        <v>369400</v>
      </c>
    </row>
    <row r="14" spans="1:14" x14ac:dyDescent="0.25">
      <c r="A14" s="94" t="s">
        <v>333</v>
      </c>
      <c r="B14" s="107">
        <v>24400</v>
      </c>
      <c r="C14" s="107">
        <v>24500</v>
      </c>
      <c r="D14" s="107">
        <v>24500</v>
      </c>
      <c r="E14" s="107">
        <v>24600</v>
      </c>
      <c r="F14" s="107">
        <v>24700</v>
      </c>
      <c r="G14" s="107">
        <v>24700</v>
      </c>
      <c r="H14" s="107">
        <v>24800</v>
      </c>
      <c r="I14" s="107">
        <v>24900</v>
      </c>
      <c r="J14" s="107">
        <v>25000</v>
      </c>
      <c r="K14" s="107">
        <v>25000</v>
      </c>
      <c r="L14" s="107">
        <v>25100</v>
      </c>
      <c r="M14" s="107">
        <v>25200</v>
      </c>
      <c r="N14" s="114">
        <f t="shared" si="0"/>
        <v>297400</v>
      </c>
    </row>
    <row r="15" spans="1:14" x14ac:dyDescent="0.25">
      <c r="A15" s="94" t="s">
        <v>335</v>
      </c>
      <c r="B15" s="107">
        <v>9700</v>
      </c>
      <c r="C15" s="107">
        <v>9700</v>
      </c>
      <c r="D15" s="107">
        <v>9700</v>
      </c>
      <c r="E15" s="107">
        <v>9800</v>
      </c>
      <c r="F15" s="107">
        <v>9800</v>
      </c>
      <c r="G15" s="107">
        <v>9800</v>
      </c>
      <c r="H15" s="107">
        <v>9900</v>
      </c>
      <c r="I15" s="107">
        <v>9900</v>
      </c>
      <c r="J15" s="107">
        <v>9900</v>
      </c>
      <c r="K15" s="107">
        <v>9900</v>
      </c>
      <c r="L15" s="107">
        <v>10000</v>
      </c>
      <c r="M15" s="107">
        <v>10000</v>
      </c>
      <c r="N15" s="114">
        <f t="shared" si="0"/>
        <v>118100</v>
      </c>
    </row>
    <row r="16" spans="1:14" x14ac:dyDescent="0.25">
      <c r="A16" s="94" t="s">
        <v>336</v>
      </c>
      <c r="B16" s="107">
        <v>17500</v>
      </c>
      <c r="C16" s="107">
        <v>17600</v>
      </c>
      <c r="D16" s="107">
        <v>17600</v>
      </c>
      <c r="E16" s="107">
        <v>17700</v>
      </c>
      <c r="F16" s="107">
        <v>17700</v>
      </c>
      <c r="G16" s="107">
        <v>17800</v>
      </c>
      <c r="H16" s="107">
        <v>17800</v>
      </c>
      <c r="I16" s="107">
        <v>17900</v>
      </c>
      <c r="J16" s="107">
        <v>17900</v>
      </c>
      <c r="K16" s="107">
        <v>18000</v>
      </c>
      <c r="L16" s="107">
        <v>18000</v>
      </c>
      <c r="M16" s="107">
        <v>18100</v>
      </c>
      <c r="N16" s="114">
        <f t="shared" si="0"/>
        <v>213600</v>
      </c>
    </row>
    <row r="17" spans="1:14" x14ac:dyDescent="0.25">
      <c r="A17" s="94" t="s">
        <v>337</v>
      </c>
      <c r="B17" s="107">
        <v>7400</v>
      </c>
      <c r="C17" s="107">
        <v>7400</v>
      </c>
      <c r="D17" s="107">
        <v>7400</v>
      </c>
      <c r="E17" s="107">
        <v>7400</v>
      </c>
      <c r="F17" s="107">
        <v>7500</v>
      </c>
      <c r="G17" s="107">
        <v>7500</v>
      </c>
      <c r="H17" s="107">
        <v>7500</v>
      </c>
      <c r="I17" s="107">
        <v>7500</v>
      </c>
      <c r="J17" s="107">
        <v>7500</v>
      </c>
      <c r="K17" s="107">
        <v>7600</v>
      </c>
      <c r="L17" s="107">
        <v>7600</v>
      </c>
      <c r="M17" s="107">
        <v>7600</v>
      </c>
      <c r="N17" s="114">
        <f t="shared" si="0"/>
        <v>89900</v>
      </c>
    </row>
    <row r="18" spans="1:14" x14ac:dyDescent="0.25">
      <c r="A18" s="94" t="s">
        <v>339</v>
      </c>
      <c r="B18" s="107">
        <v>28200</v>
      </c>
      <c r="C18" s="107">
        <v>28300</v>
      </c>
      <c r="D18" s="107">
        <v>28400</v>
      </c>
      <c r="E18" s="107">
        <v>28500</v>
      </c>
      <c r="F18" s="107">
        <v>28600</v>
      </c>
      <c r="G18" s="107">
        <v>28700</v>
      </c>
      <c r="H18" s="107">
        <v>28800</v>
      </c>
      <c r="I18" s="107">
        <v>28800</v>
      </c>
      <c r="J18" s="107">
        <v>28900</v>
      </c>
      <c r="K18" s="107">
        <v>29000</v>
      </c>
      <c r="L18" s="107">
        <v>29100</v>
      </c>
      <c r="M18" s="107">
        <v>29200</v>
      </c>
      <c r="N18" s="114">
        <f t="shared" si="0"/>
        <v>344500</v>
      </c>
    </row>
    <row r="19" spans="1:14" x14ac:dyDescent="0.25">
      <c r="A19" s="94" t="s">
        <v>25</v>
      </c>
      <c r="B19" s="107">
        <v>40800</v>
      </c>
      <c r="C19" s="107">
        <v>40800</v>
      </c>
      <c r="D19" s="107">
        <v>40800</v>
      </c>
      <c r="E19" s="107">
        <v>40800</v>
      </c>
      <c r="F19" s="107">
        <v>45000</v>
      </c>
      <c r="G19" s="107">
        <v>45000</v>
      </c>
      <c r="H19" s="107">
        <v>45000</v>
      </c>
      <c r="I19" s="107">
        <v>45000</v>
      </c>
      <c r="J19" s="107">
        <v>47000</v>
      </c>
      <c r="K19" s="107">
        <v>47000</v>
      </c>
      <c r="L19" s="107">
        <v>47000</v>
      </c>
      <c r="M19" s="107">
        <v>47000</v>
      </c>
      <c r="N19" s="114">
        <f t="shared" si="0"/>
        <v>531200</v>
      </c>
    </row>
    <row r="20" spans="1:14" x14ac:dyDescent="0.25">
      <c r="A20" s="94" t="s">
        <v>27</v>
      </c>
      <c r="B20" s="107">
        <v>1400</v>
      </c>
      <c r="C20" s="107">
        <v>1400</v>
      </c>
      <c r="D20" s="107">
        <v>1400</v>
      </c>
      <c r="E20" s="107">
        <v>1400</v>
      </c>
      <c r="F20" s="107">
        <v>1400</v>
      </c>
      <c r="G20" s="107">
        <v>1400</v>
      </c>
      <c r="H20" s="107">
        <v>1400</v>
      </c>
      <c r="I20" s="107">
        <v>1400</v>
      </c>
      <c r="J20" s="107">
        <v>1400</v>
      </c>
      <c r="K20" s="107">
        <v>1400</v>
      </c>
      <c r="L20" s="107">
        <v>1400</v>
      </c>
      <c r="M20" s="107">
        <v>1400</v>
      </c>
      <c r="N20" s="114">
        <f t="shared" si="0"/>
        <v>16800</v>
      </c>
    </row>
    <row r="21" spans="1:14" x14ac:dyDescent="0.25">
      <c r="A21" s="94" t="s">
        <v>28</v>
      </c>
      <c r="B21" s="107">
        <v>13200</v>
      </c>
      <c r="C21" s="107">
        <v>13000</v>
      </c>
      <c r="D21" s="107">
        <v>12700</v>
      </c>
      <c r="E21" s="107">
        <v>12500</v>
      </c>
      <c r="F21" s="107">
        <v>12300</v>
      </c>
      <c r="G21" s="107">
        <v>12000</v>
      </c>
      <c r="H21" s="107">
        <v>11800</v>
      </c>
      <c r="I21" s="107">
        <v>11500</v>
      </c>
      <c r="J21" s="107">
        <v>11300</v>
      </c>
      <c r="K21" s="107">
        <v>11100</v>
      </c>
      <c r="L21" s="107">
        <v>10800</v>
      </c>
      <c r="M21" s="107">
        <v>10600</v>
      </c>
      <c r="N21" s="114">
        <f t="shared" si="0"/>
        <v>142800</v>
      </c>
    </row>
    <row r="22" spans="1:14" x14ac:dyDescent="0.25">
      <c r="A22" s="94" t="s">
        <v>30</v>
      </c>
      <c r="B22" s="107">
        <v>32300</v>
      </c>
      <c r="C22" s="107">
        <v>28200</v>
      </c>
      <c r="D22" s="107">
        <v>46300</v>
      </c>
      <c r="E22" s="107">
        <v>51200</v>
      </c>
      <c r="F22" s="107">
        <v>55100</v>
      </c>
      <c r="G22" s="107">
        <v>57800</v>
      </c>
      <c r="H22" s="107">
        <v>51600</v>
      </c>
      <c r="I22" s="107">
        <v>54300</v>
      </c>
      <c r="J22" s="107">
        <v>61100</v>
      </c>
      <c r="K22" s="107">
        <v>70700</v>
      </c>
      <c r="L22" s="107">
        <v>84900</v>
      </c>
      <c r="M22" s="107">
        <v>99300</v>
      </c>
      <c r="N22" s="114">
        <f t="shared" si="0"/>
        <v>692800</v>
      </c>
    </row>
    <row r="24" spans="1:14" x14ac:dyDescent="0.25">
      <c r="A24" s="115" t="s">
        <v>353</v>
      </c>
      <c r="B24" s="116">
        <f t="shared" ref="B24:N24" si="1">B6+B8+B20-(B7+B9+B10+B11+B12+B13+B14+B15+B16+B17+B18+B19+B21+B22)</f>
        <v>96600</v>
      </c>
      <c r="C24" s="116">
        <f t="shared" si="1"/>
        <v>84700</v>
      </c>
      <c r="D24" s="116">
        <f t="shared" si="1"/>
        <v>139100</v>
      </c>
      <c r="E24" s="116">
        <f t="shared" si="1"/>
        <v>153600</v>
      </c>
      <c r="F24" s="116">
        <f t="shared" si="1"/>
        <v>165100</v>
      </c>
      <c r="G24" s="116">
        <f t="shared" si="1"/>
        <v>173700</v>
      </c>
      <c r="H24" s="116">
        <f t="shared" si="1"/>
        <v>154500</v>
      </c>
      <c r="I24" s="116">
        <f t="shared" si="1"/>
        <v>162900</v>
      </c>
      <c r="J24" s="116">
        <f t="shared" si="1"/>
        <v>183300</v>
      </c>
      <c r="K24" s="116">
        <f t="shared" si="1"/>
        <v>212100</v>
      </c>
      <c r="L24" s="116">
        <f t="shared" si="1"/>
        <v>254900</v>
      </c>
      <c r="M24" s="116">
        <f t="shared" si="1"/>
        <v>297800</v>
      </c>
      <c r="N24" s="116">
        <f t="shared" si="1"/>
        <v>2078300</v>
      </c>
    </row>
    <row r="26" spans="1:14" x14ac:dyDescent="0.25">
      <c r="A26" s="87" t="s">
        <v>354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1E8E5A"/>
  </sheetPr>
  <dimension ref="A1:D28"/>
  <sheetViews>
    <sheetView workbookViewId="0"/>
  </sheetViews>
  <sheetFormatPr defaultRowHeight="15" x14ac:dyDescent="0.25"/>
  <cols>
    <col min="1" max="1" width="60.7109375" customWidth="1"/>
    <col min="2" max="2" width="18.7109375" customWidth="1"/>
    <col min="3" max="3" width="34.7109375" customWidth="1"/>
    <col min="4" max="4" width="90.7109375" customWidth="1"/>
  </cols>
  <sheetData>
    <row r="1" spans="1:4" ht="18" customHeight="1" x14ac:dyDescent="0.25">
      <c r="A1" s="86" t="s">
        <v>355</v>
      </c>
    </row>
    <row r="3" spans="1:4" x14ac:dyDescent="0.25">
      <c r="A3" s="88" t="s">
        <v>356</v>
      </c>
      <c r="C3" s="88" t="str">
        <f>IF(COUNTIF(C6:C28,"ERROR*")&gt;0,"ERROR - checks failed, see Checks tab",IF(COUNTIF(C6:C28,"WARN*")&gt;0,"OK with warnings - see Checks tab","OK - all checks passed"))</f>
        <v>OK - all checks passed</v>
      </c>
    </row>
    <row r="5" spans="1:4" x14ac:dyDescent="0.25">
      <c r="A5" s="99" t="s">
        <v>357</v>
      </c>
      <c r="B5" s="100" t="s">
        <v>358</v>
      </c>
      <c r="C5" s="100" t="s">
        <v>359</v>
      </c>
      <c r="D5" s="100" t="s">
        <v>360</v>
      </c>
    </row>
    <row r="6" spans="1:4" ht="25.5" customHeight="1" x14ac:dyDescent="0.25">
      <c r="A6" s="94" t="s">
        <v>361</v>
      </c>
      <c r="B6" s="117">
        <f>'Trial Balance'!E257</f>
        <v>0</v>
      </c>
      <c r="C6" s="112" t="str">
        <f t="shared" ref="C6:C18" si="0">IF(ABS(B6)&lt;0.5,"OK","ERROR")</f>
        <v>OK</v>
      </c>
      <c r="D6" s="118" t="s">
        <v>362</v>
      </c>
    </row>
    <row r="7" spans="1:4" ht="25.5" customHeight="1" x14ac:dyDescent="0.25">
      <c r="A7" s="94" t="s">
        <v>363</v>
      </c>
      <c r="B7" s="117">
        <f>'Trial Balance'!F257</f>
        <v>0</v>
      </c>
      <c r="C7" s="112" t="str">
        <f t="shared" si="0"/>
        <v>OK</v>
      </c>
      <c r="D7" s="118" t="s">
        <v>362</v>
      </c>
    </row>
    <row r="8" spans="1:4" ht="25.5" customHeight="1" x14ac:dyDescent="0.25">
      <c r="A8" s="94" t="s">
        <v>364</v>
      </c>
      <c r="B8" s="117">
        <f>'Trial Balance'!G257</f>
        <v>0</v>
      </c>
      <c r="C8" s="112" t="str">
        <f t="shared" si="0"/>
        <v>OK</v>
      </c>
      <c r="D8" s="118" t="s">
        <v>362</v>
      </c>
    </row>
    <row r="9" spans="1:4" ht="25.5" customHeight="1" x14ac:dyDescent="0.25">
      <c r="A9" s="94" t="s">
        <v>365</v>
      </c>
      <c r="B9" s="117">
        <f>'Trial Balance'!H257</f>
        <v>0</v>
      </c>
      <c r="C9" s="112" t="str">
        <f t="shared" si="0"/>
        <v>OK</v>
      </c>
      <c r="D9" s="118" t="s">
        <v>362</v>
      </c>
    </row>
    <row r="10" spans="1:4" ht="25.5" customHeight="1" x14ac:dyDescent="0.25">
      <c r="A10" s="94" t="s">
        <v>366</v>
      </c>
      <c r="B10" s="117">
        <f>'Trial Balance'!I257</f>
        <v>0</v>
      </c>
      <c r="C10" s="112" t="str">
        <f t="shared" si="0"/>
        <v>OK</v>
      </c>
      <c r="D10" s="118" t="s">
        <v>362</v>
      </c>
    </row>
    <row r="11" spans="1:4" ht="25.5" customHeight="1" x14ac:dyDescent="0.25">
      <c r="A11" s="94" t="s">
        <v>367</v>
      </c>
      <c r="B11" s="117">
        <f>'Trial Balance'!J257</f>
        <v>0</v>
      </c>
      <c r="C11" s="112" t="str">
        <f t="shared" si="0"/>
        <v>OK</v>
      </c>
      <c r="D11" s="118" t="s">
        <v>362</v>
      </c>
    </row>
    <row r="12" spans="1:4" ht="25.5" customHeight="1" x14ac:dyDescent="0.25">
      <c r="A12" s="94" t="s">
        <v>368</v>
      </c>
      <c r="B12" s="117">
        <f>'Trial Balance'!K257</f>
        <v>0</v>
      </c>
      <c r="C12" s="112" t="str">
        <f t="shared" si="0"/>
        <v>OK</v>
      </c>
      <c r="D12" s="118" t="s">
        <v>362</v>
      </c>
    </row>
    <row r="13" spans="1:4" ht="25.5" customHeight="1" x14ac:dyDescent="0.25">
      <c r="A13" s="94" t="s">
        <v>369</v>
      </c>
      <c r="B13" s="117">
        <f>'Trial Balance'!L257</f>
        <v>0</v>
      </c>
      <c r="C13" s="112" t="str">
        <f t="shared" si="0"/>
        <v>OK</v>
      </c>
      <c r="D13" s="118" t="s">
        <v>362</v>
      </c>
    </row>
    <row r="14" spans="1:4" ht="25.5" customHeight="1" x14ac:dyDescent="0.25">
      <c r="A14" s="94" t="s">
        <v>370</v>
      </c>
      <c r="B14" s="117">
        <f>'Trial Balance'!M257</f>
        <v>0</v>
      </c>
      <c r="C14" s="112" t="str">
        <f t="shared" si="0"/>
        <v>OK</v>
      </c>
      <c r="D14" s="118" t="s">
        <v>362</v>
      </c>
    </row>
    <row r="15" spans="1:4" ht="25.5" customHeight="1" x14ac:dyDescent="0.25">
      <c r="A15" s="94" t="s">
        <v>371</v>
      </c>
      <c r="B15" s="117">
        <f>'Trial Balance'!N257</f>
        <v>0</v>
      </c>
      <c r="C15" s="112" t="str">
        <f t="shared" si="0"/>
        <v>OK</v>
      </c>
      <c r="D15" s="118" t="s">
        <v>362</v>
      </c>
    </row>
    <row r="16" spans="1:4" ht="25.5" customHeight="1" x14ac:dyDescent="0.25">
      <c r="A16" s="94" t="s">
        <v>372</v>
      </c>
      <c r="B16" s="117">
        <f>'Trial Balance'!O257</f>
        <v>0</v>
      </c>
      <c r="C16" s="112" t="str">
        <f t="shared" si="0"/>
        <v>OK</v>
      </c>
      <c r="D16" s="118" t="s">
        <v>362</v>
      </c>
    </row>
    <row r="17" spans="1:4" ht="25.5" customHeight="1" x14ac:dyDescent="0.25">
      <c r="A17" s="94" t="s">
        <v>373</v>
      </c>
      <c r="B17" s="117">
        <f>'Trial Balance'!P257</f>
        <v>0</v>
      </c>
      <c r="C17" s="112" t="str">
        <f t="shared" si="0"/>
        <v>OK</v>
      </c>
      <c r="D17" s="118" t="s">
        <v>362</v>
      </c>
    </row>
    <row r="18" spans="1:4" ht="25.5" customHeight="1" x14ac:dyDescent="0.25">
      <c r="A18" s="94" t="s">
        <v>374</v>
      </c>
      <c r="B18" s="117">
        <f>'Trial Balance'!Q257</f>
        <v>0</v>
      </c>
      <c r="C18" s="112" t="str">
        <f t="shared" si="0"/>
        <v>OK</v>
      </c>
      <c r="D18" s="118" t="s">
        <v>362</v>
      </c>
    </row>
    <row r="19" spans="1:4" x14ac:dyDescent="0.25">
      <c r="A19" s="94" t="s">
        <v>375</v>
      </c>
      <c r="B19" s="117">
        <f>SUM('Trial Balance'!R6:R255)</f>
        <v>0</v>
      </c>
      <c r="C19" s="112" t="str">
        <f>IF(B19=0,"OK","ERROR")</f>
        <v>OK</v>
      </c>
      <c r="D19" s="118" t="s">
        <v>376</v>
      </c>
    </row>
    <row r="20" spans="1:4" ht="25.5" customHeight="1" x14ac:dyDescent="0.25">
      <c r="A20" s="94" t="s">
        <v>377</v>
      </c>
      <c r="B20" s="117">
        <f>SUMPRODUCT(('Trial Balance'!D6:D255="IS")*ABS('Trial Balance'!E6:E255))</f>
        <v>0</v>
      </c>
      <c r="C20" s="112" t="str">
        <f>IF(B20&lt;0.5,"OK","ERROR")</f>
        <v>OK</v>
      </c>
      <c r="D20" s="118" t="s">
        <v>378</v>
      </c>
    </row>
    <row r="21" spans="1:4" x14ac:dyDescent="0.25">
      <c r="A21" s="94" t="s">
        <v>379</v>
      </c>
      <c r="B21" s="117">
        <f>'Balance Sheet'!D44</f>
        <v>0</v>
      </c>
      <c r="C21" s="112" t="str">
        <f>IF(ABS(B21)&lt;0.5,"OK","ERROR")</f>
        <v>OK</v>
      </c>
      <c r="D21" s="118" t="s">
        <v>380</v>
      </c>
    </row>
    <row r="22" spans="1:4" x14ac:dyDescent="0.25">
      <c r="A22" s="94" t="s">
        <v>381</v>
      </c>
      <c r="B22" s="117">
        <f>'Cash Flow'!D36</f>
        <v>0</v>
      </c>
      <c r="C22" s="112" t="str">
        <f>IF(ABS(B22)&lt;0.5,"OK","ERROR")</f>
        <v>OK</v>
      </c>
      <c r="D22" s="118" t="s">
        <v>382</v>
      </c>
    </row>
    <row r="23" spans="1:4" x14ac:dyDescent="0.25">
      <c r="A23" s="94" t="s">
        <v>383</v>
      </c>
      <c r="B23" s="117">
        <f>'Cash Flow'!E36</f>
        <v>0</v>
      </c>
      <c r="C23" s="112" t="str">
        <f>IF(ABS(B23)&lt;0.5,"OK","ERROR")</f>
        <v>OK</v>
      </c>
      <c r="D23" s="118" t="s">
        <v>384</v>
      </c>
    </row>
    <row r="24" spans="1:4" ht="25.5" customHeight="1" x14ac:dyDescent="0.25">
      <c r="A24" s="94" t="s">
        <v>385</v>
      </c>
      <c r="B24" s="117">
        <f>SUMPRODUCT(ABS(INDEX(Calc!$E$6:$P$41,0,Setup!$B$7)))</f>
        <v>52310840</v>
      </c>
      <c r="C24" s="112" t="str">
        <f>IF(B24&gt;0,"OK","WARN - no data for the reporting month")</f>
        <v>OK</v>
      </c>
      <c r="D24" s="118" t="s">
        <v>386</v>
      </c>
    </row>
    <row r="25" spans="1:4" x14ac:dyDescent="0.25">
      <c r="A25" s="94" t="s">
        <v>387</v>
      </c>
      <c r="B25" s="117">
        <f>SUM(Budget!B6:M22)</f>
        <v>42966700</v>
      </c>
      <c r="C25" s="112" t="str">
        <f>IF(B25&gt;0,"OK","WARN - no budget entered")</f>
        <v>OK</v>
      </c>
      <c r="D25" s="118" t="s">
        <v>388</v>
      </c>
    </row>
    <row r="26" spans="1:4" x14ac:dyDescent="0.25">
      <c r="A26" s="94" t="s">
        <v>575</v>
      </c>
      <c r="B26" s="117">
        <f>SUM(Analytics!C10:N10)-'Income Statement'!H8</f>
        <v>0</v>
      </c>
      <c r="C26" s="112" t="str">
        <f>IF(ABS(B26)&lt;0.5,"OK","ERROR")</f>
        <v>OK</v>
      </c>
      <c r="D26" s="118" t="s">
        <v>576</v>
      </c>
    </row>
    <row r="27" spans="1:4" x14ac:dyDescent="0.25">
      <c r="A27" s="94" t="s">
        <v>577</v>
      </c>
      <c r="B27" s="117">
        <f>Analytics!$E$119-Analytics!$E$120</f>
        <v>0</v>
      </c>
      <c r="C27" s="112" t="str">
        <f>IF(ABS(B27)&lt;0.5,"OK","ERROR")</f>
        <v>OK</v>
      </c>
      <c r="D27" s="118" t="s">
        <v>578</v>
      </c>
    </row>
    <row r="28" spans="1:4" x14ac:dyDescent="0.25">
      <c r="A28" s="94" t="s">
        <v>579</v>
      </c>
      <c r="B28" s="117">
        <f>SUM(Analytics!C67:N67)-'Cash Flow'!E18</f>
        <v>0</v>
      </c>
      <c r="C28" s="112" t="str">
        <f>IF(ABS(B28)&lt;0.5,"OK","ERROR")</f>
        <v>OK</v>
      </c>
      <c r="D28" s="118" t="s">
        <v>580</v>
      </c>
    </row>
  </sheetData>
  <conditionalFormatting sqref="C3">
    <cfRule type="expression" dxfId="4" priority="1">
      <formula>LEFT(C3,2)="OK"</formula>
    </cfRule>
    <cfRule type="expression" dxfId="3" priority="2">
      <formula>LEFT(C3,5)="ERROR"</formula>
    </cfRule>
  </conditionalFormatting>
  <conditionalFormatting sqref="C6:C25">
    <cfRule type="expression" dxfId="2" priority="5">
      <formula>LEFT(C6,4)="WARN"</formula>
    </cfRule>
  </conditionalFormatting>
  <conditionalFormatting sqref="C6:C28">
    <cfRule type="expression" dxfId="1" priority="3">
      <formula>LEFT(C6,2)="OK"</formula>
    </cfRule>
    <cfRule type="expression" dxfId="0" priority="4">
      <formula>LEFT(C6,5)="ERROR"</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B4BCC8"/>
  </sheetPr>
  <dimension ref="A1:P146"/>
  <sheetViews>
    <sheetView workbookViewId="0"/>
  </sheetViews>
  <sheetFormatPr defaultRowHeight="15" x14ac:dyDescent="0.25"/>
  <cols>
    <col min="1" max="1" width="56.7109375" customWidth="1"/>
    <col min="2" max="3" width="7.7109375" customWidth="1"/>
    <col min="4" max="16" width="12.7109375" customWidth="1"/>
  </cols>
  <sheetData>
    <row r="1" spans="1:16" ht="18" customHeight="1" x14ac:dyDescent="0.25">
      <c r="A1" s="86" t="s">
        <v>389</v>
      </c>
    </row>
    <row r="2" spans="1:16" x14ac:dyDescent="0.25">
      <c r="A2" s="87" t="s">
        <v>390</v>
      </c>
    </row>
    <row r="3" spans="1:16" x14ac:dyDescent="0.25">
      <c r="A3" s="119" t="s">
        <v>253</v>
      </c>
      <c r="D3" s="101">
        <v>0</v>
      </c>
      <c r="E3" s="101">
        <f>Setup!$A$24</f>
        <v>1</v>
      </c>
      <c r="F3" s="101">
        <f>Setup!$A$25</f>
        <v>2</v>
      </c>
      <c r="G3" s="101">
        <f>Setup!$A$26</f>
        <v>3</v>
      </c>
      <c r="H3" s="101">
        <f>Setup!$A$27</f>
        <v>4</v>
      </c>
      <c r="I3" s="101">
        <f>Setup!$A$28</f>
        <v>5</v>
      </c>
      <c r="J3" s="101">
        <f>Setup!$A$29</f>
        <v>6</v>
      </c>
      <c r="K3" s="101">
        <f>Setup!$A$30</f>
        <v>7</v>
      </c>
      <c r="L3" s="101">
        <f>Setup!$A$31</f>
        <v>8</v>
      </c>
      <c r="M3" s="101">
        <f>Setup!$A$32</f>
        <v>9</v>
      </c>
      <c r="N3" s="101">
        <f>Setup!$A$33</f>
        <v>10</v>
      </c>
      <c r="O3" s="101">
        <f>Setup!$A$34</f>
        <v>11</v>
      </c>
      <c r="P3" s="101">
        <f>Setup!$A$35</f>
        <v>12</v>
      </c>
    </row>
    <row r="4" spans="1:16" x14ac:dyDescent="0.25">
      <c r="D4" s="112" t="s">
        <v>391</v>
      </c>
      <c r="E4" s="120">
        <f>Setup!$B$24</f>
        <v>46053</v>
      </c>
      <c r="F4" s="120">
        <f>Setup!$B$25</f>
        <v>46081</v>
      </c>
      <c r="G4" s="120">
        <f>Setup!$B$26</f>
        <v>46112</v>
      </c>
      <c r="H4" s="120">
        <f>Setup!$B$27</f>
        <v>46142</v>
      </c>
      <c r="I4" s="120">
        <f>Setup!$B$28</f>
        <v>46173</v>
      </c>
      <c r="J4" s="120">
        <f>Setup!$B$29</f>
        <v>46203</v>
      </c>
      <c r="K4" s="120">
        <f>Setup!$B$30</f>
        <v>46234</v>
      </c>
      <c r="L4" s="120">
        <f>Setup!$B$31</f>
        <v>46265</v>
      </c>
      <c r="M4" s="120">
        <f>Setup!$B$32</f>
        <v>46295</v>
      </c>
      <c r="N4" s="120">
        <f>Setup!$B$33</f>
        <v>46326</v>
      </c>
      <c r="O4" s="120">
        <f>Setup!$B$34</f>
        <v>46356</v>
      </c>
      <c r="P4" s="120">
        <f>Setup!$B$35</f>
        <v>46387</v>
      </c>
    </row>
    <row r="5" spans="1:16" x14ac:dyDescent="0.25">
      <c r="A5" s="93" t="s">
        <v>392</v>
      </c>
      <c r="B5" s="88" t="s">
        <v>393</v>
      </c>
      <c r="C5" s="88" t="s">
        <v>394</v>
      </c>
    </row>
    <row r="6" spans="1:16" x14ac:dyDescent="0.25">
      <c r="A6" s="94" t="s">
        <v>7</v>
      </c>
      <c r="B6" s="101" t="s">
        <v>395</v>
      </c>
      <c r="C6" s="101">
        <v>-1</v>
      </c>
      <c r="D6" s="121">
        <f>IF($B6="IS",0,SUMIFS('Trial Balance'!$E$6:$E$255,'Trial Balance'!$C$6:$C$255,$A6))</f>
        <v>0</v>
      </c>
      <c r="E6" s="121">
        <f>SUMIFS('Trial Balance'!F$6:F$255,'Trial Balance'!$C$6:$C$255,$A6)</f>
        <v>-1591543</v>
      </c>
      <c r="F6" s="121">
        <f>SUMIFS('Trial Balance'!G$6:G$255,'Trial Balance'!$C$6:$C$255,$A6)</f>
        <v>-3166410</v>
      </c>
      <c r="G6" s="121">
        <f>SUMIFS('Trial Balance'!H$6:H$255,'Trial Balance'!$C$6:$C$255,$A6)</f>
        <v>-4880191</v>
      </c>
      <c r="H6" s="121">
        <f>SUMIFS('Trial Balance'!I$6:I$255,'Trial Balance'!$C$6:$C$255,$A6)</f>
        <v>-6643805</v>
      </c>
      <c r="I6" s="121">
        <f>SUMIFS('Trial Balance'!J$6:J$255,'Trial Balance'!$C$6:$C$255,$A6)</f>
        <v>-8461250</v>
      </c>
      <c r="J6" s="121">
        <f>SUMIFS('Trial Balance'!K$6:K$255,'Trial Balance'!$C$6:$C$255,$A6)</f>
        <v>-10263343</v>
      </c>
      <c r="K6" s="121">
        <f>SUMIFS('Trial Balance'!L$6:L$255,'Trial Balance'!$C$6:$C$255,$A6)</f>
        <v>-12067278</v>
      </c>
      <c r="L6" s="121">
        <f>SUMIFS('Trial Balance'!M$6:M$255,'Trial Balance'!$C$6:$C$255,$A6)</f>
        <v>-13929191</v>
      </c>
      <c r="M6" s="121">
        <f>SUMIFS('Trial Balance'!N$6:N$255,'Trial Balance'!$C$6:$C$255,$A6)</f>
        <v>-15870312</v>
      </c>
      <c r="N6" s="121">
        <f>SUMIFS('Trial Balance'!O$6:O$255,'Trial Balance'!$C$6:$C$255,$A6)</f>
        <v>-17893959</v>
      </c>
      <c r="O6" s="121">
        <f>SUMIFS('Trial Balance'!P$6:P$255,'Trial Balance'!$C$6:$C$255,$A6)</f>
        <v>0</v>
      </c>
      <c r="P6" s="121">
        <f>SUMIFS('Trial Balance'!Q$6:Q$255,'Trial Balance'!$C$6:$C$255,$A6)</f>
        <v>0</v>
      </c>
    </row>
    <row r="7" spans="1:16" x14ac:dyDescent="0.25">
      <c r="A7" s="94" t="s">
        <v>8</v>
      </c>
      <c r="B7" s="101" t="s">
        <v>395</v>
      </c>
      <c r="C7" s="101">
        <v>1</v>
      </c>
      <c r="D7" s="121">
        <f>IF($B7="IS",0,SUMIFS('Trial Balance'!$E$6:$E$255,'Trial Balance'!$C$6:$C$255,$A7))</f>
        <v>0</v>
      </c>
      <c r="E7" s="121">
        <f>SUMIFS('Trial Balance'!F$6:F$255,'Trial Balance'!$C$6:$C$255,$A7)</f>
        <v>805384</v>
      </c>
      <c r="F7" s="121">
        <f>SUMIFS('Trial Balance'!G$6:G$255,'Trial Balance'!$C$6:$C$255,$A7)</f>
        <v>1603790</v>
      </c>
      <c r="G7" s="121">
        <f>SUMIFS('Trial Balance'!H$6:H$255,'Trial Balance'!$C$6:$C$255,$A7)</f>
        <v>2474211</v>
      </c>
      <c r="H7" s="121">
        <f>SUMIFS('Trial Balance'!I$6:I$255,'Trial Balance'!$C$6:$C$255,$A7)</f>
        <v>3371576</v>
      </c>
      <c r="I7" s="121">
        <f>SUMIFS('Trial Balance'!J$6:J$255,'Trial Balance'!$C$6:$C$255,$A7)</f>
        <v>4298017</v>
      </c>
      <c r="J7" s="121">
        <f>SUMIFS('Trial Balance'!K$6:K$255,'Trial Balance'!$C$6:$C$255,$A7)</f>
        <v>5218303</v>
      </c>
      <c r="K7" s="121">
        <f>SUMIFS('Trial Balance'!L$6:L$255,'Trial Balance'!$C$6:$C$255,$A7)</f>
        <v>6141203</v>
      </c>
      <c r="L7" s="121">
        <f>SUMIFS('Trial Balance'!M$6:M$255,'Trial Balance'!$C$6:$C$255,$A7)</f>
        <v>7095490</v>
      </c>
      <c r="M7" s="121">
        <f>SUMIFS('Trial Balance'!N$6:N$255,'Trial Balance'!$C$6:$C$255,$A7)</f>
        <v>8092175</v>
      </c>
      <c r="N7" s="121">
        <f>SUMIFS('Trial Balance'!O$6:O$255,'Trial Balance'!$C$6:$C$255,$A7)</f>
        <v>9133110</v>
      </c>
      <c r="O7" s="121">
        <f>SUMIFS('Trial Balance'!P$6:P$255,'Trial Balance'!$C$6:$C$255,$A7)</f>
        <v>0</v>
      </c>
      <c r="P7" s="121">
        <f>SUMIFS('Trial Balance'!Q$6:Q$255,'Trial Balance'!$C$6:$C$255,$A7)</f>
        <v>0</v>
      </c>
    </row>
    <row r="8" spans="1:16" x14ac:dyDescent="0.25">
      <c r="A8" s="94" t="s">
        <v>11</v>
      </c>
      <c r="B8" s="101" t="s">
        <v>395</v>
      </c>
      <c r="C8" s="101">
        <v>-1</v>
      </c>
      <c r="D8" s="121">
        <f>IF($B8="IS",0,SUMIFS('Trial Balance'!$E$6:$E$255,'Trial Balance'!$C$6:$C$255,$A8))</f>
        <v>0</v>
      </c>
      <c r="E8" s="121">
        <f>SUMIFS('Trial Balance'!F$6:F$255,'Trial Balance'!$C$6:$C$255,$A8)</f>
        <v>-7422</v>
      </c>
      <c r="F8" s="121">
        <f>SUMIFS('Trial Balance'!G$6:G$255,'Trial Balance'!$C$6:$C$255,$A8)</f>
        <v>-13270</v>
      </c>
      <c r="G8" s="121">
        <f>SUMIFS('Trial Balance'!H$6:H$255,'Trial Balance'!$C$6:$C$255,$A8)</f>
        <v>-20014</v>
      </c>
      <c r="H8" s="121">
        <f>SUMIFS('Trial Balance'!I$6:I$255,'Trial Balance'!$C$6:$C$255,$A8)</f>
        <v>-25499</v>
      </c>
      <c r="I8" s="121">
        <f>SUMIFS('Trial Balance'!J$6:J$255,'Trial Balance'!$C$6:$C$255,$A8)</f>
        <v>-30701</v>
      </c>
      <c r="J8" s="121">
        <f>SUMIFS('Trial Balance'!K$6:K$255,'Trial Balance'!$C$6:$C$255,$A8)</f>
        <v>-36434</v>
      </c>
      <c r="K8" s="121">
        <f>SUMIFS('Trial Balance'!L$6:L$255,'Trial Balance'!$C$6:$C$255,$A8)</f>
        <v>-41413</v>
      </c>
      <c r="L8" s="121">
        <f>SUMIFS('Trial Balance'!M$6:M$255,'Trial Balance'!$C$6:$C$255,$A8)</f>
        <v>-47158</v>
      </c>
      <c r="M8" s="121">
        <f>SUMIFS('Trial Balance'!N$6:N$255,'Trial Balance'!$C$6:$C$255,$A8)</f>
        <v>-53158</v>
      </c>
      <c r="N8" s="121">
        <f>SUMIFS('Trial Balance'!O$6:O$255,'Trial Balance'!$C$6:$C$255,$A8)</f>
        <v>-58997</v>
      </c>
      <c r="O8" s="121">
        <f>SUMIFS('Trial Balance'!P$6:P$255,'Trial Balance'!$C$6:$C$255,$A8)</f>
        <v>0</v>
      </c>
      <c r="P8" s="121">
        <f>SUMIFS('Trial Balance'!Q$6:Q$255,'Trial Balance'!$C$6:$C$255,$A8)</f>
        <v>0</v>
      </c>
    </row>
    <row r="9" spans="1:16" x14ac:dyDescent="0.25">
      <c r="A9" s="94" t="s">
        <v>315</v>
      </c>
      <c r="B9" s="101" t="s">
        <v>395</v>
      </c>
      <c r="C9" s="101">
        <v>1</v>
      </c>
      <c r="D9" s="121">
        <f>IF($B9="IS",0,SUMIFS('Trial Balance'!$E$6:$E$255,'Trial Balance'!$C$6:$C$255,$A9))</f>
        <v>0</v>
      </c>
      <c r="E9" s="121">
        <f>SUMIFS('Trial Balance'!F$6:F$255,'Trial Balance'!$C$6:$C$255,$A9)</f>
        <v>350476</v>
      </c>
      <c r="F9" s="121">
        <f>SUMIFS('Trial Balance'!G$6:G$255,'Trial Balance'!$C$6:$C$255,$A9)</f>
        <v>699001</v>
      </c>
      <c r="G9" s="121">
        <f>SUMIFS('Trial Balance'!H$6:H$255,'Trial Balance'!$C$6:$C$255,$A9)</f>
        <v>1051617</v>
      </c>
      <c r="H9" s="121">
        <f>SUMIFS('Trial Balance'!I$6:I$255,'Trial Balance'!$C$6:$C$255,$A9)</f>
        <v>1403243</v>
      </c>
      <c r="I9" s="121">
        <f>SUMIFS('Trial Balance'!J$6:J$255,'Trial Balance'!$C$6:$C$255,$A9)</f>
        <v>1758715</v>
      </c>
      <c r="J9" s="121">
        <f>SUMIFS('Trial Balance'!K$6:K$255,'Trial Balance'!$C$6:$C$255,$A9)</f>
        <v>2112209</v>
      </c>
      <c r="K9" s="121">
        <f>SUMIFS('Trial Balance'!L$6:L$255,'Trial Balance'!$C$6:$C$255,$A9)</f>
        <v>2471416</v>
      </c>
      <c r="L9" s="121">
        <f>SUMIFS('Trial Balance'!M$6:M$255,'Trial Balance'!$C$6:$C$255,$A9)</f>
        <v>2830427</v>
      </c>
      <c r="M9" s="121">
        <f>SUMIFS('Trial Balance'!N$6:N$255,'Trial Balance'!$C$6:$C$255,$A9)</f>
        <v>3190694</v>
      </c>
      <c r="N9" s="121">
        <f>SUMIFS('Trial Balance'!O$6:O$255,'Trial Balance'!$C$6:$C$255,$A9)</f>
        <v>3549704</v>
      </c>
      <c r="O9" s="121">
        <f>SUMIFS('Trial Balance'!P$6:P$255,'Trial Balance'!$C$6:$C$255,$A9)</f>
        <v>0</v>
      </c>
      <c r="P9" s="121">
        <f>SUMIFS('Trial Balance'!Q$6:Q$255,'Trial Balance'!$C$6:$C$255,$A9)</f>
        <v>0</v>
      </c>
    </row>
    <row r="10" spans="1:16" x14ac:dyDescent="0.25">
      <c r="A10" s="94" t="s">
        <v>319</v>
      </c>
      <c r="B10" s="101" t="s">
        <v>395</v>
      </c>
      <c r="C10" s="101">
        <v>1</v>
      </c>
      <c r="D10" s="121">
        <f>IF($B10="IS",0,SUMIFS('Trial Balance'!$E$6:$E$255,'Trial Balance'!$C$6:$C$255,$A10))</f>
        <v>0</v>
      </c>
      <c r="E10" s="121">
        <f>SUMIFS('Trial Balance'!F$6:F$255,'Trial Balance'!$C$6:$C$255,$A10)</f>
        <v>75500</v>
      </c>
      <c r="F10" s="121">
        <f>SUMIFS('Trial Balance'!G$6:G$255,'Trial Balance'!$C$6:$C$255,$A10)</f>
        <v>151226</v>
      </c>
      <c r="G10" s="121">
        <f>SUMIFS('Trial Balance'!H$6:H$255,'Trial Balance'!$C$6:$C$255,$A10)</f>
        <v>227180</v>
      </c>
      <c r="H10" s="121">
        <f>SUMIFS('Trial Balance'!I$6:I$255,'Trial Balance'!$C$6:$C$255,$A10)</f>
        <v>303359</v>
      </c>
      <c r="I10" s="121">
        <f>SUMIFS('Trial Balance'!J$6:J$255,'Trial Balance'!$C$6:$C$255,$A10)</f>
        <v>379765</v>
      </c>
      <c r="J10" s="121">
        <f>SUMIFS('Trial Balance'!K$6:K$255,'Trial Balance'!$C$6:$C$255,$A10)</f>
        <v>456398</v>
      </c>
      <c r="K10" s="121">
        <f>SUMIFS('Trial Balance'!L$6:L$255,'Trial Balance'!$C$6:$C$255,$A10)</f>
        <v>533256</v>
      </c>
      <c r="L10" s="121">
        <f>SUMIFS('Trial Balance'!M$6:M$255,'Trial Balance'!$C$6:$C$255,$A10)</f>
        <v>610342</v>
      </c>
      <c r="M10" s="121">
        <f>SUMIFS('Trial Balance'!N$6:N$255,'Trial Balance'!$C$6:$C$255,$A10)</f>
        <v>687654</v>
      </c>
      <c r="N10" s="121">
        <f>SUMIFS('Trial Balance'!O$6:O$255,'Trial Balance'!$C$6:$C$255,$A10)</f>
        <v>765192</v>
      </c>
      <c r="O10" s="121">
        <f>SUMIFS('Trial Balance'!P$6:P$255,'Trial Balance'!$C$6:$C$255,$A10)</f>
        <v>0</v>
      </c>
      <c r="P10" s="121">
        <f>SUMIFS('Trial Balance'!Q$6:Q$255,'Trial Balance'!$C$6:$C$255,$A10)</f>
        <v>0</v>
      </c>
    </row>
    <row r="11" spans="1:16" x14ac:dyDescent="0.25">
      <c r="A11" s="94" t="s">
        <v>322</v>
      </c>
      <c r="B11" s="101" t="s">
        <v>395</v>
      </c>
      <c r="C11" s="101">
        <v>1</v>
      </c>
      <c r="D11" s="121">
        <f>IF($B11="IS",0,SUMIFS('Trial Balance'!$E$6:$E$255,'Trial Balance'!$C$6:$C$255,$A11))</f>
        <v>0</v>
      </c>
      <c r="E11" s="121">
        <f>SUMIFS('Trial Balance'!F$6:F$255,'Trial Balance'!$C$6:$C$255,$A11)</f>
        <v>79351</v>
      </c>
      <c r="F11" s="121">
        <f>SUMIFS('Trial Balance'!G$6:G$255,'Trial Balance'!$C$6:$C$255,$A11)</f>
        <v>163249</v>
      </c>
      <c r="G11" s="121">
        <f>SUMIFS('Trial Balance'!H$6:H$255,'Trial Balance'!$C$6:$C$255,$A11)</f>
        <v>239076</v>
      </c>
      <c r="H11" s="121">
        <f>SUMIFS('Trial Balance'!I$6:I$255,'Trial Balance'!$C$6:$C$255,$A11)</f>
        <v>315839</v>
      </c>
      <c r="I11" s="121">
        <f>SUMIFS('Trial Balance'!J$6:J$255,'Trial Balance'!$C$6:$C$255,$A11)</f>
        <v>395493</v>
      </c>
      <c r="J11" s="121">
        <f>SUMIFS('Trial Balance'!K$6:K$255,'Trial Balance'!$C$6:$C$255,$A11)</f>
        <v>475853</v>
      </c>
      <c r="K11" s="121">
        <f>SUMIFS('Trial Balance'!L$6:L$255,'Trial Balance'!$C$6:$C$255,$A11)</f>
        <v>548295</v>
      </c>
      <c r="L11" s="121">
        <f>SUMIFS('Trial Balance'!M$6:M$255,'Trial Balance'!$C$6:$C$255,$A11)</f>
        <v>614576</v>
      </c>
      <c r="M11" s="121">
        <f>SUMIFS('Trial Balance'!N$6:N$255,'Trial Balance'!$C$6:$C$255,$A11)</f>
        <v>703777</v>
      </c>
      <c r="N11" s="121">
        <f>SUMIFS('Trial Balance'!O$6:O$255,'Trial Balance'!$C$6:$C$255,$A11)</f>
        <v>767972</v>
      </c>
      <c r="O11" s="121">
        <f>SUMIFS('Trial Balance'!P$6:P$255,'Trial Balance'!$C$6:$C$255,$A11)</f>
        <v>0</v>
      </c>
      <c r="P11" s="121">
        <f>SUMIFS('Trial Balance'!Q$6:Q$255,'Trial Balance'!$C$6:$C$255,$A11)</f>
        <v>0</v>
      </c>
    </row>
    <row r="12" spans="1:16" x14ac:dyDescent="0.25">
      <c r="A12" s="94" t="s">
        <v>325</v>
      </c>
      <c r="B12" s="101" t="s">
        <v>395</v>
      </c>
      <c r="C12" s="101">
        <v>1</v>
      </c>
      <c r="D12" s="121">
        <f>IF($B12="IS",0,SUMIFS('Trial Balance'!$E$6:$E$255,'Trial Balance'!$C$6:$C$255,$A12))</f>
        <v>0</v>
      </c>
      <c r="E12" s="121">
        <f>SUMIFS('Trial Balance'!F$6:F$255,'Trial Balance'!$C$6:$C$255,$A12)</f>
        <v>23805</v>
      </c>
      <c r="F12" s="121">
        <f>SUMIFS('Trial Balance'!G$6:G$255,'Trial Balance'!$C$6:$C$255,$A12)</f>
        <v>47923</v>
      </c>
      <c r="G12" s="121">
        <f>SUMIFS('Trial Balance'!H$6:H$255,'Trial Balance'!$C$6:$C$255,$A12)</f>
        <v>79528</v>
      </c>
      <c r="H12" s="121">
        <f>SUMIFS('Trial Balance'!I$6:I$255,'Trial Balance'!$C$6:$C$255,$A12)</f>
        <v>100762</v>
      </c>
      <c r="I12" s="121">
        <f>SUMIFS('Trial Balance'!J$6:J$255,'Trial Balance'!$C$6:$C$255,$A12)</f>
        <v>116884</v>
      </c>
      <c r="J12" s="121">
        <f>SUMIFS('Trial Balance'!K$6:K$255,'Trial Balance'!$C$6:$C$255,$A12)</f>
        <v>147426</v>
      </c>
      <c r="K12" s="121">
        <f>SUMIFS('Trial Balance'!L$6:L$255,'Trial Balance'!$C$6:$C$255,$A12)</f>
        <v>171919</v>
      </c>
      <c r="L12" s="121">
        <f>SUMIFS('Trial Balance'!M$6:M$255,'Trial Balance'!$C$6:$C$255,$A12)</f>
        <v>193617</v>
      </c>
      <c r="M12" s="121">
        <f>SUMIFS('Trial Balance'!N$6:N$255,'Trial Balance'!$C$6:$C$255,$A12)</f>
        <v>221058</v>
      </c>
      <c r="N12" s="121">
        <f>SUMIFS('Trial Balance'!O$6:O$255,'Trial Balance'!$C$6:$C$255,$A12)</f>
        <v>242188</v>
      </c>
      <c r="O12" s="121">
        <f>SUMIFS('Trial Balance'!P$6:P$255,'Trial Balance'!$C$6:$C$255,$A12)</f>
        <v>0</v>
      </c>
      <c r="P12" s="121">
        <f>SUMIFS('Trial Balance'!Q$6:Q$255,'Trial Balance'!$C$6:$C$255,$A12)</f>
        <v>0</v>
      </c>
    </row>
    <row r="13" spans="1:16" x14ac:dyDescent="0.25">
      <c r="A13" s="94" t="s">
        <v>329</v>
      </c>
      <c r="B13" s="101" t="s">
        <v>395</v>
      </c>
      <c r="C13" s="101">
        <v>1</v>
      </c>
      <c r="D13" s="121">
        <f>IF($B13="IS",0,SUMIFS('Trial Balance'!$E$6:$E$255,'Trial Balance'!$C$6:$C$255,$A13))</f>
        <v>0</v>
      </c>
      <c r="E13" s="121">
        <f>SUMIFS('Trial Balance'!F$6:F$255,'Trial Balance'!$C$6:$C$255,$A13)</f>
        <v>26585</v>
      </c>
      <c r="F13" s="121">
        <f>SUMIFS('Trial Balance'!G$6:G$255,'Trial Balance'!$C$6:$C$255,$A13)</f>
        <v>59752</v>
      </c>
      <c r="G13" s="121">
        <f>SUMIFS('Trial Balance'!H$6:H$255,'Trial Balance'!$C$6:$C$255,$A13)</f>
        <v>92321</v>
      </c>
      <c r="H13" s="121">
        <f>SUMIFS('Trial Balance'!I$6:I$255,'Trial Balance'!$C$6:$C$255,$A13)</f>
        <v>126283</v>
      </c>
      <c r="I13" s="121">
        <f>SUMIFS('Trial Balance'!J$6:J$255,'Trial Balance'!$C$6:$C$255,$A13)</f>
        <v>161745</v>
      </c>
      <c r="J13" s="121">
        <f>SUMIFS('Trial Balance'!K$6:K$255,'Trial Balance'!$C$6:$C$255,$A13)</f>
        <v>193329</v>
      </c>
      <c r="K13" s="121">
        <f>SUMIFS('Trial Balance'!L$6:L$255,'Trial Balance'!$C$6:$C$255,$A13)</f>
        <v>222458</v>
      </c>
      <c r="L13" s="121">
        <f>SUMIFS('Trial Balance'!M$6:M$255,'Trial Balance'!$C$6:$C$255,$A13)</f>
        <v>260129</v>
      </c>
      <c r="M13" s="121">
        <f>SUMIFS('Trial Balance'!N$6:N$255,'Trial Balance'!$C$6:$C$255,$A13)</f>
        <v>286160</v>
      </c>
      <c r="N13" s="121">
        <f>SUMIFS('Trial Balance'!O$6:O$255,'Trial Balance'!$C$6:$C$255,$A13)</f>
        <v>309656</v>
      </c>
      <c r="O13" s="121">
        <f>SUMIFS('Trial Balance'!P$6:P$255,'Trial Balance'!$C$6:$C$255,$A13)</f>
        <v>0</v>
      </c>
      <c r="P13" s="121">
        <f>SUMIFS('Trial Balance'!Q$6:Q$255,'Trial Balance'!$C$6:$C$255,$A13)</f>
        <v>0</v>
      </c>
    </row>
    <row r="14" spans="1:16" x14ac:dyDescent="0.25">
      <c r="A14" s="94" t="s">
        <v>333</v>
      </c>
      <c r="B14" s="101" t="s">
        <v>395</v>
      </c>
      <c r="C14" s="101">
        <v>1</v>
      </c>
      <c r="D14" s="121">
        <f>IF($B14="IS",0,SUMIFS('Trial Balance'!$E$6:$E$255,'Trial Balance'!$C$6:$C$255,$A14))</f>
        <v>0</v>
      </c>
      <c r="E14" s="121">
        <f>SUMIFS('Trial Balance'!F$6:F$255,'Trial Balance'!$C$6:$C$255,$A14)</f>
        <v>26620</v>
      </c>
      <c r="F14" s="121">
        <f>SUMIFS('Trial Balance'!G$6:G$255,'Trial Balance'!$C$6:$C$255,$A14)</f>
        <v>51699</v>
      </c>
      <c r="G14" s="121">
        <f>SUMIFS('Trial Balance'!H$6:H$255,'Trial Balance'!$C$6:$C$255,$A14)</f>
        <v>76194</v>
      </c>
      <c r="H14" s="121">
        <f>SUMIFS('Trial Balance'!I$6:I$255,'Trial Balance'!$C$6:$C$255,$A14)</f>
        <v>101105</v>
      </c>
      <c r="I14" s="121">
        <f>SUMIFS('Trial Balance'!J$6:J$255,'Trial Balance'!$C$6:$C$255,$A14)</f>
        <v>127777</v>
      </c>
      <c r="J14" s="121">
        <f>SUMIFS('Trial Balance'!K$6:K$255,'Trial Balance'!$C$6:$C$255,$A14)</f>
        <v>152380</v>
      </c>
      <c r="K14" s="121">
        <f>SUMIFS('Trial Balance'!L$6:L$255,'Trial Balance'!$C$6:$C$255,$A14)</f>
        <v>176148</v>
      </c>
      <c r="L14" s="121">
        <f>SUMIFS('Trial Balance'!M$6:M$255,'Trial Balance'!$C$6:$C$255,$A14)</f>
        <v>202505</v>
      </c>
      <c r="M14" s="121">
        <f>SUMIFS('Trial Balance'!N$6:N$255,'Trial Balance'!$C$6:$C$255,$A14)</f>
        <v>228919</v>
      </c>
      <c r="N14" s="121">
        <f>SUMIFS('Trial Balance'!O$6:O$255,'Trial Balance'!$C$6:$C$255,$A14)</f>
        <v>253357</v>
      </c>
      <c r="O14" s="121">
        <f>SUMIFS('Trial Balance'!P$6:P$255,'Trial Balance'!$C$6:$C$255,$A14)</f>
        <v>0</v>
      </c>
      <c r="P14" s="121">
        <f>SUMIFS('Trial Balance'!Q$6:Q$255,'Trial Balance'!$C$6:$C$255,$A14)</f>
        <v>0</v>
      </c>
    </row>
    <row r="15" spans="1:16" x14ac:dyDescent="0.25">
      <c r="A15" s="94" t="s">
        <v>335</v>
      </c>
      <c r="B15" s="101" t="s">
        <v>395</v>
      </c>
      <c r="C15" s="101">
        <v>1</v>
      </c>
      <c r="D15" s="121">
        <f>IF($B15="IS",0,SUMIFS('Trial Balance'!$E$6:$E$255,'Trial Balance'!$C$6:$C$255,$A15))</f>
        <v>0</v>
      </c>
      <c r="E15" s="121">
        <f>SUMIFS('Trial Balance'!F$6:F$255,'Trial Balance'!$C$6:$C$255,$A15)</f>
        <v>5465</v>
      </c>
      <c r="F15" s="121">
        <f>SUMIFS('Trial Balance'!G$6:G$255,'Trial Balance'!$C$6:$C$255,$A15)</f>
        <v>13523</v>
      </c>
      <c r="G15" s="121">
        <f>SUMIFS('Trial Balance'!H$6:H$255,'Trial Balance'!$C$6:$C$255,$A15)</f>
        <v>24810</v>
      </c>
      <c r="H15" s="121">
        <f>SUMIFS('Trial Balance'!I$6:I$255,'Trial Balance'!$C$6:$C$255,$A15)</f>
        <v>45179</v>
      </c>
      <c r="I15" s="121">
        <f>SUMIFS('Trial Balance'!J$6:J$255,'Trial Balance'!$C$6:$C$255,$A15)</f>
        <v>49271</v>
      </c>
      <c r="J15" s="121">
        <f>SUMIFS('Trial Balance'!K$6:K$255,'Trial Balance'!$C$6:$C$255,$A15)</f>
        <v>57632</v>
      </c>
      <c r="K15" s="121">
        <f>SUMIFS('Trial Balance'!L$6:L$255,'Trial Balance'!$C$6:$C$255,$A15)</f>
        <v>67729</v>
      </c>
      <c r="L15" s="121">
        <f>SUMIFS('Trial Balance'!M$6:M$255,'Trial Balance'!$C$6:$C$255,$A15)</f>
        <v>79953</v>
      </c>
      <c r="M15" s="121">
        <f>SUMIFS('Trial Balance'!N$6:N$255,'Trial Balance'!$C$6:$C$255,$A15)</f>
        <v>93894</v>
      </c>
      <c r="N15" s="121">
        <f>SUMIFS('Trial Balance'!O$6:O$255,'Trial Balance'!$C$6:$C$255,$A15)</f>
        <v>111866</v>
      </c>
      <c r="O15" s="121">
        <f>SUMIFS('Trial Balance'!P$6:P$255,'Trial Balance'!$C$6:$C$255,$A15)</f>
        <v>0</v>
      </c>
      <c r="P15" s="121">
        <f>SUMIFS('Trial Balance'!Q$6:Q$255,'Trial Balance'!$C$6:$C$255,$A15)</f>
        <v>0</v>
      </c>
    </row>
    <row r="16" spans="1:16" x14ac:dyDescent="0.25">
      <c r="A16" s="94" t="s">
        <v>336</v>
      </c>
      <c r="B16" s="101" t="s">
        <v>395</v>
      </c>
      <c r="C16" s="101">
        <v>1</v>
      </c>
      <c r="D16" s="121">
        <f>IF($B16="IS",0,SUMIFS('Trial Balance'!$E$6:$E$255,'Trial Balance'!$C$6:$C$255,$A16))</f>
        <v>0</v>
      </c>
      <c r="E16" s="121">
        <f>SUMIFS('Trial Balance'!F$6:F$255,'Trial Balance'!$C$6:$C$255,$A16)</f>
        <v>17500</v>
      </c>
      <c r="F16" s="121">
        <f>SUMIFS('Trial Balance'!G$6:G$255,'Trial Balance'!$C$6:$C$255,$A16)</f>
        <v>35052</v>
      </c>
      <c r="G16" s="121">
        <f>SUMIFS('Trial Balance'!H$6:H$255,'Trial Balance'!$C$6:$C$255,$A16)</f>
        <v>52658</v>
      </c>
      <c r="H16" s="121">
        <f>SUMIFS('Trial Balance'!I$6:I$255,'Trial Balance'!$C$6:$C$255,$A16)</f>
        <v>70315</v>
      </c>
      <c r="I16" s="121">
        <f>SUMIFS('Trial Balance'!J$6:J$255,'Trial Balance'!$C$6:$C$255,$A16)</f>
        <v>88025</v>
      </c>
      <c r="J16" s="121">
        <f>SUMIFS('Trial Balance'!K$6:K$255,'Trial Balance'!$C$6:$C$255,$A16)</f>
        <v>105788</v>
      </c>
      <c r="K16" s="121">
        <f>SUMIFS('Trial Balance'!L$6:L$255,'Trial Balance'!$C$6:$C$255,$A16)</f>
        <v>123602</v>
      </c>
      <c r="L16" s="121">
        <f>SUMIFS('Trial Balance'!M$6:M$255,'Trial Balance'!$C$6:$C$255,$A16)</f>
        <v>141470</v>
      </c>
      <c r="M16" s="121">
        <f>SUMIFS('Trial Balance'!N$6:N$255,'Trial Balance'!$C$6:$C$255,$A16)</f>
        <v>159390</v>
      </c>
      <c r="N16" s="121">
        <f>SUMIFS('Trial Balance'!O$6:O$255,'Trial Balance'!$C$6:$C$255,$A16)</f>
        <v>177362</v>
      </c>
      <c r="O16" s="121">
        <f>SUMIFS('Trial Balance'!P$6:P$255,'Trial Balance'!$C$6:$C$255,$A16)</f>
        <v>0</v>
      </c>
      <c r="P16" s="121">
        <f>SUMIFS('Trial Balance'!Q$6:Q$255,'Trial Balance'!$C$6:$C$255,$A16)</f>
        <v>0</v>
      </c>
    </row>
    <row r="17" spans="1:16" x14ac:dyDescent="0.25">
      <c r="A17" s="94" t="s">
        <v>337</v>
      </c>
      <c r="B17" s="101" t="s">
        <v>395</v>
      </c>
      <c r="C17" s="101">
        <v>1</v>
      </c>
      <c r="D17" s="121">
        <f>IF($B17="IS",0,SUMIFS('Trial Balance'!$E$6:$E$255,'Trial Balance'!$C$6:$C$255,$A17))</f>
        <v>0</v>
      </c>
      <c r="E17" s="121">
        <f>SUMIFS('Trial Balance'!F$6:F$255,'Trial Balance'!$C$6:$C$255,$A17)</f>
        <v>7361</v>
      </c>
      <c r="F17" s="121">
        <f>SUMIFS('Trial Balance'!G$6:G$255,'Trial Balance'!$C$6:$C$255,$A17)</f>
        <v>15124</v>
      </c>
      <c r="G17" s="121">
        <f>SUMIFS('Trial Balance'!H$6:H$255,'Trial Balance'!$C$6:$C$255,$A17)</f>
        <v>22772</v>
      </c>
      <c r="H17" s="121">
        <f>SUMIFS('Trial Balance'!I$6:I$255,'Trial Balance'!$C$6:$C$255,$A17)</f>
        <v>29784</v>
      </c>
      <c r="I17" s="121">
        <f>SUMIFS('Trial Balance'!J$6:J$255,'Trial Balance'!$C$6:$C$255,$A17)</f>
        <v>38094</v>
      </c>
      <c r="J17" s="121">
        <f>SUMIFS('Trial Balance'!K$6:K$255,'Trial Balance'!$C$6:$C$255,$A17)</f>
        <v>45736</v>
      </c>
      <c r="K17" s="121">
        <f>SUMIFS('Trial Balance'!L$6:L$255,'Trial Balance'!$C$6:$C$255,$A17)</f>
        <v>53316</v>
      </c>
      <c r="L17" s="121">
        <f>SUMIFS('Trial Balance'!M$6:M$255,'Trial Balance'!$C$6:$C$255,$A17)</f>
        <v>61322</v>
      </c>
      <c r="M17" s="121">
        <f>SUMIFS('Trial Balance'!N$6:N$255,'Trial Balance'!$C$6:$C$255,$A17)</f>
        <v>69180</v>
      </c>
      <c r="N17" s="121">
        <f>SUMIFS('Trial Balance'!O$6:O$255,'Trial Balance'!$C$6:$C$255,$A17)</f>
        <v>77220</v>
      </c>
      <c r="O17" s="121">
        <f>SUMIFS('Trial Balance'!P$6:P$255,'Trial Balance'!$C$6:$C$255,$A17)</f>
        <v>0</v>
      </c>
      <c r="P17" s="121">
        <f>SUMIFS('Trial Balance'!Q$6:Q$255,'Trial Balance'!$C$6:$C$255,$A17)</f>
        <v>0</v>
      </c>
    </row>
    <row r="18" spans="1:16" x14ac:dyDescent="0.25">
      <c r="A18" s="94" t="s">
        <v>339</v>
      </c>
      <c r="B18" s="101" t="s">
        <v>395</v>
      </c>
      <c r="C18" s="101">
        <v>1</v>
      </c>
      <c r="D18" s="121">
        <f>IF($B18="IS",0,SUMIFS('Trial Balance'!$E$6:$E$255,'Trial Balance'!$C$6:$C$255,$A18))</f>
        <v>0</v>
      </c>
      <c r="E18" s="121">
        <f>SUMIFS('Trial Balance'!F$6:F$255,'Trial Balance'!$C$6:$C$255,$A18)</f>
        <v>27446</v>
      </c>
      <c r="F18" s="121">
        <f>SUMIFS('Trial Balance'!G$6:G$255,'Trial Balance'!$C$6:$C$255,$A18)</f>
        <v>56144</v>
      </c>
      <c r="G18" s="121">
        <f>SUMIFS('Trial Balance'!H$6:H$255,'Trial Balance'!$C$6:$C$255,$A18)</f>
        <v>86204</v>
      </c>
      <c r="H18" s="121">
        <f>SUMIFS('Trial Balance'!I$6:I$255,'Trial Balance'!$C$6:$C$255,$A18)</f>
        <v>112206</v>
      </c>
      <c r="I18" s="121">
        <f>SUMIFS('Trial Balance'!J$6:J$255,'Trial Balance'!$C$6:$C$255,$A18)</f>
        <v>140035</v>
      </c>
      <c r="J18" s="121">
        <f>SUMIFS('Trial Balance'!K$6:K$255,'Trial Balance'!$C$6:$C$255,$A18)</f>
        <v>167008</v>
      </c>
      <c r="K18" s="121">
        <f>SUMIFS('Trial Balance'!L$6:L$255,'Trial Balance'!$C$6:$C$255,$A18)</f>
        <v>190869</v>
      </c>
      <c r="L18" s="121">
        <f>SUMIFS('Trial Balance'!M$6:M$255,'Trial Balance'!$C$6:$C$255,$A18)</f>
        <v>222752</v>
      </c>
      <c r="M18" s="121">
        <f>SUMIFS('Trial Balance'!N$6:N$255,'Trial Balance'!$C$6:$C$255,$A18)</f>
        <v>251485</v>
      </c>
      <c r="N18" s="121">
        <f>SUMIFS('Trial Balance'!O$6:O$255,'Trial Balance'!$C$6:$C$255,$A18)</f>
        <v>279284</v>
      </c>
      <c r="O18" s="121">
        <f>SUMIFS('Trial Balance'!P$6:P$255,'Trial Balance'!$C$6:$C$255,$A18)</f>
        <v>0</v>
      </c>
      <c r="P18" s="121">
        <f>SUMIFS('Trial Balance'!Q$6:Q$255,'Trial Balance'!$C$6:$C$255,$A18)</f>
        <v>0</v>
      </c>
    </row>
    <row r="19" spans="1:16" x14ac:dyDescent="0.25">
      <c r="A19" s="94" t="s">
        <v>25</v>
      </c>
      <c r="B19" s="101" t="s">
        <v>395</v>
      </c>
      <c r="C19" s="101">
        <v>1</v>
      </c>
      <c r="D19" s="121">
        <f>IF($B19="IS",0,SUMIFS('Trial Balance'!$E$6:$E$255,'Trial Balance'!$C$6:$C$255,$A19))</f>
        <v>0</v>
      </c>
      <c r="E19" s="121">
        <f>SUMIFS('Trial Balance'!F$6:F$255,'Trial Balance'!$C$6:$C$255,$A19)</f>
        <v>40750</v>
      </c>
      <c r="F19" s="121">
        <f>SUMIFS('Trial Balance'!G$6:G$255,'Trial Balance'!$C$6:$C$255,$A19)</f>
        <v>81500</v>
      </c>
      <c r="G19" s="121">
        <f>SUMIFS('Trial Balance'!H$6:H$255,'Trial Balance'!$C$6:$C$255,$A19)</f>
        <v>122250</v>
      </c>
      <c r="H19" s="121">
        <f>SUMIFS('Trial Balance'!I$6:I$255,'Trial Balance'!$C$6:$C$255,$A19)</f>
        <v>163000</v>
      </c>
      <c r="I19" s="121">
        <f>SUMIFS('Trial Balance'!J$6:J$255,'Trial Balance'!$C$6:$C$255,$A19)</f>
        <v>208125</v>
      </c>
      <c r="J19" s="121">
        <f>SUMIFS('Trial Balance'!K$6:K$255,'Trial Balance'!$C$6:$C$255,$A19)</f>
        <v>253250</v>
      </c>
      <c r="K19" s="121">
        <f>SUMIFS('Trial Balance'!L$6:L$255,'Trial Balance'!$C$6:$C$255,$A19)</f>
        <v>298375</v>
      </c>
      <c r="L19" s="121">
        <f>SUMIFS('Trial Balance'!M$6:M$255,'Trial Balance'!$C$6:$C$255,$A19)</f>
        <v>343500</v>
      </c>
      <c r="M19" s="121">
        <f>SUMIFS('Trial Balance'!N$6:N$255,'Trial Balance'!$C$6:$C$255,$A19)</f>
        <v>390344</v>
      </c>
      <c r="N19" s="121">
        <f>SUMIFS('Trial Balance'!O$6:O$255,'Trial Balance'!$C$6:$C$255,$A19)</f>
        <v>437188</v>
      </c>
      <c r="O19" s="121">
        <f>SUMIFS('Trial Balance'!P$6:P$255,'Trial Balance'!$C$6:$C$255,$A19)</f>
        <v>0</v>
      </c>
      <c r="P19" s="121">
        <f>SUMIFS('Trial Balance'!Q$6:Q$255,'Trial Balance'!$C$6:$C$255,$A19)</f>
        <v>0</v>
      </c>
    </row>
    <row r="20" spans="1:16" x14ac:dyDescent="0.25">
      <c r="A20" s="94" t="s">
        <v>27</v>
      </c>
      <c r="B20" s="101" t="s">
        <v>395</v>
      </c>
      <c r="C20" s="101">
        <v>-1</v>
      </c>
      <c r="D20" s="121">
        <f>IF($B20="IS",0,SUMIFS('Trial Balance'!$E$6:$E$255,'Trial Balance'!$C$6:$C$255,$A20))</f>
        <v>0</v>
      </c>
      <c r="E20" s="121">
        <f>SUMIFS('Trial Balance'!F$6:F$255,'Trial Balance'!$C$6:$C$255,$A20)</f>
        <v>-1428</v>
      </c>
      <c r="F20" s="121">
        <f>SUMIFS('Trial Balance'!G$6:G$255,'Trial Balance'!$C$6:$C$255,$A20)</f>
        <v>-2861</v>
      </c>
      <c r="G20" s="121">
        <f>SUMIFS('Trial Balance'!H$6:H$255,'Trial Balance'!$C$6:$C$255,$A20)</f>
        <v>-4299</v>
      </c>
      <c r="H20" s="121">
        <f>SUMIFS('Trial Balance'!I$6:I$255,'Trial Balance'!$C$6:$C$255,$A20)</f>
        <v>-5741</v>
      </c>
      <c r="I20" s="121">
        <f>SUMIFS('Trial Balance'!J$6:J$255,'Trial Balance'!$C$6:$C$255,$A20)</f>
        <v>-7189</v>
      </c>
      <c r="J20" s="121">
        <f>SUMIFS('Trial Balance'!K$6:K$255,'Trial Balance'!$C$6:$C$255,$A20)</f>
        <v>-8641</v>
      </c>
      <c r="K20" s="121">
        <f>SUMIFS('Trial Balance'!L$6:L$255,'Trial Balance'!$C$6:$C$255,$A20)</f>
        <v>-10099</v>
      </c>
      <c r="L20" s="121">
        <f>SUMIFS('Trial Balance'!M$6:M$255,'Trial Balance'!$C$6:$C$255,$A20)</f>
        <v>-11561</v>
      </c>
      <c r="M20" s="121">
        <f>SUMIFS('Trial Balance'!N$6:N$255,'Trial Balance'!$C$6:$C$255,$A20)</f>
        <v>-13028</v>
      </c>
      <c r="N20" s="121">
        <f>SUMIFS('Trial Balance'!O$6:O$255,'Trial Balance'!$C$6:$C$255,$A20)</f>
        <v>-14500</v>
      </c>
      <c r="O20" s="121">
        <f>SUMIFS('Trial Balance'!P$6:P$255,'Trial Balance'!$C$6:$C$255,$A20)</f>
        <v>0</v>
      </c>
      <c r="P20" s="121">
        <f>SUMIFS('Trial Balance'!Q$6:Q$255,'Trial Balance'!$C$6:$C$255,$A20)</f>
        <v>0</v>
      </c>
    </row>
    <row r="21" spans="1:16" x14ac:dyDescent="0.25">
      <c r="A21" s="94" t="s">
        <v>28</v>
      </c>
      <c r="B21" s="101" t="s">
        <v>395</v>
      </c>
      <c r="C21" s="101">
        <v>1</v>
      </c>
      <c r="D21" s="121">
        <f>IF($B21="IS",0,SUMIFS('Trial Balance'!$E$6:$E$255,'Trial Balance'!$C$6:$C$255,$A21))</f>
        <v>0</v>
      </c>
      <c r="E21" s="121">
        <f>SUMIFS('Trial Balance'!F$6:F$255,'Trial Balance'!$C$6:$C$255,$A21)</f>
        <v>13260</v>
      </c>
      <c r="F21" s="121">
        <f>SUMIFS('Trial Balance'!G$6:G$255,'Trial Balance'!$C$6:$C$255,$A21)</f>
        <v>26180</v>
      </c>
      <c r="G21" s="121">
        <f>SUMIFS('Trial Balance'!H$6:H$255,'Trial Balance'!$C$6:$C$255,$A21)</f>
        <v>38760</v>
      </c>
      <c r="H21" s="121">
        <f>SUMIFS('Trial Balance'!I$6:I$255,'Trial Balance'!$C$6:$C$255,$A21)</f>
        <v>51000</v>
      </c>
      <c r="I21" s="121">
        <f>SUMIFS('Trial Balance'!J$6:J$255,'Trial Balance'!$C$6:$C$255,$A21)</f>
        <v>62900</v>
      </c>
      <c r="J21" s="121">
        <f>SUMIFS('Trial Balance'!K$6:K$255,'Trial Balance'!$C$6:$C$255,$A21)</f>
        <v>76310</v>
      </c>
      <c r="K21" s="121">
        <f>SUMIFS('Trial Balance'!L$6:L$255,'Trial Balance'!$C$6:$C$255,$A21)</f>
        <v>87530</v>
      </c>
      <c r="L21" s="121">
        <f>SUMIFS('Trial Balance'!M$6:M$255,'Trial Balance'!$C$6:$C$255,$A21)</f>
        <v>98410</v>
      </c>
      <c r="M21" s="121">
        <f>SUMIFS('Trial Balance'!N$6:N$255,'Trial Balance'!$C$6:$C$255,$A21)</f>
        <v>108950</v>
      </c>
      <c r="N21" s="121">
        <f>SUMIFS('Trial Balance'!O$6:O$255,'Trial Balance'!$C$6:$C$255,$A21)</f>
        <v>119150</v>
      </c>
      <c r="O21" s="121">
        <f>SUMIFS('Trial Balance'!P$6:P$255,'Trial Balance'!$C$6:$C$255,$A21)</f>
        <v>0</v>
      </c>
      <c r="P21" s="121">
        <f>SUMIFS('Trial Balance'!Q$6:Q$255,'Trial Balance'!$C$6:$C$255,$A21)</f>
        <v>0</v>
      </c>
    </row>
    <row r="22" spans="1:16" x14ac:dyDescent="0.25">
      <c r="A22" s="94" t="s">
        <v>30</v>
      </c>
      <c r="B22" s="101" t="s">
        <v>395</v>
      </c>
      <c r="C22" s="101">
        <v>1</v>
      </c>
      <c r="D22" s="121">
        <f>IF($B22="IS",0,SUMIFS('Trial Balance'!$E$6:$E$255,'Trial Balance'!$C$6:$C$255,$A22))</f>
        <v>0</v>
      </c>
      <c r="E22" s="121">
        <f>SUMIFS('Trial Balance'!F$6:F$255,'Trial Balance'!$C$6:$C$255,$A22)</f>
        <v>25222</v>
      </c>
      <c r="F22" s="121">
        <f>SUMIFS('Trial Balance'!G$6:G$255,'Trial Balance'!$C$6:$C$255,$A22)</f>
        <v>44594</v>
      </c>
      <c r="G22" s="121">
        <f>SUMIFS('Trial Balance'!H$6:H$255,'Trial Balance'!$C$6:$C$255,$A22)</f>
        <v>79231</v>
      </c>
      <c r="H22" s="121">
        <f>SUMIFS('Trial Balance'!I$6:I$255,'Trial Balance'!$C$6:$C$255,$A22)</f>
        <v>120348</v>
      </c>
      <c r="I22" s="121">
        <f>SUMIFS('Trial Balance'!J$6:J$255,'Trial Balance'!$C$6:$C$255,$A22)</f>
        <v>168574</v>
      </c>
      <c r="J22" s="121">
        <f>SUMIFS('Trial Balance'!K$6:K$255,'Trial Balance'!$C$6:$C$255,$A22)</f>
        <v>211699</v>
      </c>
      <c r="K22" s="121">
        <f>SUMIFS('Trial Balance'!L$6:L$255,'Trial Balance'!$C$6:$C$255,$A22)</f>
        <v>258169</v>
      </c>
      <c r="L22" s="121">
        <f>SUMIFS('Trial Balance'!M$6:M$255,'Trial Balance'!$C$6:$C$255,$A22)</f>
        <v>308354</v>
      </c>
      <c r="M22" s="121">
        <f>SUMIFS('Trial Balance'!N$6:N$255,'Trial Balance'!$C$6:$C$255,$A22)</f>
        <v>363205</v>
      </c>
      <c r="N22" s="121">
        <f>SUMIFS('Trial Balance'!O$6:O$255,'Trial Balance'!$C$6:$C$255,$A22)</f>
        <v>436051</v>
      </c>
      <c r="O22" s="121">
        <f>SUMIFS('Trial Balance'!P$6:P$255,'Trial Balance'!$C$6:$C$255,$A22)</f>
        <v>0</v>
      </c>
      <c r="P22" s="121">
        <f>SUMIFS('Trial Balance'!Q$6:Q$255,'Trial Balance'!$C$6:$C$255,$A22)</f>
        <v>0</v>
      </c>
    </row>
    <row r="23" spans="1:16" x14ac:dyDescent="0.25">
      <c r="A23" s="94" t="s">
        <v>267</v>
      </c>
      <c r="B23" s="101" t="s">
        <v>265</v>
      </c>
      <c r="C23" s="101">
        <v>1</v>
      </c>
      <c r="D23" s="121">
        <f>IF($B23="IS",0,SUMIFS('Trial Balance'!$E$6:$E$255,'Trial Balance'!$C$6:$C$255,$A23))</f>
        <v>2270000</v>
      </c>
      <c r="E23" s="121">
        <f>SUMIFS('Trial Balance'!F$6:F$255,'Trial Balance'!$C$6:$C$255,$A23)</f>
        <v>2233750</v>
      </c>
      <c r="F23" s="121">
        <f>SUMIFS('Trial Balance'!G$6:G$255,'Trial Balance'!$C$6:$C$255,$A23)</f>
        <v>2197500</v>
      </c>
      <c r="G23" s="121">
        <f>SUMIFS('Trial Balance'!H$6:H$255,'Trial Balance'!$C$6:$C$255,$A23)</f>
        <v>2161250</v>
      </c>
      <c r="H23" s="121">
        <f>SUMIFS('Trial Balance'!I$6:I$255,'Trial Balance'!$C$6:$C$255,$A23)</f>
        <v>2545000</v>
      </c>
      <c r="I23" s="121">
        <f>SUMIFS('Trial Balance'!J$6:J$255,'Trial Balance'!$C$6:$C$255,$A23)</f>
        <v>2504375</v>
      </c>
      <c r="J23" s="121">
        <f>SUMIFS('Trial Balance'!K$6:K$255,'Trial Balance'!$C$6:$C$255,$A23)</f>
        <v>2463750</v>
      </c>
      <c r="K23" s="121">
        <f>SUMIFS('Trial Balance'!L$6:L$255,'Trial Balance'!$C$6:$C$255,$A23)</f>
        <v>2423125</v>
      </c>
      <c r="L23" s="121">
        <f>SUMIFS('Trial Balance'!M$6:M$255,'Trial Balance'!$C$6:$C$255,$A23)</f>
        <v>2547500</v>
      </c>
      <c r="M23" s="121">
        <f>SUMIFS('Trial Balance'!N$6:N$255,'Trial Balance'!$C$6:$C$255,$A23)</f>
        <v>2505156</v>
      </c>
      <c r="N23" s="121">
        <f>SUMIFS('Trial Balance'!O$6:O$255,'Trial Balance'!$C$6:$C$255,$A23)</f>
        <v>2462812</v>
      </c>
      <c r="O23" s="121">
        <f>SUMIFS('Trial Balance'!P$6:P$255,'Trial Balance'!$C$6:$C$255,$A23)</f>
        <v>0</v>
      </c>
      <c r="P23" s="121">
        <f>SUMIFS('Trial Balance'!Q$6:Q$255,'Trial Balance'!$C$6:$C$255,$A23)</f>
        <v>0</v>
      </c>
    </row>
    <row r="24" spans="1:16" x14ac:dyDescent="0.25">
      <c r="A24" s="94" t="s">
        <v>270</v>
      </c>
      <c r="B24" s="101" t="s">
        <v>265</v>
      </c>
      <c r="C24" s="101">
        <v>1</v>
      </c>
      <c r="D24" s="121">
        <f>IF($B24="IS",0,SUMIFS('Trial Balance'!$E$6:$E$255,'Trial Balance'!$C$6:$C$255,$A24))</f>
        <v>240000</v>
      </c>
      <c r="E24" s="121">
        <f>SUMIFS('Trial Balance'!F$6:F$255,'Trial Balance'!$C$6:$C$255,$A24)</f>
        <v>235500</v>
      </c>
      <c r="F24" s="121">
        <f>SUMIFS('Trial Balance'!G$6:G$255,'Trial Balance'!$C$6:$C$255,$A24)</f>
        <v>231000</v>
      </c>
      <c r="G24" s="121">
        <f>SUMIFS('Trial Balance'!H$6:H$255,'Trial Balance'!$C$6:$C$255,$A24)</f>
        <v>226500</v>
      </c>
      <c r="H24" s="121">
        <f>SUMIFS('Trial Balance'!I$6:I$255,'Trial Balance'!$C$6:$C$255,$A24)</f>
        <v>222000</v>
      </c>
      <c r="I24" s="121">
        <f>SUMIFS('Trial Balance'!J$6:J$255,'Trial Balance'!$C$6:$C$255,$A24)</f>
        <v>217500</v>
      </c>
      <c r="J24" s="121">
        <f>SUMIFS('Trial Balance'!K$6:K$255,'Trial Balance'!$C$6:$C$255,$A24)</f>
        <v>213000</v>
      </c>
      <c r="K24" s="121">
        <f>SUMIFS('Trial Balance'!L$6:L$255,'Trial Balance'!$C$6:$C$255,$A24)</f>
        <v>208500</v>
      </c>
      <c r="L24" s="121">
        <f>SUMIFS('Trial Balance'!M$6:M$255,'Trial Balance'!$C$6:$C$255,$A24)</f>
        <v>204000</v>
      </c>
      <c r="M24" s="121">
        <f>SUMIFS('Trial Balance'!N$6:N$255,'Trial Balance'!$C$6:$C$255,$A24)</f>
        <v>199500</v>
      </c>
      <c r="N24" s="121">
        <f>SUMIFS('Trial Balance'!O$6:O$255,'Trial Balance'!$C$6:$C$255,$A24)</f>
        <v>195000</v>
      </c>
      <c r="O24" s="121">
        <f>SUMIFS('Trial Balance'!P$6:P$255,'Trial Balance'!$C$6:$C$255,$A24)</f>
        <v>0</v>
      </c>
      <c r="P24" s="121">
        <f>SUMIFS('Trial Balance'!Q$6:Q$255,'Trial Balance'!$C$6:$C$255,$A24)</f>
        <v>0</v>
      </c>
    </row>
    <row r="25" spans="1:16" x14ac:dyDescent="0.25">
      <c r="A25" s="94" t="s">
        <v>272</v>
      </c>
      <c r="B25" s="101" t="s">
        <v>265</v>
      </c>
      <c r="C25" s="101">
        <v>1</v>
      </c>
      <c r="D25" s="121">
        <f>IF($B25="IS",0,SUMIFS('Trial Balance'!$E$6:$E$255,'Trial Balance'!$C$6:$C$255,$A25))</f>
        <v>145000</v>
      </c>
      <c r="E25" s="121">
        <f>SUMIFS('Trial Balance'!F$6:F$255,'Trial Balance'!$C$6:$C$255,$A25)</f>
        <v>145000</v>
      </c>
      <c r="F25" s="121">
        <f>SUMIFS('Trial Balance'!G$6:G$255,'Trial Balance'!$C$6:$C$255,$A25)</f>
        <v>145000</v>
      </c>
      <c r="G25" s="121">
        <f>SUMIFS('Trial Balance'!H$6:H$255,'Trial Balance'!$C$6:$C$255,$A25)</f>
        <v>145000</v>
      </c>
      <c r="H25" s="121">
        <f>SUMIFS('Trial Balance'!I$6:I$255,'Trial Balance'!$C$6:$C$255,$A25)</f>
        <v>145000</v>
      </c>
      <c r="I25" s="121">
        <f>SUMIFS('Trial Balance'!J$6:J$255,'Trial Balance'!$C$6:$C$255,$A25)</f>
        <v>145000</v>
      </c>
      <c r="J25" s="121">
        <f>SUMIFS('Trial Balance'!K$6:K$255,'Trial Balance'!$C$6:$C$255,$A25)</f>
        <v>145000</v>
      </c>
      <c r="K25" s="121">
        <f>SUMIFS('Trial Balance'!L$6:L$255,'Trial Balance'!$C$6:$C$255,$A25)</f>
        <v>145000</v>
      </c>
      <c r="L25" s="121">
        <f>SUMIFS('Trial Balance'!M$6:M$255,'Trial Balance'!$C$6:$C$255,$A25)</f>
        <v>145000</v>
      </c>
      <c r="M25" s="121">
        <f>SUMIFS('Trial Balance'!N$6:N$255,'Trial Balance'!$C$6:$C$255,$A25)</f>
        <v>145000</v>
      </c>
      <c r="N25" s="121">
        <f>SUMIFS('Trial Balance'!O$6:O$255,'Trial Balance'!$C$6:$C$255,$A25)</f>
        <v>145000</v>
      </c>
      <c r="O25" s="121">
        <f>SUMIFS('Trial Balance'!P$6:P$255,'Trial Balance'!$C$6:$C$255,$A25)</f>
        <v>0</v>
      </c>
      <c r="P25" s="121">
        <f>SUMIFS('Trial Balance'!Q$6:Q$255,'Trial Balance'!$C$6:$C$255,$A25)</f>
        <v>0</v>
      </c>
    </row>
    <row r="26" spans="1:16" x14ac:dyDescent="0.25">
      <c r="A26" s="94" t="s">
        <v>274</v>
      </c>
      <c r="B26" s="101" t="s">
        <v>265</v>
      </c>
      <c r="C26" s="101">
        <v>1</v>
      </c>
      <c r="D26" s="121">
        <f>IF($B26="IS",0,SUMIFS('Trial Balance'!$E$6:$E$255,'Trial Balance'!$C$6:$C$255,$A26))</f>
        <v>1330000</v>
      </c>
      <c r="E26" s="121">
        <f>SUMIFS('Trial Balance'!F$6:F$255,'Trial Balance'!$C$6:$C$255,$A26)</f>
        <v>1113216</v>
      </c>
      <c r="F26" s="121">
        <f>SUMIFS('Trial Balance'!G$6:G$255,'Trial Balance'!$C$6:$C$255,$A26)</f>
        <v>1228261</v>
      </c>
      <c r="G26" s="121">
        <f>SUMIFS('Trial Balance'!H$6:H$255,'Trial Balance'!$C$6:$C$255,$A26)</f>
        <v>1281382</v>
      </c>
      <c r="H26" s="121">
        <f>SUMIFS('Trial Balance'!I$6:I$255,'Trial Balance'!$C$6:$C$255,$A26)</f>
        <v>1338500</v>
      </c>
      <c r="I26" s="121">
        <f>SUMIFS('Trial Balance'!J$6:J$255,'Trial Balance'!$C$6:$C$255,$A26)</f>
        <v>1345114</v>
      </c>
      <c r="J26" s="121">
        <f>SUMIFS('Trial Balance'!K$6:K$255,'Trial Balance'!$C$6:$C$255,$A26)</f>
        <v>1364495</v>
      </c>
      <c r="K26" s="121">
        <f>SUMIFS('Trial Balance'!L$6:L$255,'Trial Balance'!$C$6:$C$255,$A26)</f>
        <v>1427001</v>
      </c>
      <c r="L26" s="121">
        <f>SUMIFS('Trial Balance'!M$6:M$255,'Trial Balance'!$C$6:$C$255,$A26)</f>
        <v>1507227</v>
      </c>
      <c r="M26" s="121">
        <f>SUMIFS('Trial Balance'!N$6:N$255,'Trial Balance'!$C$6:$C$255,$A26)</f>
        <v>1591730</v>
      </c>
      <c r="N26" s="121">
        <f>SUMIFS('Trial Balance'!O$6:O$255,'Trial Balance'!$C$6:$C$255,$A26)</f>
        <v>1688315</v>
      </c>
      <c r="O26" s="121">
        <f>SUMIFS('Trial Balance'!P$6:P$255,'Trial Balance'!$C$6:$C$255,$A26)</f>
        <v>0</v>
      </c>
      <c r="P26" s="121">
        <f>SUMIFS('Trial Balance'!Q$6:Q$255,'Trial Balance'!$C$6:$C$255,$A26)</f>
        <v>0</v>
      </c>
    </row>
    <row r="27" spans="1:16" x14ac:dyDescent="0.25">
      <c r="A27" s="94" t="s">
        <v>264</v>
      </c>
      <c r="B27" s="101" t="s">
        <v>265</v>
      </c>
      <c r="C27" s="101">
        <v>1</v>
      </c>
      <c r="D27" s="121">
        <f>IF($B27="IS",0,SUMIFS('Trial Balance'!$E$6:$E$255,'Trial Balance'!$C$6:$C$255,$A27))</f>
        <v>2180000</v>
      </c>
      <c r="E27" s="121">
        <f>SUMIFS('Trial Balance'!F$6:F$255,'Trial Balance'!$C$6:$C$255,$A27)</f>
        <v>1989110</v>
      </c>
      <c r="F27" s="121">
        <f>SUMIFS('Trial Balance'!G$6:G$255,'Trial Balance'!$C$6:$C$255,$A27)</f>
        <v>2004471</v>
      </c>
      <c r="G27" s="121">
        <f>SUMIFS('Trial Balance'!H$6:H$255,'Trial Balance'!$C$6:$C$255,$A27)</f>
        <v>2140768</v>
      </c>
      <c r="H27" s="121">
        <f>SUMIFS('Trial Balance'!I$6:I$255,'Trial Balance'!$C$6:$C$255,$A27)</f>
        <v>2251950</v>
      </c>
      <c r="I27" s="121">
        <f>SUMIFS('Trial Balance'!J$6:J$255,'Trial Balance'!$C$6:$C$255,$A27)</f>
        <v>2335809</v>
      </c>
      <c r="J27" s="121">
        <f>SUMIFS('Trial Balance'!K$6:K$255,'Trial Balance'!$C$6:$C$255,$A27)</f>
        <v>2358468</v>
      </c>
      <c r="K27" s="121">
        <f>SUMIFS('Trial Balance'!L$6:L$255,'Trial Balance'!$C$6:$C$255,$A27)</f>
        <v>2370629</v>
      </c>
      <c r="L27" s="121">
        <f>SUMIFS('Trial Balance'!M$6:M$255,'Trial Balance'!$C$6:$C$255,$A27)</f>
        <v>2441093</v>
      </c>
      <c r="M27" s="121">
        <f>SUMIFS('Trial Balance'!N$6:N$255,'Trial Balance'!$C$6:$C$255,$A27)</f>
        <v>2554294</v>
      </c>
      <c r="N27" s="121">
        <f>SUMIFS('Trial Balance'!O$6:O$255,'Trial Balance'!$C$6:$C$255,$A27)</f>
        <v>2680556</v>
      </c>
      <c r="O27" s="121">
        <f>SUMIFS('Trial Balance'!P$6:P$255,'Trial Balance'!$C$6:$C$255,$A27)</f>
        <v>0</v>
      </c>
      <c r="P27" s="121">
        <f>SUMIFS('Trial Balance'!Q$6:Q$255,'Trial Balance'!$C$6:$C$255,$A27)</f>
        <v>0</v>
      </c>
    </row>
    <row r="28" spans="1:16" x14ac:dyDescent="0.25">
      <c r="A28" s="94" t="s">
        <v>277</v>
      </c>
      <c r="B28" s="101" t="s">
        <v>265</v>
      </c>
      <c r="C28" s="101">
        <v>1</v>
      </c>
      <c r="D28" s="121">
        <f>IF($B28="IS",0,SUMIFS('Trial Balance'!$E$6:$E$255,'Trial Balance'!$C$6:$C$255,$A28))</f>
        <v>133000</v>
      </c>
      <c r="E28" s="121">
        <f>SUMIFS('Trial Balance'!F$6:F$255,'Trial Balance'!$C$6:$C$255,$A28)</f>
        <v>139000</v>
      </c>
      <c r="F28" s="121">
        <f>SUMIFS('Trial Balance'!G$6:G$255,'Trial Balance'!$C$6:$C$255,$A28)</f>
        <v>144049</v>
      </c>
      <c r="G28" s="121">
        <f>SUMIFS('Trial Balance'!H$6:H$255,'Trial Balance'!$C$6:$C$255,$A28)</f>
        <v>144456</v>
      </c>
      <c r="H28" s="121">
        <f>SUMIFS('Trial Balance'!I$6:I$255,'Trial Balance'!$C$6:$C$255,$A28)</f>
        <v>139847</v>
      </c>
      <c r="I28" s="121">
        <f>SUMIFS('Trial Balance'!J$6:J$255,'Trial Balance'!$C$6:$C$255,$A28)</f>
        <v>134459</v>
      </c>
      <c r="J28" s="121">
        <f>SUMIFS('Trial Balance'!K$6:K$255,'Trial Balance'!$C$6:$C$255,$A28)</f>
        <v>133246</v>
      </c>
      <c r="K28" s="121">
        <f>SUMIFS('Trial Balance'!L$6:L$255,'Trial Balance'!$C$6:$C$255,$A28)</f>
        <v>137324</v>
      </c>
      <c r="L28" s="121">
        <f>SUMIFS('Trial Balance'!M$6:M$255,'Trial Balance'!$C$6:$C$255,$A28)</f>
        <v>142942</v>
      </c>
      <c r="M28" s="121">
        <f>SUMIFS('Trial Balance'!N$6:N$255,'Trial Balance'!$C$6:$C$255,$A28)</f>
        <v>144936</v>
      </c>
      <c r="N28" s="121">
        <f>SUMIFS('Trial Balance'!O$6:O$255,'Trial Balance'!$C$6:$C$255,$A28)</f>
        <v>141473</v>
      </c>
      <c r="O28" s="121">
        <f>SUMIFS('Trial Balance'!P$6:P$255,'Trial Balance'!$C$6:$C$255,$A28)</f>
        <v>0</v>
      </c>
      <c r="P28" s="121">
        <f>SUMIFS('Trial Balance'!Q$6:Q$255,'Trial Balance'!$C$6:$C$255,$A28)</f>
        <v>0</v>
      </c>
    </row>
    <row r="29" spans="1:16" x14ac:dyDescent="0.25">
      <c r="A29" s="94" t="s">
        <v>280</v>
      </c>
      <c r="B29" s="101" t="s">
        <v>265</v>
      </c>
      <c r="C29" s="101">
        <v>1</v>
      </c>
      <c r="D29" s="121">
        <f>IF($B29="IS",0,SUMIFS('Trial Balance'!$E$6:$E$255,'Trial Balance'!$C$6:$C$255,$A29))</f>
        <v>2572500</v>
      </c>
      <c r="E29" s="121">
        <f>SUMIFS('Trial Balance'!F$6:F$255,'Trial Balance'!$C$6:$C$255,$A29)</f>
        <v>2884733</v>
      </c>
      <c r="F29" s="121">
        <f>SUMIFS('Trial Balance'!G$6:G$255,'Trial Balance'!$C$6:$C$255,$A29)</f>
        <v>2823115</v>
      </c>
      <c r="G29" s="121">
        <f>SUMIFS('Trial Balance'!H$6:H$255,'Trial Balance'!$C$6:$C$255,$A29)</f>
        <v>2716806</v>
      </c>
      <c r="H29" s="121">
        <f>SUMIFS('Trial Balance'!I$6:I$255,'Trial Balance'!$C$6:$C$255,$A29)</f>
        <v>2070781</v>
      </c>
      <c r="I29" s="121">
        <f>SUMIFS('Trial Balance'!J$6:J$255,'Trial Balance'!$C$6:$C$255,$A29)</f>
        <v>1960492</v>
      </c>
      <c r="J29" s="121">
        <f>SUMIFS('Trial Balance'!K$6:K$255,'Trial Balance'!$C$6:$C$255,$A29)</f>
        <v>1928069</v>
      </c>
      <c r="K29" s="121">
        <f>SUMIFS('Trial Balance'!L$6:L$255,'Trial Balance'!$C$6:$C$255,$A29)</f>
        <v>1976056</v>
      </c>
      <c r="L29" s="121">
        <f>SUMIFS('Trial Balance'!M$6:M$255,'Trial Balance'!$C$6:$C$255,$A29)</f>
        <v>1899026</v>
      </c>
      <c r="M29" s="121">
        <f>SUMIFS('Trial Balance'!N$6:N$255,'Trial Balance'!$C$6:$C$255,$A29)</f>
        <v>1811757</v>
      </c>
      <c r="N29" s="121">
        <f>SUMIFS('Trial Balance'!O$6:O$255,'Trial Balance'!$C$6:$C$255,$A29)</f>
        <v>1922964</v>
      </c>
      <c r="O29" s="121">
        <f>SUMIFS('Trial Balance'!P$6:P$255,'Trial Balance'!$C$6:$C$255,$A29)</f>
        <v>0</v>
      </c>
      <c r="P29" s="121">
        <f>SUMIFS('Trial Balance'!Q$6:Q$255,'Trial Balance'!$C$6:$C$255,$A29)</f>
        <v>0</v>
      </c>
    </row>
    <row r="30" spans="1:16" x14ac:dyDescent="0.25">
      <c r="A30" s="94" t="s">
        <v>302</v>
      </c>
      <c r="B30" s="101" t="s">
        <v>265</v>
      </c>
      <c r="C30" s="101">
        <v>-1</v>
      </c>
      <c r="D30" s="121">
        <f>IF($B30="IS",0,SUMIFS('Trial Balance'!$E$6:$E$255,'Trial Balance'!$C$6:$C$255,$A30))</f>
        <v>-1000</v>
      </c>
      <c r="E30" s="121">
        <f>SUMIFS('Trial Balance'!F$6:F$255,'Trial Balance'!$C$6:$C$255,$A30)</f>
        <v>-1000</v>
      </c>
      <c r="F30" s="121">
        <f>SUMIFS('Trial Balance'!G$6:G$255,'Trial Balance'!$C$6:$C$255,$A30)</f>
        <v>-1000</v>
      </c>
      <c r="G30" s="121">
        <f>SUMIFS('Trial Balance'!H$6:H$255,'Trial Balance'!$C$6:$C$255,$A30)</f>
        <v>-1000</v>
      </c>
      <c r="H30" s="121">
        <f>SUMIFS('Trial Balance'!I$6:I$255,'Trial Balance'!$C$6:$C$255,$A30)</f>
        <v>-1000</v>
      </c>
      <c r="I30" s="121">
        <f>SUMIFS('Trial Balance'!J$6:J$255,'Trial Balance'!$C$6:$C$255,$A30)</f>
        <v>-1000</v>
      </c>
      <c r="J30" s="121">
        <f>SUMIFS('Trial Balance'!K$6:K$255,'Trial Balance'!$C$6:$C$255,$A30)</f>
        <v>-1000</v>
      </c>
      <c r="K30" s="121">
        <f>SUMIFS('Trial Balance'!L$6:L$255,'Trial Balance'!$C$6:$C$255,$A30)</f>
        <v>-1000</v>
      </c>
      <c r="L30" s="121">
        <f>SUMIFS('Trial Balance'!M$6:M$255,'Trial Balance'!$C$6:$C$255,$A30)</f>
        <v>-1000</v>
      </c>
      <c r="M30" s="121">
        <f>SUMIFS('Trial Balance'!N$6:N$255,'Trial Balance'!$C$6:$C$255,$A30)</f>
        <v>-1000</v>
      </c>
      <c r="N30" s="121">
        <f>SUMIFS('Trial Balance'!O$6:O$255,'Trial Balance'!$C$6:$C$255,$A30)</f>
        <v>-1000</v>
      </c>
      <c r="O30" s="121">
        <f>SUMIFS('Trial Balance'!P$6:P$255,'Trial Balance'!$C$6:$C$255,$A30)</f>
        <v>0</v>
      </c>
      <c r="P30" s="121">
        <f>SUMIFS('Trial Balance'!Q$6:Q$255,'Trial Balance'!$C$6:$C$255,$A30)</f>
        <v>0</v>
      </c>
    </row>
    <row r="31" spans="1:16" x14ac:dyDescent="0.25">
      <c r="A31" s="94" t="s">
        <v>304</v>
      </c>
      <c r="B31" s="101" t="s">
        <v>265</v>
      </c>
      <c r="C31" s="101">
        <v>-1</v>
      </c>
      <c r="D31" s="121">
        <f>IF($B31="IS",0,SUMIFS('Trial Balance'!$E$6:$E$255,'Trial Balance'!$C$6:$C$255,$A31))</f>
        <v>-4402700</v>
      </c>
      <c r="E31" s="121">
        <f>SUMIFS('Trial Balance'!F$6:F$255,'Trial Balance'!$C$6:$C$255,$A31)</f>
        <v>-4402700</v>
      </c>
      <c r="F31" s="121">
        <f>SUMIFS('Trial Balance'!G$6:G$255,'Trial Balance'!$C$6:$C$255,$A31)</f>
        <v>-4402700</v>
      </c>
      <c r="G31" s="121">
        <f>SUMIFS('Trial Balance'!H$6:H$255,'Trial Balance'!$C$6:$C$255,$A31)</f>
        <v>-4402700</v>
      </c>
      <c r="H31" s="121">
        <f>SUMIFS('Trial Balance'!I$6:I$255,'Trial Balance'!$C$6:$C$255,$A31)</f>
        <v>-4402700</v>
      </c>
      <c r="I31" s="121">
        <f>SUMIFS('Trial Balance'!J$6:J$255,'Trial Balance'!$C$6:$C$255,$A31)</f>
        <v>-4402700</v>
      </c>
      <c r="J31" s="121">
        <f>SUMIFS('Trial Balance'!K$6:K$255,'Trial Balance'!$C$6:$C$255,$A31)</f>
        <v>-4402700</v>
      </c>
      <c r="K31" s="121">
        <f>SUMIFS('Trial Balance'!L$6:L$255,'Trial Balance'!$C$6:$C$255,$A31)</f>
        <v>-4402700</v>
      </c>
      <c r="L31" s="121">
        <f>SUMIFS('Trial Balance'!M$6:M$255,'Trial Balance'!$C$6:$C$255,$A31)</f>
        <v>-4402700</v>
      </c>
      <c r="M31" s="121">
        <f>SUMIFS('Trial Balance'!N$6:N$255,'Trial Balance'!$C$6:$C$255,$A31)</f>
        <v>-4402700</v>
      </c>
      <c r="N31" s="121">
        <f>SUMIFS('Trial Balance'!O$6:O$255,'Trial Balance'!$C$6:$C$255,$A31)</f>
        <v>-4402700</v>
      </c>
      <c r="O31" s="121">
        <f>SUMIFS('Trial Balance'!P$6:P$255,'Trial Balance'!$C$6:$C$255,$A31)</f>
        <v>0</v>
      </c>
      <c r="P31" s="121">
        <f>SUMIFS('Trial Balance'!Q$6:Q$255,'Trial Balance'!$C$6:$C$255,$A31)</f>
        <v>0</v>
      </c>
    </row>
    <row r="32" spans="1:16" x14ac:dyDescent="0.25">
      <c r="A32" s="94" t="s">
        <v>306</v>
      </c>
      <c r="B32" s="101" t="s">
        <v>265</v>
      </c>
      <c r="C32" s="101">
        <v>-1</v>
      </c>
      <c r="D32" s="121">
        <f>IF($B32="IS",0,SUMIFS('Trial Balance'!$E$6:$E$255,'Trial Balance'!$C$6:$C$255,$A32))</f>
        <v>0</v>
      </c>
      <c r="E32" s="121">
        <f>SUMIFS('Trial Balance'!F$6:F$255,'Trial Balance'!$C$6:$C$255,$A32)</f>
        <v>0</v>
      </c>
      <c r="F32" s="121">
        <f>SUMIFS('Trial Balance'!G$6:G$255,'Trial Balance'!$C$6:$C$255,$A32)</f>
        <v>0</v>
      </c>
      <c r="G32" s="121">
        <f>SUMIFS('Trial Balance'!H$6:H$255,'Trial Balance'!$C$6:$C$255,$A32)</f>
        <v>0</v>
      </c>
      <c r="H32" s="121">
        <f>SUMIFS('Trial Balance'!I$6:I$255,'Trial Balance'!$C$6:$C$255,$A32)</f>
        <v>0</v>
      </c>
      <c r="I32" s="121">
        <f>SUMIFS('Trial Balance'!J$6:J$255,'Trial Balance'!$C$6:$C$255,$A32)</f>
        <v>260000</v>
      </c>
      <c r="J32" s="121">
        <f>SUMIFS('Trial Balance'!K$6:K$255,'Trial Balance'!$C$6:$C$255,$A32)</f>
        <v>260000</v>
      </c>
      <c r="K32" s="121">
        <f>SUMIFS('Trial Balance'!L$6:L$255,'Trial Balance'!$C$6:$C$255,$A32)</f>
        <v>260000</v>
      </c>
      <c r="L32" s="121">
        <f>SUMIFS('Trial Balance'!M$6:M$255,'Trial Balance'!$C$6:$C$255,$A32)</f>
        <v>260000</v>
      </c>
      <c r="M32" s="121">
        <f>SUMIFS('Trial Balance'!N$6:N$255,'Trial Balance'!$C$6:$C$255,$A32)</f>
        <v>260000</v>
      </c>
      <c r="N32" s="121">
        <f>SUMIFS('Trial Balance'!O$6:O$255,'Trial Balance'!$C$6:$C$255,$A32)</f>
        <v>260000</v>
      </c>
      <c r="O32" s="121">
        <f>SUMIFS('Trial Balance'!P$6:P$255,'Trial Balance'!$C$6:$C$255,$A32)</f>
        <v>0</v>
      </c>
      <c r="P32" s="121">
        <f>SUMIFS('Trial Balance'!Q$6:Q$255,'Trial Balance'!$C$6:$C$255,$A32)</f>
        <v>0</v>
      </c>
    </row>
    <row r="33" spans="1:16" x14ac:dyDescent="0.25">
      <c r="A33" s="94" t="s">
        <v>299</v>
      </c>
      <c r="B33" s="101" t="s">
        <v>265</v>
      </c>
      <c r="C33" s="101">
        <v>-1</v>
      </c>
      <c r="D33" s="121">
        <f>IF($B33="IS",0,SUMIFS('Trial Balance'!$E$6:$E$255,'Trial Balance'!$C$6:$C$255,$A33))</f>
        <v>-1980000</v>
      </c>
      <c r="E33" s="121">
        <f>SUMIFS('Trial Balance'!F$6:F$255,'Trial Balance'!$C$6:$C$255,$A33)</f>
        <v>-1950000</v>
      </c>
      <c r="F33" s="121">
        <f>SUMIFS('Trial Balance'!G$6:G$255,'Trial Balance'!$C$6:$C$255,$A33)</f>
        <v>-1920000</v>
      </c>
      <c r="G33" s="121">
        <f>SUMIFS('Trial Balance'!H$6:H$255,'Trial Balance'!$C$6:$C$255,$A33)</f>
        <v>-1890000</v>
      </c>
      <c r="H33" s="121">
        <f>SUMIFS('Trial Balance'!I$6:I$255,'Trial Balance'!$C$6:$C$255,$A33)</f>
        <v>-1860000</v>
      </c>
      <c r="I33" s="121">
        <f>SUMIFS('Trial Balance'!J$6:J$255,'Trial Balance'!$C$6:$C$255,$A33)</f>
        <v>-1830000</v>
      </c>
      <c r="J33" s="121">
        <f>SUMIFS('Trial Balance'!K$6:K$255,'Trial Balance'!$C$6:$C$255,$A33)</f>
        <v>-1800000</v>
      </c>
      <c r="K33" s="121">
        <f>SUMIFS('Trial Balance'!L$6:L$255,'Trial Balance'!$C$6:$C$255,$A33)</f>
        <v>-1770000</v>
      </c>
      <c r="L33" s="121">
        <f>SUMIFS('Trial Balance'!M$6:M$255,'Trial Balance'!$C$6:$C$255,$A33)</f>
        <v>-1740000</v>
      </c>
      <c r="M33" s="121">
        <f>SUMIFS('Trial Balance'!N$6:N$255,'Trial Balance'!$C$6:$C$255,$A33)</f>
        <v>-1710000</v>
      </c>
      <c r="N33" s="121">
        <f>SUMIFS('Trial Balance'!O$6:O$255,'Trial Balance'!$C$6:$C$255,$A33)</f>
        <v>-1680000</v>
      </c>
      <c r="O33" s="121">
        <f>SUMIFS('Trial Balance'!P$6:P$255,'Trial Balance'!$C$6:$C$255,$A33)</f>
        <v>0</v>
      </c>
      <c r="P33" s="121">
        <f>SUMIFS('Trial Balance'!Q$6:Q$255,'Trial Balance'!$C$6:$C$255,$A33)</f>
        <v>0</v>
      </c>
    </row>
    <row r="34" spans="1:16" x14ac:dyDescent="0.25">
      <c r="A34" s="94" t="s">
        <v>301</v>
      </c>
      <c r="B34" s="101" t="s">
        <v>265</v>
      </c>
      <c r="C34" s="101">
        <v>-1</v>
      </c>
      <c r="D34" s="121">
        <f>IF($B34="IS",0,SUMIFS('Trial Balance'!$E$6:$E$255,'Trial Balance'!$C$6:$C$255,$A34))</f>
        <v>-450000</v>
      </c>
      <c r="E34" s="121">
        <f>SUMIFS('Trial Balance'!F$6:F$255,'Trial Balance'!$C$6:$C$255,$A34)</f>
        <v>-450000</v>
      </c>
      <c r="F34" s="121">
        <f>SUMIFS('Trial Balance'!G$6:G$255,'Trial Balance'!$C$6:$C$255,$A34)</f>
        <v>-450000</v>
      </c>
      <c r="G34" s="121">
        <f>SUMIFS('Trial Balance'!H$6:H$255,'Trial Balance'!$C$6:$C$255,$A34)</f>
        <v>-450000</v>
      </c>
      <c r="H34" s="121">
        <f>SUMIFS('Trial Balance'!I$6:I$255,'Trial Balance'!$C$6:$C$255,$A34)</f>
        <v>-450000</v>
      </c>
      <c r="I34" s="121">
        <f>SUMIFS('Trial Balance'!J$6:J$255,'Trial Balance'!$C$6:$C$255,$A34)</f>
        <v>-450000</v>
      </c>
      <c r="J34" s="121">
        <f>SUMIFS('Trial Balance'!K$6:K$255,'Trial Balance'!$C$6:$C$255,$A34)</f>
        <v>-450000</v>
      </c>
      <c r="K34" s="121">
        <f>SUMIFS('Trial Balance'!L$6:L$255,'Trial Balance'!$C$6:$C$255,$A34)</f>
        <v>-400000</v>
      </c>
      <c r="L34" s="121">
        <f>SUMIFS('Trial Balance'!M$6:M$255,'Trial Balance'!$C$6:$C$255,$A34)</f>
        <v>-400000</v>
      </c>
      <c r="M34" s="121">
        <f>SUMIFS('Trial Balance'!N$6:N$255,'Trial Balance'!$C$6:$C$255,$A34)</f>
        <v>-400000</v>
      </c>
      <c r="N34" s="121">
        <f>SUMIFS('Trial Balance'!O$6:O$255,'Trial Balance'!$C$6:$C$255,$A34)</f>
        <v>-400000</v>
      </c>
      <c r="O34" s="121">
        <f>SUMIFS('Trial Balance'!P$6:P$255,'Trial Balance'!$C$6:$C$255,$A34)</f>
        <v>0</v>
      </c>
      <c r="P34" s="121">
        <f>SUMIFS('Trial Balance'!Q$6:Q$255,'Trial Balance'!$C$6:$C$255,$A34)</f>
        <v>0</v>
      </c>
    </row>
    <row r="35" spans="1:16" x14ac:dyDescent="0.25">
      <c r="A35" s="94" t="s">
        <v>284</v>
      </c>
      <c r="B35" s="101" t="s">
        <v>265</v>
      </c>
      <c r="C35" s="101">
        <v>-1</v>
      </c>
      <c r="D35" s="121">
        <f>IF($B35="IS",0,SUMIFS('Trial Balance'!$E$6:$E$255,'Trial Balance'!$C$6:$C$255,$A35))</f>
        <v>-1020000</v>
      </c>
      <c r="E35" s="121">
        <f>SUMIFS('Trial Balance'!F$6:F$255,'Trial Balance'!$C$6:$C$255,$A35)</f>
        <v>-876861</v>
      </c>
      <c r="F35" s="121">
        <f>SUMIFS('Trial Balance'!G$6:G$255,'Trial Balance'!$C$6:$C$255,$A35)</f>
        <v>-869498</v>
      </c>
      <c r="G35" s="121">
        <f>SUMIFS('Trial Balance'!H$6:H$255,'Trial Balance'!$C$6:$C$255,$A35)</f>
        <v>-948181</v>
      </c>
      <c r="H35" s="121">
        <f>SUMIFS('Trial Balance'!I$6:I$255,'Trial Balance'!$C$6:$C$255,$A35)</f>
        <v>-977795</v>
      </c>
      <c r="I35" s="121">
        <f>SUMIFS('Trial Balance'!J$6:J$255,'Trial Balance'!$C$6:$C$255,$A35)</f>
        <v>-1009747</v>
      </c>
      <c r="J35" s="121">
        <f>SUMIFS('Trial Balance'!K$6:K$255,'Trial Balance'!$C$6:$C$255,$A35)</f>
        <v>-1003307</v>
      </c>
      <c r="K35" s="121">
        <f>SUMIFS('Trial Balance'!L$6:L$255,'Trial Balance'!$C$6:$C$255,$A35)</f>
        <v>-1006424</v>
      </c>
      <c r="L35" s="121">
        <f>SUMIFS('Trial Balance'!M$6:M$255,'Trial Balance'!$C$6:$C$255,$A35)</f>
        <v>-1040927</v>
      </c>
      <c r="M35" s="121">
        <f>SUMIFS('Trial Balance'!N$6:N$255,'Trial Balance'!$C$6:$C$255,$A35)</f>
        <v>-1087460</v>
      </c>
      <c r="N35" s="121">
        <f>SUMIFS('Trial Balance'!O$6:O$255,'Trial Balance'!$C$6:$C$255,$A35)</f>
        <v>-1136039</v>
      </c>
      <c r="O35" s="121">
        <f>SUMIFS('Trial Balance'!P$6:P$255,'Trial Balance'!$C$6:$C$255,$A35)</f>
        <v>0</v>
      </c>
      <c r="P35" s="121">
        <f>SUMIFS('Trial Balance'!Q$6:Q$255,'Trial Balance'!$C$6:$C$255,$A35)</f>
        <v>0</v>
      </c>
    </row>
    <row r="36" spans="1:16" x14ac:dyDescent="0.25">
      <c r="A36" s="94" t="s">
        <v>286</v>
      </c>
      <c r="B36" s="101" t="s">
        <v>265</v>
      </c>
      <c r="C36" s="101">
        <v>-1</v>
      </c>
      <c r="D36" s="121">
        <f>IF($B36="IS",0,SUMIFS('Trial Balance'!$E$6:$E$255,'Trial Balance'!$C$6:$C$255,$A36))</f>
        <v>-268000</v>
      </c>
      <c r="E36" s="121">
        <f>SUMIFS('Trial Balance'!F$6:F$255,'Trial Balance'!$C$6:$C$255,$A36)</f>
        <v>-242000</v>
      </c>
      <c r="F36" s="121">
        <f>SUMIFS('Trial Balance'!G$6:G$255,'Trial Balance'!$C$6:$C$255,$A36)</f>
        <v>-265000</v>
      </c>
      <c r="G36" s="121">
        <f>SUMIFS('Trial Balance'!H$6:H$255,'Trial Balance'!$C$6:$C$255,$A36)</f>
        <v>-148000</v>
      </c>
      <c r="H36" s="121">
        <f>SUMIFS('Trial Balance'!I$6:I$255,'Trial Balance'!$C$6:$C$255,$A36)</f>
        <v>-150000</v>
      </c>
      <c r="I36" s="121">
        <f>SUMIFS('Trial Balance'!J$6:J$255,'Trial Balance'!$C$6:$C$255,$A36)</f>
        <v>-173000</v>
      </c>
      <c r="J36" s="121">
        <f>SUMIFS('Trial Balance'!K$6:K$255,'Trial Balance'!$C$6:$C$255,$A36)</f>
        <v>-196000</v>
      </c>
      <c r="K36" s="121">
        <f>SUMIFS('Trial Balance'!L$6:L$255,'Trial Balance'!$C$6:$C$255,$A36)</f>
        <v>-198000</v>
      </c>
      <c r="L36" s="121">
        <f>SUMIFS('Trial Balance'!M$6:M$255,'Trial Balance'!$C$6:$C$255,$A36)</f>
        <v>-221000</v>
      </c>
      <c r="M36" s="121">
        <f>SUMIFS('Trial Balance'!N$6:N$255,'Trial Balance'!$C$6:$C$255,$A36)</f>
        <v>-244000</v>
      </c>
      <c r="N36" s="121">
        <f>SUMIFS('Trial Balance'!O$6:O$255,'Trial Balance'!$C$6:$C$255,$A36)</f>
        <v>-246000</v>
      </c>
      <c r="O36" s="121">
        <f>SUMIFS('Trial Balance'!P$6:P$255,'Trial Balance'!$C$6:$C$255,$A36)</f>
        <v>0</v>
      </c>
      <c r="P36" s="121">
        <f>SUMIFS('Trial Balance'!Q$6:Q$255,'Trial Balance'!$C$6:$C$255,$A36)</f>
        <v>0</v>
      </c>
    </row>
    <row r="37" spans="1:16" x14ac:dyDescent="0.25">
      <c r="A37" s="94" t="s">
        <v>289</v>
      </c>
      <c r="B37" s="101" t="s">
        <v>265</v>
      </c>
      <c r="C37" s="101">
        <v>-1</v>
      </c>
      <c r="D37" s="121">
        <f>IF($B37="IS",0,SUMIFS('Trial Balance'!$E$6:$E$255,'Trial Balance'!$C$6:$C$255,$A37))</f>
        <v>-31000</v>
      </c>
      <c r="E37" s="121">
        <f>SUMIFS('Trial Balance'!F$6:F$255,'Trial Balance'!$C$6:$C$255,$A37)</f>
        <v>-28648</v>
      </c>
      <c r="F37" s="121">
        <f>SUMIFS('Trial Balance'!G$6:G$255,'Trial Balance'!$C$6:$C$255,$A37)</f>
        <v>-28348</v>
      </c>
      <c r="G37" s="121">
        <f>SUMIFS('Trial Balance'!H$6:H$255,'Trial Balance'!$C$6:$C$255,$A37)</f>
        <v>-30848</v>
      </c>
      <c r="H37" s="121">
        <f>SUMIFS('Trial Balance'!I$6:I$255,'Trial Balance'!$C$6:$C$255,$A37)</f>
        <v>-31745</v>
      </c>
      <c r="I37" s="121">
        <f>SUMIFS('Trial Balance'!J$6:J$255,'Trial Balance'!$C$6:$C$255,$A37)</f>
        <v>-32714</v>
      </c>
      <c r="J37" s="121">
        <f>SUMIFS('Trial Balance'!K$6:K$255,'Trial Balance'!$C$6:$C$255,$A37)</f>
        <v>-32438</v>
      </c>
      <c r="K37" s="121">
        <f>SUMIFS('Trial Balance'!L$6:L$255,'Trial Balance'!$C$6:$C$255,$A37)</f>
        <v>-32471</v>
      </c>
      <c r="L37" s="121">
        <f>SUMIFS('Trial Balance'!M$6:M$255,'Trial Balance'!$C$6:$C$255,$A37)</f>
        <v>-33514</v>
      </c>
      <c r="M37" s="121">
        <f>SUMIFS('Trial Balance'!N$6:N$255,'Trial Balance'!$C$6:$C$255,$A37)</f>
        <v>-34940</v>
      </c>
      <c r="N37" s="121">
        <f>SUMIFS('Trial Balance'!O$6:O$255,'Trial Balance'!$C$6:$C$255,$A37)</f>
        <v>-36426</v>
      </c>
      <c r="O37" s="121">
        <f>SUMIFS('Trial Balance'!P$6:P$255,'Trial Balance'!$C$6:$C$255,$A37)</f>
        <v>0</v>
      </c>
      <c r="P37" s="121">
        <f>SUMIFS('Trial Balance'!Q$6:Q$255,'Trial Balance'!$C$6:$C$255,$A37)</f>
        <v>0</v>
      </c>
    </row>
    <row r="38" spans="1:16" x14ac:dyDescent="0.25">
      <c r="A38" s="94" t="s">
        <v>291</v>
      </c>
      <c r="B38" s="101" t="s">
        <v>265</v>
      </c>
      <c r="C38" s="101">
        <v>-1</v>
      </c>
      <c r="D38" s="121">
        <f>IF($B38="IS",0,SUMIFS('Trial Balance'!$E$6:$E$255,'Trial Balance'!$C$6:$C$255,$A38))</f>
        <v>-47800</v>
      </c>
      <c r="E38" s="121">
        <f>SUMIFS('Trial Balance'!F$6:F$255,'Trial Balance'!$C$6:$C$255,$A38)</f>
        <v>-48210</v>
      </c>
      <c r="F38" s="121">
        <f>SUMIFS('Trial Balance'!G$6:G$255,'Trial Balance'!$C$6:$C$255,$A38)</f>
        <v>-48472</v>
      </c>
      <c r="G38" s="121">
        <f>SUMIFS('Trial Balance'!H$6:H$255,'Trial Balance'!$C$6:$C$255,$A38)</f>
        <v>-48510</v>
      </c>
      <c r="H38" s="121">
        <f>SUMIFS('Trial Balance'!I$6:I$255,'Trial Balance'!$C$6:$C$255,$A38)</f>
        <v>-48444</v>
      </c>
      <c r="I38" s="121">
        <f>SUMIFS('Trial Balance'!J$6:J$255,'Trial Balance'!$C$6:$C$255,$A38)</f>
        <v>-49294</v>
      </c>
      <c r="J38" s="121">
        <f>SUMIFS('Trial Balance'!K$6:K$255,'Trial Balance'!$C$6:$C$255,$A38)</f>
        <v>-48787</v>
      </c>
      <c r="K38" s="121">
        <f>SUMIFS('Trial Balance'!L$6:L$255,'Trial Balance'!$C$6:$C$255,$A38)</f>
        <v>-49366</v>
      </c>
      <c r="L38" s="121">
        <f>SUMIFS('Trial Balance'!M$6:M$255,'Trial Balance'!$C$6:$C$255,$A38)</f>
        <v>-49230</v>
      </c>
      <c r="M38" s="121">
        <f>SUMIFS('Trial Balance'!N$6:N$255,'Trial Balance'!$C$6:$C$255,$A38)</f>
        <v>-49455</v>
      </c>
      <c r="N38" s="121">
        <f>SUMIFS('Trial Balance'!O$6:O$255,'Trial Balance'!$C$6:$C$255,$A38)</f>
        <v>-49748</v>
      </c>
      <c r="O38" s="121">
        <f>SUMIFS('Trial Balance'!P$6:P$255,'Trial Balance'!$C$6:$C$255,$A38)</f>
        <v>0</v>
      </c>
      <c r="P38" s="121">
        <f>SUMIFS('Trial Balance'!Q$6:Q$255,'Trial Balance'!$C$6:$C$255,$A38)</f>
        <v>0</v>
      </c>
    </row>
    <row r="39" spans="1:16" x14ac:dyDescent="0.25">
      <c r="A39" s="94" t="s">
        <v>294</v>
      </c>
      <c r="B39" s="101" t="s">
        <v>265</v>
      </c>
      <c r="C39" s="101">
        <v>-1</v>
      </c>
      <c r="D39" s="121">
        <f>IF($B39="IS",0,SUMIFS('Trial Balance'!$E$6:$E$255,'Trial Balance'!$C$6:$C$255,$A39))</f>
        <v>-310000</v>
      </c>
      <c r="E39" s="121">
        <f>SUMIFS('Trial Balance'!F$6:F$255,'Trial Balance'!$C$6:$C$255,$A39)</f>
        <v>-335222</v>
      </c>
      <c r="F39" s="121">
        <f>SUMIFS('Trial Balance'!G$6:G$255,'Trial Balance'!$C$6:$C$255,$A39)</f>
        <v>-354594</v>
      </c>
      <c r="G39" s="121">
        <f>SUMIFS('Trial Balance'!H$6:H$255,'Trial Balance'!$C$6:$C$255,$A39)</f>
        <v>-389231</v>
      </c>
      <c r="H39" s="121">
        <f>SUMIFS('Trial Balance'!I$6:I$255,'Trial Balance'!$C$6:$C$255,$A39)</f>
        <v>-190348</v>
      </c>
      <c r="I39" s="121">
        <f>SUMIFS('Trial Balance'!J$6:J$255,'Trial Balance'!$C$6:$C$255,$A39)</f>
        <v>-238574</v>
      </c>
      <c r="J39" s="121">
        <f>SUMIFS('Trial Balance'!K$6:K$255,'Trial Balance'!$C$6:$C$255,$A39)</f>
        <v>-116699</v>
      </c>
      <c r="K39" s="121">
        <f>SUMIFS('Trial Balance'!L$6:L$255,'Trial Balance'!$C$6:$C$255,$A39)</f>
        <v>-163169</v>
      </c>
      <c r="L39" s="121">
        <f>SUMIFS('Trial Balance'!M$6:M$255,'Trial Balance'!$C$6:$C$255,$A39)</f>
        <v>-213354</v>
      </c>
      <c r="M39" s="121">
        <f>SUMIFS('Trial Balance'!N$6:N$255,'Trial Balance'!$C$6:$C$255,$A39)</f>
        <v>-103205</v>
      </c>
      <c r="N39" s="121">
        <f>SUMIFS('Trial Balance'!O$6:O$255,'Trial Balance'!$C$6:$C$255,$A39)</f>
        <v>-176051</v>
      </c>
      <c r="O39" s="121">
        <f>SUMIFS('Trial Balance'!P$6:P$255,'Trial Balance'!$C$6:$C$255,$A39)</f>
        <v>0</v>
      </c>
      <c r="P39" s="121">
        <f>SUMIFS('Trial Balance'!Q$6:Q$255,'Trial Balance'!$C$6:$C$255,$A39)</f>
        <v>0</v>
      </c>
    </row>
    <row r="40" spans="1:16" x14ac:dyDescent="0.25">
      <c r="A40" s="94" t="s">
        <v>296</v>
      </c>
      <c r="B40" s="101" t="s">
        <v>265</v>
      </c>
      <c r="C40" s="101">
        <v>-1</v>
      </c>
      <c r="D40" s="121">
        <f>IF($B40="IS",0,SUMIFS('Trial Balance'!$E$6:$E$255,'Trial Balance'!$C$6:$C$255,$A40))</f>
        <v>-360000</v>
      </c>
      <c r="E40" s="121">
        <f>SUMIFS('Trial Balance'!F$6:F$255,'Trial Balance'!$C$6:$C$255,$A40)</f>
        <v>-330000</v>
      </c>
      <c r="F40" s="121">
        <f>SUMIFS('Trial Balance'!G$6:G$255,'Trial Balance'!$C$6:$C$255,$A40)</f>
        <v>-300000</v>
      </c>
      <c r="G40" s="121">
        <f>SUMIFS('Trial Balance'!H$6:H$255,'Trial Balance'!$C$6:$C$255,$A40)</f>
        <v>-270000</v>
      </c>
      <c r="H40" s="121">
        <f>SUMIFS('Trial Balance'!I$6:I$255,'Trial Balance'!$C$6:$C$255,$A40)</f>
        <v>-240000</v>
      </c>
      <c r="I40" s="121">
        <f>SUMIFS('Trial Balance'!J$6:J$255,'Trial Balance'!$C$6:$C$255,$A40)</f>
        <v>-210000</v>
      </c>
      <c r="J40" s="121">
        <f>SUMIFS('Trial Balance'!K$6:K$255,'Trial Balance'!$C$6:$C$255,$A40)</f>
        <v>-180000</v>
      </c>
      <c r="K40" s="121">
        <f>SUMIFS('Trial Balance'!L$6:L$255,'Trial Balance'!$C$6:$C$255,$A40)</f>
        <v>-150000</v>
      </c>
      <c r="L40" s="121">
        <f>SUMIFS('Trial Balance'!M$6:M$255,'Trial Balance'!$C$6:$C$255,$A40)</f>
        <v>-120000</v>
      </c>
      <c r="M40" s="121">
        <f>SUMIFS('Trial Balance'!N$6:N$255,'Trial Balance'!$C$6:$C$255,$A40)</f>
        <v>-90000</v>
      </c>
      <c r="N40" s="121">
        <f>SUMIFS('Trial Balance'!O$6:O$255,'Trial Balance'!$C$6:$C$255,$A40)</f>
        <v>-60000</v>
      </c>
      <c r="O40" s="121">
        <f>SUMIFS('Trial Balance'!P$6:P$255,'Trial Balance'!$C$6:$C$255,$A40)</f>
        <v>0</v>
      </c>
      <c r="P40" s="121">
        <f>SUMIFS('Trial Balance'!Q$6:Q$255,'Trial Balance'!$C$6:$C$255,$A40)</f>
        <v>0</v>
      </c>
    </row>
    <row r="41" spans="1:16" x14ac:dyDescent="0.25">
      <c r="A41" s="94" t="s">
        <v>297</v>
      </c>
      <c r="B41" s="101" t="s">
        <v>265</v>
      </c>
      <c r="C41" s="101">
        <v>-1</v>
      </c>
      <c r="D41" s="121">
        <f>IF($B41="IS",0,SUMIFS('Trial Balance'!$E$6:$E$255,'Trial Balance'!$C$6:$C$255,$A41))</f>
        <v>0</v>
      </c>
      <c r="E41" s="121">
        <f>SUMIFS('Trial Balance'!F$6:F$255,'Trial Balance'!$C$6:$C$255,$A41)</f>
        <v>0</v>
      </c>
      <c r="F41" s="121">
        <f>SUMIFS('Trial Balance'!G$6:G$255,'Trial Balance'!$C$6:$C$255,$A41)</f>
        <v>0</v>
      </c>
      <c r="G41" s="121">
        <f>SUMIFS('Trial Balance'!H$6:H$255,'Trial Balance'!$C$6:$C$255,$A41)</f>
        <v>0</v>
      </c>
      <c r="H41" s="121">
        <f>SUMIFS('Trial Balance'!I$6:I$255,'Trial Balance'!$C$6:$C$255,$A41)</f>
        <v>0</v>
      </c>
      <c r="I41" s="121">
        <f>SUMIFS('Trial Balance'!J$6:J$255,'Trial Balance'!$C$6:$C$255,$A41)</f>
        <v>0</v>
      </c>
      <c r="J41" s="121">
        <f>SUMIFS('Trial Balance'!K$6:K$255,'Trial Balance'!$C$6:$C$255,$A41)</f>
        <v>0</v>
      </c>
      <c r="K41" s="121">
        <f>SUMIFS('Trial Balance'!L$6:L$255,'Trial Balance'!$C$6:$C$255,$A41)</f>
        <v>0</v>
      </c>
      <c r="L41" s="121">
        <f>SUMIFS('Trial Balance'!M$6:M$255,'Trial Balance'!$C$6:$C$255,$A41)</f>
        <v>0</v>
      </c>
      <c r="M41" s="121">
        <f>SUMIFS('Trial Balance'!N$6:N$255,'Trial Balance'!$C$6:$C$255,$A41)</f>
        <v>0</v>
      </c>
      <c r="N41" s="121">
        <f>SUMIFS('Trial Balance'!O$6:O$255,'Trial Balance'!$C$6:$C$255,$A41)</f>
        <v>0</v>
      </c>
      <c r="O41" s="121">
        <f>SUMIFS('Trial Balance'!P$6:P$255,'Trial Balance'!$C$6:$C$255,$A41)</f>
        <v>0</v>
      </c>
      <c r="P41" s="121">
        <f>SUMIFS('Trial Balance'!Q$6:Q$255,'Trial Balance'!$C$6:$C$255,$A41)</f>
        <v>0</v>
      </c>
    </row>
    <row r="42" spans="1:16" x14ac:dyDescent="0.25">
      <c r="A42" s="88" t="s">
        <v>396</v>
      </c>
      <c r="D42" s="121">
        <v>0</v>
      </c>
      <c r="E42" s="121">
        <f t="shared" ref="E42:P42" si="0">-SUMIF($B$6:$B$41,"IS",E$6:E$41)</f>
        <v>75668</v>
      </c>
      <c r="F42" s="121">
        <f t="shared" si="0"/>
        <v>133784</v>
      </c>
      <c r="G42" s="121">
        <f t="shared" si="0"/>
        <v>237692</v>
      </c>
      <c r="H42" s="121">
        <f t="shared" si="0"/>
        <v>361046</v>
      </c>
      <c r="I42" s="121">
        <f t="shared" si="0"/>
        <v>505720</v>
      </c>
      <c r="J42" s="121">
        <f t="shared" si="0"/>
        <v>635097</v>
      </c>
      <c r="K42" s="121">
        <f t="shared" si="0"/>
        <v>774505</v>
      </c>
      <c r="L42" s="121">
        <f t="shared" si="0"/>
        <v>925063</v>
      </c>
      <c r="M42" s="121">
        <f t="shared" si="0"/>
        <v>1089613</v>
      </c>
      <c r="N42" s="121">
        <f t="shared" si="0"/>
        <v>1308156</v>
      </c>
      <c r="O42" s="121">
        <f t="shared" si="0"/>
        <v>0</v>
      </c>
      <c r="P42" s="121">
        <f t="shared" si="0"/>
        <v>0</v>
      </c>
    </row>
    <row r="43" spans="1:16" x14ac:dyDescent="0.25">
      <c r="A43" s="88" t="s">
        <v>397</v>
      </c>
      <c r="D43" s="121">
        <f t="shared" ref="D43:P43" si="1">D29+D41</f>
        <v>2572500</v>
      </c>
      <c r="E43" s="121">
        <f t="shared" si="1"/>
        <v>2884733</v>
      </c>
      <c r="F43" s="121">
        <f t="shared" si="1"/>
        <v>2823115</v>
      </c>
      <c r="G43" s="121">
        <f t="shared" si="1"/>
        <v>2716806</v>
      </c>
      <c r="H43" s="121">
        <f t="shared" si="1"/>
        <v>2070781</v>
      </c>
      <c r="I43" s="121">
        <f t="shared" si="1"/>
        <v>1960492</v>
      </c>
      <c r="J43" s="121">
        <f t="shared" si="1"/>
        <v>1928069</v>
      </c>
      <c r="K43" s="121">
        <f t="shared" si="1"/>
        <v>1976056</v>
      </c>
      <c r="L43" s="121">
        <f t="shared" si="1"/>
        <v>1899026</v>
      </c>
      <c r="M43" s="121">
        <f t="shared" si="1"/>
        <v>1811757</v>
      </c>
      <c r="N43" s="121">
        <f t="shared" si="1"/>
        <v>1922964</v>
      </c>
      <c r="O43" s="121">
        <f t="shared" si="1"/>
        <v>0</v>
      </c>
      <c r="P43" s="121">
        <f t="shared" si="1"/>
        <v>0</v>
      </c>
    </row>
    <row r="44" spans="1:16" x14ac:dyDescent="0.25">
      <c r="A44" s="88" t="s">
        <v>398</v>
      </c>
      <c r="E44" s="121">
        <f t="shared" ref="E44:P44" si="2">E42-D42</f>
        <v>75668</v>
      </c>
      <c r="F44" s="121">
        <f t="shared" si="2"/>
        <v>58116</v>
      </c>
      <c r="G44" s="121">
        <f t="shared" si="2"/>
        <v>103908</v>
      </c>
      <c r="H44" s="121">
        <f t="shared" si="2"/>
        <v>123354</v>
      </c>
      <c r="I44" s="121">
        <f t="shared" si="2"/>
        <v>144674</v>
      </c>
      <c r="J44" s="121">
        <f t="shared" si="2"/>
        <v>129377</v>
      </c>
      <c r="K44" s="121">
        <f t="shared" si="2"/>
        <v>139408</v>
      </c>
      <c r="L44" s="121">
        <f t="shared" si="2"/>
        <v>150558</v>
      </c>
      <c r="M44" s="121">
        <f t="shared" si="2"/>
        <v>164550</v>
      </c>
      <c r="N44" s="121">
        <f t="shared" si="2"/>
        <v>218543</v>
      </c>
      <c r="O44" s="121">
        <f t="shared" si="2"/>
        <v>-1308156</v>
      </c>
      <c r="P44" s="121">
        <f t="shared" si="2"/>
        <v>0</v>
      </c>
    </row>
    <row r="47" spans="1:16" x14ac:dyDescent="0.25">
      <c r="A47" s="93" t="s">
        <v>399</v>
      </c>
    </row>
    <row r="48" spans="1:16" x14ac:dyDescent="0.25">
      <c r="A48" s="94" t="s">
        <v>7</v>
      </c>
      <c r="D48" s="121">
        <v>0</v>
      </c>
      <c r="E48" s="121">
        <f t="shared" ref="E48:P48" si="3">$C6*E6</f>
        <v>1591543</v>
      </c>
      <c r="F48" s="121">
        <f t="shared" si="3"/>
        <v>3166410</v>
      </c>
      <c r="G48" s="121">
        <f t="shared" si="3"/>
        <v>4880191</v>
      </c>
      <c r="H48" s="121">
        <f t="shared" si="3"/>
        <v>6643805</v>
      </c>
      <c r="I48" s="121">
        <f t="shared" si="3"/>
        <v>8461250</v>
      </c>
      <c r="J48" s="121">
        <f t="shared" si="3"/>
        <v>10263343</v>
      </c>
      <c r="K48" s="121">
        <f t="shared" si="3"/>
        <v>12067278</v>
      </c>
      <c r="L48" s="121">
        <f t="shared" si="3"/>
        <v>13929191</v>
      </c>
      <c r="M48" s="121">
        <f t="shared" si="3"/>
        <v>15870312</v>
      </c>
      <c r="N48" s="121">
        <f t="shared" si="3"/>
        <v>17893959</v>
      </c>
      <c r="O48" s="121">
        <f t="shared" si="3"/>
        <v>0</v>
      </c>
      <c r="P48" s="121">
        <f t="shared" si="3"/>
        <v>0</v>
      </c>
    </row>
    <row r="49" spans="1:16" x14ac:dyDescent="0.25">
      <c r="A49" s="94" t="s">
        <v>8</v>
      </c>
      <c r="D49" s="121">
        <v>0</v>
      </c>
      <c r="E49" s="121">
        <f t="shared" ref="E49:P49" si="4">$C7*E7</f>
        <v>805384</v>
      </c>
      <c r="F49" s="121">
        <f t="shared" si="4"/>
        <v>1603790</v>
      </c>
      <c r="G49" s="121">
        <f t="shared" si="4"/>
        <v>2474211</v>
      </c>
      <c r="H49" s="121">
        <f t="shared" si="4"/>
        <v>3371576</v>
      </c>
      <c r="I49" s="121">
        <f t="shared" si="4"/>
        <v>4298017</v>
      </c>
      <c r="J49" s="121">
        <f t="shared" si="4"/>
        <v>5218303</v>
      </c>
      <c r="K49" s="121">
        <f t="shared" si="4"/>
        <v>6141203</v>
      </c>
      <c r="L49" s="121">
        <f t="shared" si="4"/>
        <v>7095490</v>
      </c>
      <c r="M49" s="121">
        <f t="shared" si="4"/>
        <v>8092175</v>
      </c>
      <c r="N49" s="121">
        <f t="shared" si="4"/>
        <v>9133110</v>
      </c>
      <c r="O49" s="121">
        <f t="shared" si="4"/>
        <v>0</v>
      </c>
      <c r="P49" s="121">
        <f t="shared" si="4"/>
        <v>0</v>
      </c>
    </row>
    <row r="50" spans="1:16" x14ac:dyDescent="0.25">
      <c r="A50" s="94" t="s">
        <v>11</v>
      </c>
      <c r="D50" s="121">
        <v>0</v>
      </c>
      <c r="E50" s="121">
        <f t="shared" ref="E50:P50" si="5">$C8*E8</f>
        <v>7422</v>
      </c>
      <c r="F50" s="121">
        <f t="shared" si="5"/>
        <v>13270</v>
      </c>
      <c r="G50" s="121">
        <f t="shared" si="5"/>
        <v>20014</v>
      </c>
      <c r="H50" s="121">
        <f t="shared" si="5"/>
        <v>25499</v>
      </c>
      <c r="I50" s="121">
        <f t="shared" si="5"/>
        <v>30701</v>
      </c>
      <c r="J50" s="121">
        <f t="shared" si="5"/>
        <v>36434</v>
      </c>
      <c r="K50" s="121">
        <f t="shared" si="5"/>
        <v>41413</v>
      </c>
      <c r="L50" s="121">
        <f t="shared" si="5"/>
        <v>47158</v>
      </c>
      <c r="M50" s="121">
        <f t="shared" si="5"/>
        <v>53158</v>
      </c>
      <c r="N50" s="121">
        <f t="shared" si="5"/>
        <v>58997</v>
      </c>
      <c r="O50" s="121">
        <f t="shared" si="5"/>
        <v>0</v>
      </c>
      <c r="P50" s="121">
        <f t="shared" si="5"/>
        <v>0</v>
      </c>
    </row>
    <row r="51" spans="1:16" x14ac:dyDescent="0.25">
      <c r="A51" s="94" t="s">
        <v>315</v>
      </c>
      <c r="D51" s="121">
        <v>0</v>
      </c>
      <c r="E51" s="121">
        <f t="shared" ref="E51:P51" si="6">$C9*E9</f>
        <v>350476</v>
      </c>
      <c r="F51" s="121">
        <f t="shared" si="6"/>
        <v>699001</v>
      </c>
      <c r="G51" s="121">
        <f t="shared" si="6"/>
        <v>1051617</v>
      </c>
      <c r="H51" s="121">
        <f t="shared" si="6"/>
        <v>1403243</v>
      </c>
      <c r="I51" s="121">
        <f t="shared" si="6"/>
        <v>1758715</v>
      </c>
      <c r="J51" s="121">
        <f t="shared" si="6"/>
        <v>2112209</v>
      </c>
      <c r="K51" s="121">
        <f t="shared" si="6"/>
        <v>2471416</v>
      </c>
      <c r="L51" s="121">
        <f t="shared" si="6"/>
        <v>2830427</v>
      </c>
      <c r="M51" s="121">
        <f t="shared" si="6"/>
        <v>3190694</v>
      </c>
      <c r="N51" s="121">
        <f t="shared" si="6"/>
        <v>3549704</v>
      </c>
      <c r="O51" s="121">
        <f t="shared" si="6"/>
        <v>0</v>
      </c>
      <c r="P51" s="121">
        <f t="shared" si="6"/>
        <v>0</v>
      </c>
    </row>
    <row r="52" spans="1:16" x14ac:dyDescent="0.25">
      <c r="A52" s="94" t="s">
        <v>319</v>
      </c>
      <c r="D52" s="121">
        <v>0</v>
      </c>
      <c r="E52" s="121">
        <f t="shared" ref="E52:P52" si="7">$C10*E10</f>
        <v>75500</v>
      </c>
      <c r="F52" s="121">
        <f t="shared" si="7"/>
        <v>151226</v>
      </c>
      <c r="G52" s="121">
        <f t="shared" si="7"/>
        <v>227180</v>
      </c>
      <c r="H52" s="121">
        <f t="shared" si="7"/>
        <v>303359</v>
      </c>
      <c r="I52" s="121">
        <f t="shared" si="7"/>
        <v>379765</v>
      </c>
      <c r="J52" s="121">
        <f t="shared" si="7"/>
        <v>456398</v>
      </c>
      <c r="K52" s="121">
        <f t="shared" si="7"/>
        <v>533256</v>
      </c>
      <c r="L52" s="121">
        <f t="shared" si="7"/>
        <v>610342</v>
      </c>
      <c r="M52" s="121">
        <f t="shared" si="7"/>
        <v>687654</v>
      </c>
      <c r="N52" s="121">
        <f t="shared" si="7"/>
        <v>765192</v>
      </c>
      <c r="O52" s="121">
        <f t="shared" si="7"/>
        <v>0</v>
      </c>
      <c r="P52" s="121">
        <f t="shared" si="7"/>
        <v>0</v>
      </c>
    </row>
    <row r="53" spans="1:16" x14ac:dyDescent="0.25">
      <c r="A53" s="94" t="s">
        <v>322</v>
      </c>
      <c r="D53" s="121">
        <v>0</v>
      </c>
      <c r="E53" s="121">
        <f t="shared" ref="E53:P53" si="8">$C11*E11</f>
        <v>79351</v>
      </c>
      <c r="F53" s="121">
        <f t="shared" si="8"/>
        <v>163249</v>
      </c>
      <c r="G53" s="121">
        <f t="shared" si="8"/>
        <v>239076</v>
      </c>
      <c r="H53" s="121">
        <f t="shared" si="8"/>
        <v>315839</v>
      </c>
      <c r="I53" s="121">
        <f t="shared" si="8"/>
        <v>395493</v>
      </c>
      <c r="J53" s="121">
        <f t="shared" si="8"/>
        <v>475853</v>
      </c>
      <c r="K53" s="121">
        <f t="shared" si="8"/>
        <v>548295</v>
      </c>
      <c r="L53" s="121">
        <f t="shared" si="8"/>
        <v>614576</v>
      </c>
      <c r="M53" s="121">
        <f t="shared" si="8"/>
        <v>703777</v>
      </c>
      <c r="N53" s="121">
        <f t="shared" si="8"/>
        <v>767972</v>
      </c>
      <c r="O53" s="121">
        <f t="shared" si="8"/>
        <v>0</v>
      </c>
      <c r="P53" s="121">
        <f t="shared" si="8"/>
        <v>0</v>
      </c>
    </row>
    <row r="54" spans="1:16" x14ac:dyDescent="0.25">
      <c r="A54" s="94" t="s">
        <v>325</v>
      </c>
      <c r="D54" s="121">
        <v>0</v>
      </c>
      <c r="E54" s="121">
        <f t="shared" ref="E54:P54" si="9">$C12*E12</f>
        <v>23805</v>
      </c>
      <c r="F54" s="121">
        <f t="shared" si="9"/>
        <v>47923</v>
      </c>
      <c r="G54" s="121">
        <f t="shared" si="9"/>
        <v>79528</v>
      </c>
      <c r="H54" s="121">
        <f t="shared" si="9"/>
        <v>100762</v>
      </c>
      <c r="I54" s="121">
        <f t="shared" si="9"/>
        <v>116884</v>
      </c>
      <c r="J54" s="121">
        <f t="shared" si="9"/>
        <v>147426</v>
      </c>
      <c r="K54" s="121">
        <f t="shared" si="9"/>
        <v>171919</v>
      </c>
      <c r="L54" s="121">
        <f t="shared" si="9"/>
        <v>193617</v>
      </c>
      <c r="M54" s="121">
        <f t="shared" si="9"/>
        <v>221058</v>
      </c>
      <c r="N54" s="121">
        <f t="shared" si="9"/>
        <v>242188</v>
      </c>
      <c r="O54" s="121">
        <f t="shared" si="9"/>
        <v>0</v>
      </c>
      <c r="P54" s="121">
        <f t="shared" si="9"/>
        <v>0</v>
      </c>
    </row>
    <row r="55" spans="1:16" x14ac:dyDescent="0.25">
      <c r="A55" s="94" t="s">
        <v>329</v>
      </c>
      <c r="D55" s="121">
        <v>0</v>
      </c>
      <c r="E55" s="121">
        <f t="shared" ref="E55:P55" si="10">$C13*E13</f>
        <v>26585</v>
      </c>
      <c r="F55" s="121">
        <f t="shared" si="10"/>
        <v>59752</v>
      </c>
      <c r="G55" s="121">
        <f t="shared" si="10"/>
        <v>92321</v>
      </c>
      <c r="H55" s="121">
        <f t="shared" si="10"/>
        <v>126283</v>
      </c>
      <c r="I55" s="121">
        <f t="shared" si="10"/>
        <v>161745</v>
      </c>
      <c r="J55" s="121">
        <f t="shared" si="10"/>
        <v>193329</v>
      </c>
      <c r="K55" s="121">
        <f t="shared" si="10"/>
        <v>222458</v>
      </c>
      <c r="L55" s="121">
        <f t="shared" si="10"/>
        <v>260129</v>
      </c>
      <c r="M55" s="121">
        <f t="shared" si="10"/>
        <v>286160</v>
      </c>
      <c r="N55" s="121">
        <f t="shared" si="10"/>
        <v>309656</v>
      </c>
      <c r="O55" s="121">
        <f t="shared" si="10"/>
        <v>0</v>
      </c>
      <c r="P55" s="121">
        <f t="shared" si="10"/>
        <v>0</v>
      </c>
    </row>
    <row r="56" spans="1:16" x14ac:dyDescent="0.25">
      <c r="A56" s="94" t="s">
        <v>333</v>
      </c>
      <c r="D56" s="121">
        <v>0</v>
      </c>
      <c r="E56" s="121">
        <f t="shared" ref="E56:P56" si="11">$C14*E14</f>
        <v>26620</v>
      </c>
      <c r="F56" s="121">
        <f t="shared" si="11"/>
        <v>51699</v>
      </c>
      <c r="G56" s="121">
        <f t="shared" si="11"/>
        <v>76194</v>
      </c>
      <c r="H56" s="121">
        <f t="shared" si="11"/>
        <v>101105</v>
      </c>
      <c r="I56" s="121">
        <f t="shared" si="11"/>
        <v>127777</v>
      </c>
      <c r="J56" s="121">
        <f t="shared" si="11"/>
        <v>152380</v>
      </c>
      <c r="K56" s="121">
        <f t="shared" si="11"/>
        <v>176148</v>
      </c>
      <c r="L56" s="121">
        <f t="shared" si="11"/>
        <v>202505</v>
      </c>
      <c r="M56" s="121">
        <f t="shared" si="11"/>
        <v>228919</v>
      </c>
      <c r="N56" s="121">
        <f t="shared" si="11"/>
        <v>253357</v>
      </c>
      <c r="O56" s="121">
        <f t="shared" si="11"/>
        <v>0</v>
      </c>
      <c r="P56" s="121">
        <f t="shared" si="11"/>
        <v>0</v>
      </c>
    </row>
    <row r="57" spans="1:16" x14ac:dyDescent="0.25">
      <c r="A57" s="94" t="s">
        <v>335</v>
      </c>
      <c r="D57" s="121">
        <v>0</v>
      </c>
      <c r="E57" s="121">
        <f t="shared" ref="E57:P57" si="12">$C15*E15</f>
        <v>5465</v>
      </c>
      <c r="F57" s="121">
        <f t="shared" si="12"/>
        <v>13523</v>
      </c>
      <c r="G57" s="121">
        <f t="shared" si="12"/>
        <v>24810</v>
      </c>
      <c r="H57" s="121">
        <f t="shared" si="12"/>
        <v>45179</v>
      </c>
      <c r="I57" s="121">
        <f t="shared" si="12"/>
        <v>49271</v>
      </c>
      <c r="J57" s="121">
        <f t="shared" si="12"/>
        <v>57632</v>
      </c>
      <c r="K57" s="121">
        <f t="shared" si="12"/>
        <v>67729</v>
      </c>
      <c r="L57" s="121">
        <f t="shared" si="12"/>
        <v>79953</v>
      </c>
      <c r="M57" s="121">
        <f t="shared" si="12"/>
        <v>93894</v>
      </c>
      <c r="N57" s="121">
        <f t="shared" si="12"/>
        <v>111866</v>
      </c>
      <c r="O57" s="121">
        <f t="shared" si="12"/>
        <v>0</v>
      </c>
      <c r="P57" s="121">
        <f t="shared" si="12"/>
        <v>0</v>
      </c>
    </row>
    <row r="58" spans="1:16" x14ac:dyDescent="0.25">
      <c r="A58" s="94" t="s">
        <v>336</v>
      </c>
      <c r="D58" s="121">
        <v>0</v>
      </c>
      <c r="E58" s="121">
        <f t="shared" ref="E58:P58" si="13">$C16*E16</f>
        <v>17500</v>
      </c>
      <c r="F58" s="121">
        <f t="shared" si="13"/>
        <v>35052</v>
      </c>
      <c r="G58" s="121">
        <f t="shared" si="13"/>
        <v>52658</v>
      </c>
      <c r="H58" s="121">
        <f t="shared" si="13"/>
        <v>70315</v>
      </c>
      <c r="I58" s="121">
        <f t="shared" si="13"/>
        <v>88025</v>
      </c>
      <c r="J58" s="121">
        <f t="shared" si="13"/>
        <v>105788</v>
      </c>
      <c r="K58" s="121">
        <f t="shared" si="13"/>
        <v>123602</v>
      </c>
      <c r="L58" s="121">
        <f t="shared" si="13"/>
        <v>141470</v>
      </c>
      <c r="M58" s="121">
        <f t="shared" si="13"/>
        <v>159390</v>
      </c>
      <c r="N58" s="121">
        <f t="shared" si="13"/>
        <v>177362</v>
      </c>
      <c r="O58" s="121">
        <f t="shared" si="13"/>
        <v>0</v>
      </c>
      <c r="P58" s="121">
        <f t="shared" si="13"/>
        <v>0</v>
      </c>
    </row>
    <row r="59" spans="1:16" x14ac:dyDescent="0.25">
      <c r="A59" s="94" t="s">
        <v>337</v>
      </c>
      <c r="D59" s="121">
        <v>0</v>
      </c>
      <c r="E59" s="121">
        <f t="shared" ref="E59:P59" si="14">$C17*E17</f>
        <v>7361</v>
      </c>
      <c r="F59" s="121">
        <f t="shared" si="14"/>
        <v>15124</v>
      </c>
      <c r="G59" s="121">
        <f t="shared" si="14"/>
        <v>22772</v>
      </c>
      <c r="H59" s="121">
        <f t="shared" si="14"/>
        <v>29784</v>
      </c>
      <c r="I59" s="121">
        <f t="shared" si="14"/>
        <v>38094</v>
      </c>
      <c r="J59" s="121">
        <f t="shared" si="14"/>
        <v>45736</v>
      </c>
      <c r="K59" s="121">
        <f t="shared" si="14"/>
        <v>53316</v>
      </c>
      <c r="L59" s="121">
        <f t="shared" si="14"/>
        <v>61322</v>
      </c>
      <c r="M59" s="121">
        <f t="shared" si="14"/>
        <v>69180</v>
      </c>
      <c r="N59" s="121">
        <f t="shared" si="14"/>
        <v>77220</v>
      </c>
      <c r="O59" s="121">
        <f t="shared" si="14"/>
        <v>0</v>
      </c>
      <c r="P59" s="121">
        <f t="shared" si="14"/>
        <v>0</v>
      </c>
    </row>
    <row r="60" spans="1:16" x14ac:dyDescent="0.25">
      <c r="A60" s="94" t="s">
        <v>339</v>
      </c>
      <c r="D60" s="121">
        <v>0</v>
      </c>
      <c r="E60" s="121">
        <f t="shared" ref="E60:P60" si="15">$C18*E18</f>
        <v>27446</v>
      </c>
      <c r="F60" s="121">
        <f t="shared" si="15"/>
        <v>56144</v>
      </c>
      <c r="G60" s="121">
        <f t="shared" si="15"/>
        <v>86204</v>
      </c>
      <c r="H60" s="121">
        <f t="shared" si="15"/>
        <v>112206</v>
      </c>
      <c r="I60" s="121">
        <f t="shared" si="15"/>
        <v>140035</v>
      </c>
      <c r="J60" s="121">
        <f t="shared" si="15"/>
        <v>167008</v>
      </c>
      <c r="K60" s="121">
        <f t="shared" si="15"/>
        <v>190869</v>
      </c>
      <c r="L60" s="121">
        <f t="shared" si="15"/>
        <v>222752</v>
      </c>
      <c r="M60" s="121">
        <f t="shared" si="15"/>
        <v>251485</v>
      </c>
      <c r="N60" s="121">
        <f t="shared" si="15"/>
        <v>279284</v>
      </c>
      <c r="O60" s="121">
        <f t="shared" si="15"/>
        <v>0</v>
      </c>
      <c r="P60" s="121">
        <f t="shared" si="15"/>
        <v>0</v>
      </c>
    </row>
    <row r="61" spans="1:16" x14ac:dyDescent="0.25">
      <c r="A61" s="94" t="s">
        <v>25</v>
      </c>
      <c r="D61" s="121">
        <v>0</v>
      </c>
      <c r="E61" s="121">
        <f t="shared" ref="E61:P61" si="16">$C19*E19</f>
        <v>40750</v>
      </c>
      <c r="F61" s="121">
        <f t="shared" si="16"/>
        <v>81500</v>
      </c>
      <c r="G61" s="121">
        <f t="shared" si="16"/>
        <v>122250</v>
      </c>
      <c r="H61" s="121">
        <f t="shared" si="16"/>
        <v>163000</v>
      </c>
      <c r="I61" s="121">
        <f t="shared" si="16"/>
        <v>208125</v>
      </c>
      <c r="J61" s="121">
        <f t="shared" si="16"/>
        <v>253250</v>
      </c>
      <c r="K61" s="121">
        <f t="shared" si="16"/>
        <v>298375</v>
      </c>
      <c r="L61" s="121">
        <f t="shared" si="16"/>
        <v>343500</v>
      </c>
      <c r="M61" s="121">
        <f t="shared" si="16"/>
        <v>390344</v>
      </c>
      <c r="N61" s="121">
        <f t="shared" si="16"/>
        <v>437188</v>
      </c>
      <c r="O61" s="121">
        <f t="shared" si="16"/>
        <v>0</v>
      </c>
      <c r="P61" s="121">
        <f t="shared" si="16"/>
        <v>0</v>
      </c>
    </row>
    <row r="62" spans="1:16" x14ac:dyDescent="0.25">
      <c r="A62" s="94" t="s">
        <v>27</v>
      </c>
      <c r="D62" s="121">
        <v>0</v>
      </c>
      <c r="E62" s="121">
        <f t="shared" ref="E62:P62" si="17">$C20*E20</f>
        <v>1428</v>
      </c>
      <c r="F62" s="121">
        <f t="shared" si="17"/>
        <v>2861</v>
      </c>
      <c r="G62" s="121">
        <f t="shared" si="17"/>
        <v>4299</v>
      </c>
      <c r="H62" s="121">
        <f t="shared" si="17"/>
        <v>5741</v>
      </c>
      <c r="I62" s="121">
        <f t="shared" si="17"/>
        <v>7189</v>
      </c>
      <c r="J62" s="121">
        <f t="shared" si="17"/>
        <v>8641</v>
      </c>
      <c r="K62" s="121">
        <f t="shared" si="17"/>
        <v>10099</v>
      </c>
      <c r="L62" s="121">
        <f t="shared" si="17"/>
        <v>11561</v>
      </c>
      <c r="M62" s="121">
        <f t="shared" si="17"/>
        <v>13028</v>
      </c>
      <c r="N62" s="121">
        <f t="shared" si="17"/>
        <v>14500</v>
      </c>
      <c r="O62" s="121">
        <f t="shared" si="17"/>
        <v>0</v>
      </c>
      <c r="P62" s="121">
        <f t="shared" si="17"/>
        <v>0</v>
      </c>
    </row>
    <row r="63" spans="1:16" x14ac:dyDescent="0.25">
      <c r="A63" s="94" t="s">
        <v>28</v>
      </c>
      <c r="D63" s="121">
        <v>0</v>
      </c>
      <c r="E63" s="121">
        <f t="shared" ref="E63:P63" si="18">$C21*E21</f>
        <v>13260</v>
      </c>
      <c r="F63" s="121">
        <f t="shared" si="18"/>
        <v>26180</v>
      </c>
      <c r="G63" s="121">
        <f t="shared" si="18"/>
        <v>38760</v>
      </c>
      <c r="H63" s="121">
        <f t="shared" si="18"/>
        <v>51000</v>
      </c>
      <c r="I63" s="121">
        <f t="shared" si="18"/>
        <v>62900</v>
      </c>
      <c r="J63" s="121">
        <f t="shared" si="18"/>
        <v>76310</v>
      </c>
      <c r="K63" s="121">
        <f t="shared" si="18"/>
        <v>87530</v>
      </c>
      <c r="L63" s="121">
        <f t="shared" si="18"/>
        <v>98410</v>
      </c>
      <c r="M63" s="121">
        <f t="shared" si="18"/>
        <v>108950</v>
      </c>
      <c r="N63" s="121">
        <f t="shared" si="18"/>
        <v>119150</v>
      </c>
      <c r="O63" s="121">
        <f t="shared" si="18"/>
        <v>0</v>
      </c>
      <c r="P63" s="121">
        <f t="shared" si="18"/>
        <v>0</v>
      </c>
    </row>
    <row r="64" spans="1:16" x14ac:dyDescent="0.25">
      <c r="A64" s="94" t="s">
        <v>30</v>
      </c>
      <c r="D64" s="121">
        <v>0</v>
      </c>
      <c r="E64" s="121">
        <f t="shared" ref="E64:P64" si="19">$C22*E22</f>
        <v>25222</v>
      </c>
      <c r="F64" s="121">
        <f t="shared" si="19"/>
        <v>44594</v>
      </c>
      <c r="G64" s="121">
        <f t="shared" si="19"/>
        <v>79231</v>
      </c>
      <c r="H64" s="121">
        <f t="shared" si="19"/>
        <v>120348</v>
      </c>
      <c r="I64" s="121">
        <f t="shared" si="19"/>
        <v>168574</v>
      </c>
      <c r="J64" s="121">
        <f t="shared" si="19"/>
        <v>211699</v>
      </c>
      <c r="K64" s="121">
        <f t="shared" si="19"/>
        <v>258169</v>
      </c>
      <c r="L64" s="121">
        <f t="shared" si="19"/>
        <v>308354</v>
      </c>
      <c r="M64" s="121">
        <f t="shared" si="19"/>
        <v>363205</v>
      </c>
      <c r="N64" s="121">
        <f t="shared" si="19"/>
        <v>436051</v>
      </c>
      <c r="O64" s="121">
        <f t="shared" si="19"/>
        <v>0</v>
      </c>
      <c r="P64" s="121">
        <f t="shared" si="19"/>
        <v>0</v>
      </c>
    </row>
    <row r="67" spans="1:16" x14ac:dyDescent="0.25">
      <c r="A67" s="93" t="s">
        <v>400</v>
      </c>
    </row>
    <row r="68" spans="1:16" x14ac:dyDescent="0.25">
      <c r="A68" s="94" t="s">
        <v>7</v>
      </c>
      <c r="E68" s="121">
        <f t="shared" ref="E68:P68" si="20">E48-D48</f>
        <v>1591543</v>
      </c>
      <c r="F68" s="121">
        <f t="shared" si="20"/>
        <v>1574867</v>
      </c>
      <c r="G68" s="121">
        <f t="shared" si="20"/>
        <v>1713781</v>
      </c>
      <c r="H68" s="121">
        <f t="shared" si="20"/>
        <v>1763614</v>
      </c>
      <c r="I68" s="121">
        <f t="shared" si="20"/>
        <v>1817445</v>
      </c>
      <c r="J68" s="121">
        <f t="shared" si="20"/>
        <v>1802093</v>
      </c>
      <c r="K68" s="121">
        <f t="shared" si="20"/>
        <v>1803935</v>
      </c>
      <c r="L68" s="121">
        <f t="shared" si="20"/>
        <v>1861913</v>
      </c>
      <c r="M68" s="121">
        <f t="shared" si="20"/>
        <v>1941121</v>
      </c>
      <c r="N68" s="121">
        <f t="shared" si="20"/>
        <v>2023647</v>
      </c>
      <c r="O68" s="121">
        <f t="shared" si="20"/>
        <v>-17893959</v>
      </c>
      <c r="P68" s="121">
        <f t="shared" si="20"/>
        <v>0</v>
      </c>
    </row>
    <row r="69" spans="1:16" x14ac:dyDescent="0.25">
      <c r="A69" s="94" t="s">
        <v>8</v>
      </c>
      <c r="E69" s="121">
        <f t="shared" ref="E69:P69" si="21">E49-D49</f>
        <v>805384</v>
      </c>
      <c r="F69" s="121">
        <f t="shared" si="21"/>
        <v>798406</v>
      </c>
      <c r="G69" s="121">
        <f t="shared" si="21"/>
        <v>870421</v>
      </c>
      <c r="H69" s="121">
        <f t="shared" si="21"/>
        <v>897365</v>
      </c>
      <c r="I69" s="121">
        <f t="shared" si="21"/>
        <v>926441</v>
      </c>
      <c r="J69" s="121">
        <f t="shared" si="21"/>
        <v>920286</v>
      </c>
      <c r="K69" s="121">
        <f t="shared" si="21"/>
        <v>922900</v>
      </c>
      <c r="L69" s="121">
        <f t="shared" si="21"/>
        <v>954287</v>
      </c>
      <c r="M69" s="121">
        <f t="shared" si="21"/>
        <v>996685</v>
      </c>
      <c r="N69" s="121">
        <f t="shared" si="21"/>
        <v>1040935</v>
      </c>
      <c r="O69" s="121">
        <f t="shared" si="21"/>
        <v>-9133110</v>
      </c>
      <c r="P69" s="121">
        <f t="shared" si="21"/>
        <v>0</v>
      </c>
    </row>
    <row r="70" spans="1:16" x14ac:dyDescent="0.25">
      <c r="A70" s="94" t="s">
        <v>11</v>
      </c>
      <c r="E70" s="121">
        <f t="shared" ref="E70:P70" si="22">E50-D50</f>
        <v>7422</v>
      </c>
      <c r="F70" s="121">
        <f t="shared" si="22"/>
        <v>5848</v>
      </c>
      <c r="G70" s="121">
        <f t="shared" si="22"/>
        <v>6744</v>
      </c>
      <c r="H70" s="121">
        <f t="shared" si="22"/>
        <v>5485</v>
      </c>
      <c r="I70" s="121">
        <f t="shared" si="22"/>
        <v>5202</v>
      </c>
      <c r="J70" s="121">
        <f t="shared" si="22"/>
        <v>5733</v>
      </c>
      <c r="K70" s="121">
        <f t="shared" si="22"/>
        <v>4979</v>
      </c>
      <c r="L70" s="121">
        <f t="shared" si="22"/>
        <v>5745</v>
      </c>
      <c r="M70" s="121">
        <f t="shared" si="22"/>
        <v>6000</v>
      </c>
      <c r="N70" s="121">
        <f t="shared" si="22"/>
        <v>5839</v>
      </c>
      <c r="O70" s="121">
        <f t="shared" si="22"/>
        <v>-58997</v>
      </c>
      <c r="P70" s="121">
        <f t="shared" si="22"/>
        <v>0</v>
      </c>
    </row>
    <row r="71" spans="1:16" x14ac:dyDescent="0.25">
      <c r="A71" s="94" t="s">
        <v>315</v>
      </c>
      <c r="E71" s="121">
        <f t="shared" ref="E71:P71" si="23">E51-D51</f>
        <v>350476</v>
      </c>
      <c r="F71" s="121">
        <f t="shared" si="23"/>
        <v>348525</v>
      </c>
      <c r="G71" s="121">
        <f t="shared" si="23"/>
        <v>352616</v>
      </c>
      <c r="H71" s="121">
        <f t="shared" si="23"/>
        <v>351626</v>
      </c>
      <c r="I71" s="121">
        <f t="shared" si="23"/>
        <v>355472</v>
      </c>
      <c r="J71" s="121">
        <f t="shared" si="23"/>
        <v>353494</v>
      </c>
      <c r="K71" s="121">
        <f t="shared" si="23"/>
        <v>359207</v>
      </c>
      <c r="L71" s="121">
        <f t="shared" si="23"/>
        <v>359011</v>
      </c>
      <c r="M71" s="121">
        <f t="shared" si="23"/>
        <v>360267</v>
      </c>
      <c r="N71" s="121">
        <f t="shared" si="23"/>
        <v>359010</v>
      </c>
      <c r="O71" s="121">
        <f t="shared" si="23"/>
        <v>-3549704</v>
      </c>
      <c r="P71" s="121">
        <f t="shared" si="23"/>
        <v>0</v>
      </c>
    </row>
    <row r="72" spans="1:16" x14ac:dyDescent="0.25">
      <c r="A72" s="94" t="s">
        <v>319</v>
      </c>
      <c r="E72" s="121">
        <f t="shared" ref="E72:P72" si="24">E52-D52</f>
        <v>75500</v>
      </c>
      <c r="F72" s="121">
        <f t="shared" si="24"/>
        <v>75726</v>
      </c>
      <c r="G72" s="121">
        <f t="shared" si="24"/>
        <v>75954</v>
      </c>
      <c r="H72" s="121">
        <f t="shared" si="24"/>
        <v>76179</v>
      </c>
      <c r="I72" s="121">
        <f t="shared" si="24"/>
        <v>76406</v>
      </c>
      <c r="J72" s="121">
        <f t="shared" si="24"/>
        <v>76633</v>
      </c>
      <c r="K72" s="121">
        <f t="shared" si="24"/>
        <v>76858</v>
      </c>
      <c r="L72" s="121">
        <f t="shared" si="24"/>
        <v>77086</v>
      </c>
      <c r="M72" s="121">
        <f t="shared" si="24"/>
        <v>77312</v>
      </c>
      <c r="N72" s="121">
        <f t="shared" si="24"/>
        <v>77538</v>
      </c>
      <c r="O72" s="121">
        <f t="shared" si="24"/>
        <v>-765192</v>
      </c>
      <c r="P72" s="121">
        <f t="shared" si="24"/>
        <v>0</v>
      </c>
    </row>
    <row r="73" spans="1:16" x14ac:dyDescent="0.25">
      <c r="A73" s="94" t="s">
        <v>322</v>
      </c>
      <c r="E73" s="121">
        <f t="shared" ref="E73:P73" si="25">E53-D53</f>
        <v>79351</v>
      </c>
      <c r="F73" s="121">
        <f t="shared" si="25"/>
        <v>83898</v>
      </c>
      <c r="G73" s="121">
        <f t="shared" si="25"/>
        <v>75827</v>
      </c>
      <c r="H73" s="121">
        <f t="shared" si="25"/>
        <v>76763</v>
      </c>
      <c r="I73" s="121">
        <f t="shared" si="25"/>
        <v>79654</v>
      </c>
      <c r="J73" s="121">
        <f t="shared" si="25"/>
        <v>80360</v>
      </c>
      <c r="K73" s="121">
        <f t="shared" si="25"/>
        <v>72442</v>
      </c>
      <c r="L73" s="121">
        <f t="shared" si="25"/>
        <v>66281</v>
      </c>
      <c r="M73" s="121">
        <f t="shared" si="25"/>
        <v>89201</v>
      </c>
      <c r="N73" s="121">
        <f t="shared" si="25"/>
        <v>64195</v>
      </c>
      <c r="O73" s="121">
        <f t="shared" si="25"/>
        <v>-767972</v>
      </c>
      <c r="P73" s="121">
        <f t="shared" si="25"/>
        <v>0</v>
      </c>
    </row>
    <row r="74" spans="1:16" x14ac:dyDescent="0.25">
      <c r="A74" s="94" t="s">
        <v>325</v>
      </c>
      <c r="E74" s="121">
        <f t="shared" ref="E74:P74" si="26">E54-D54</f>
        <v>23805</v>
      </c>
      <c r="F74" s="121">
        <f t="shared" si="26"/>
        <v>24118</v>
      </c>
      <c r="G74" s="121">
        <f t="shared" si="26"/>
        <v>31605</v>
      </c>
      <c r="H74" s="121">
        <f t="shared" si="26"/>
        <v>21234</v>
      </c>
      <c r="I74" s="121">
        <f t="shared" si="26"/>
        <v>16122</v>
      </c>
      <c r="J74" s="121">
        <f t="shared" si="26"/>
        <v>30542</v>
      </c>
      <c r="K74" s="121">
        <f t="shared" si="26"/>
        <v>24493</v>
      </c>
      <c r="L74" s="121">
        <f t="shared" si="26"/>
        <v>21698</v>
      </c>
      <c r="M74" s="121">
        <f t="shared" si="26"/>
        <v>27441</v>
      </c>
      <c r="N74" s="121">
        <f t="shared" si="26"/>
        <v>21130</v>
      </c>
      <c r="O74" s="121">
        <f t="shared" si="26"/>
        <v>-242188</v>
      </c>
      <c r="P74" s="121">
        <f t="shared" si="26"/>
        <v>0</v>
      </c>
    </row>
    <row r="75" spans="1:16" x14ac:dyDescent="0.25">
      <c r="A75" s="94" t="s">
        <v>329</v>
      </c>
      <c r="E75" s="121">
        <f t="shared" ref="E75:P75" si="27">E55-D55</f>
        <v>26585</v>
      </c>
      <c r="F75" s="121">
        <f t="shared" si="27"/>
        <v>33167</v>
      </c>
      <c r="G75" s="121">
        <f t="shared" si="27"/>
        <v>32569</v>
      </c>
      <c r="H75" s="121">
        <f t="shared" si="27"/>
        <v>33962</v>
      </c>
      <c r="I75" s="121">
        <f t="shared" si="27"/>
        <v>35462</v>
      </c>
      <c r="J75" s="121">
        <f t="shared" si="27"/>
        <v>31584</v>
      </c>
      <c r="K75" s="121">
        <f t="shared" si="27"/>
        <v>29129</v>
      </c>
      <c r="L75" s="121">
        <f t="shared" si="27"/>
        <v>37671</v>
      </c>
      <c r="M75" s="121">
        <f t="shared" si="27"/>
        <v>26031</v>
      </c>
      <c r="N75" s="121">
        <f t="shared" si="27"/>
        <v>23496</v>
      </c>
      <c r="O75" s="121">
        <f t="shared" si="27"/>
        <v>-309656</v>
      </c>
      <c r="P75" s="121">
        <f t="shared" si="27"/>
        <v>0</v>
      </c>
    </row>
    <row r="76" spans="1:16" x14ac:dyDescent="0.25">
      <c r="A76" s="94" t="s">
        <v>333</v>
      </c>
      <c r="E76" s="121">
        <f t="shared" ref="E76:P76" si="28">E56-D56</f>
        <v>26620</v>
      </c>
      <c r="F76" s="121">
        <f t="shared" si="28"/>
        <v>25079</v>
      </c>
      <c r="G76" s="121">
        <f t="shared" si="28"/>
        <v>24495</v>
      </c>
      <c r="H76" s="121">
        <f t="shared" si="28"/>
        <v>24911</v>
      </c>
      <c r="I76" s="121">
        <f t="shared" si="28"/>
        <v>26672</v>
      </c>
      <c r="J76" s="121">
        <f t="shared" si="28"/>
        <v>24603</v>
      </c>
      <c r="K76" s="121">
        <f t="shared" si="28"/>
        <v>23768</v>
      </c>
      <c r="L76" s="121">
        <f t="shared" si="28"/>
        <v>26357</v>
      </c>
      <c r="M76" s="121">
        <f t="shared" si="28"/>
        <v>26414</v>
      </c>
      <c r="N76" s="121">
        <f t="shared" si="28"/>
        <v>24438</v>
      </c>
      <c r="O76" s="121">
        <f t="shared" si="28"/>
        <v>-253357</v>
      </c>
      <c r="P76" s="121">
        <f t="shared" si="28"/>
        <v>0</v>
      </c>
    </row>
    <row r="77" spans="1:16" x14ac:dyDescent="0.25">
      <c r="A77" s="94" t="s">
        <v>335</v>
      </c>
      <c r="E77" s="121">
        <f t="shared" ref="E77:P77" si="29">E57-D57</f>
        <v>5465</v>
      </c>
      <c r="F77" s="121">
        <f t="shared" si="29"/>
        <v>8058</v>
      </c>
      <c r="G77" s="121">
        <f t="shared" si="29"/>
        <v>11287</v>
      </c>
      <c r="H77" s="121">
        <f t="shared" si="29"/>
        <v>20369</v>
      </c>
      <c r="I77" s="121">
        <f t="shared" si="29"/>
        <v>4092</v>
      </c>
      <c r="J77" s="121">
        <f t="shared" si="29"/>
        <v>8361</v>
      </c>
      <c r="K77" s="121">
        <f t="shared" si="29"/>
        <v>10097</v>
      </c>
      <c r="L77" s="121">
        <f t="shared" si="29"/>
        <v>12224</v>
      </c>
      <c r="M77" s="121">
        <f t="shared" si="29"/>
        <v>13941</v>
      </c>
      <c r="N77" s="121">
        <f t="shared" si="29"/>
        <v>17972</v>
      </c>
      <c r="O77" s="121">
        <f t="shared" si="29"/>
        <v>-111866</v>
      </c>
      <c r="P77" s="121">
        <f t="shared" si="29"/>
        <v>0</v>
      </c>
    </row>
    <row r="78" spans="1:16" x14ac:dyDescent="0.25">
      <c r="A78" s="94" t="s">
        <v>336</v>
      </c>
      <c r="E78" s="121">
        <f t="shared" ref="E78:P78" si="30">E58-D58</f>
        <v>17500</v>
      </c>
      <c r="F78" s="121">
        <f t="shared" si="30"/>
        <v>17552</v>
      </c>
      <c r="G78" s="121">
        <f t="shared" si="30"/>
        <v>17606</v>
      </c>
      <c r="H78" s="121">
        <f t="shared" si="30"/>
        <v>17657</v>
      </c>
      <c r="I78" s="121">
        <f t="shared" si="30"/>
        <v>17710</v>
      </c>
      <c r="J78" s="121">
        <f t="shared" si="30"/>
        <v>17763</v>
      </c>
      <c r="K78" s="121">
        <f t="shared" si="30"/>
        <v>17814</v>
      </c>
      <c r="L78" s="121">
        <f t="shared" si="30"/>
        <v>17868</v>
      </c>
      <c r="M78" s="121">
        <f t="shared" si="30"/>
        <v>17920</v>
      </c>
      <c r="N78" s="121">
        <f t="shared" si="30"/>
        <v>17972</v>
      </c>
      <c r="O78" s="121">
        <f t="shared" si="30"/>
        <v>-177362</v>
      </c>
      <c r="P78" s="121">
        <f t="shared" si="30"/>
        <v>0</v>
      </c>
    </row>
    <row r="79" spans="1:16" x14ac:dyDescent="0.25">
      <c r="A79" s="94" t="s">
        <v>337</v>
      </c>
      <c r="E79" s="121">
        <f t="shared" ref="E79:P79" si="31">E59-D59</f>
        <v>7361</v>
      </c>
      <c r="F79" s="121">
        <f t="shared" si="31"/>
        <v>7763</v>
      </c>
      <c r="G79" s="121">
        <f t="shared" si="31"/>
        <v>7648</v>
      </c>
      <c r="H79" s="121">
        <f t="shared" si="31"/>
        <v>7012</v>
      </c>
      <c r="I79" s="121">
        <f t="shared" si="31"/>
        <v>8310</v>
      </c>
      <c r="J79" s="121">
        <f t="shared" si="31"/>
        <v>7642</v>
      </c>
      <c r="K79" s="121">
        <f t="shared" si="31"/>
        <v>7580</v>
      </c>
      <c r="L79" s="121">
        <f t="shared" si="31"/>
        <v>8006</v>
      </c>
      <c r="M79" s="121">
        <f t="shared" si="31"/>
        <v>7858</v>
      </c>
      <c r="N79" s="121">
        <f t="shared" si="31"/>
        <v>8040</v>
      </c>
      <c r="O79" s="121">
        <f t="shared" si="31"/>
        <v>-77220</v>
      </c>
      <c r="P79" s="121">
        <f t="shared" si="31"/>
        <v>0</v>
      </c>
    </row>
    <row r="80" spans="1:16" x14ac:dyDescent="0.25">
      <c r="A80" s="94" t="s">
        <v>339</v>
      </c>
      <c r="E80" s="121">
        <f t="shared" ref="E80:P80" si="32">E60-D60</f>
        <v>27446</v>
      </c>
      <c r="F80" s="121">
        <f t="shared" si="32"/>
        <v>28698</v>
      </c>
      <c r="G80" s="121">
        <f t="shared" si="32"/>
        <v>30060</v>
      </c>
      <c r="H80" s="121">
        <f t="shared" si="32"/>
        <v>26002</v>
      </c>
      <c r="I80" s="121">
        <f t="shared" si="32"/>
        <v>27829</v>
      </c>
      <c r="J80" s="121">
        <f t="shared" si="32"/>
        <v>26973</v>
      </c>
      <c r="K80" s="121">
        <f t="shared" si="32"/>
        <v>23861</v>
      </c>
      <c r="L80" s="121">
        <f t="shared" si="32"/>
        <v>31883</v>
      </c>
      <c r="M80" s="121">
        <f t="shared" si="32"/>
        <v>28733</v>
      </c>
      <c r="N80" s="121">
        <f t="shared" si="32"/>
        <v>27799</v>
      </c>
      <c r="O80" s="121">
        <f t="shared" si="32"/>
        <v>-279284</v>
      </c>
      <c r="P80" s="121">
        <f t="shared" si="32"/>
        <v>0</v>
      </c>
    </row>
    <row r="81" spans="1:16" x14ac:dyDescent="0.25">
      <c r="A81" s="94" t="s">
        <v>25</v>
      </c>
      <c r="E81" s="121">
        <f t="shared" ref="E81:P81" si="33">E61-D61</f>
        <v>40750</v>
      </c>
      <c r="F81" s="121">
        <f t="shared" si="33"/>
        <v>40750</v>
      </c>
      <c r="G81" s="121">
        <f t="shared" si="33"/>
        <v>40750</v>
      </c>
      <c r="H81" s="121">
        <f t="shared" si="33"/>
        <v>40750</v>
      </c>
      <c r="I81" s="121">
        <f t="shared" si="33"/>
        <v>45125</v>
      </c>
      <c r="J81" s="121">
        <f t="shared" si="33"/>
        <v>45125</v>
      </c>
      <c r="K81" s="121">
        <f t="shared" si="33"/>
        <v>45125</v>
      </c>
      <c r="L81" s="121">
        <f t="shared" si="33"/>
        <v>45125</v>
      </c>
      <c r="M81" s="121">
        <f t="shared" si="33"/>
        <v>46844</v>
      </c>
      <c r="N81" s="121">
        <f t="shared" si="33"/>
        <v>46844</v>
      </c>
      <c r="O81" s="121">
        <f t="shared" si="33"/>
        <v>-437188</v>
      </c>
      <c r="P81" s="121">
        <f t="shared" si="33"/>
        <v>0</v>
      </c>
    </row>
    <row r="82" spans="1:16" x14ac:dyDescent="0.25">
      <c r="A82" s="94" t="s">
        <v>27</v>
      </c>
      <c r="E82" s="121">
        <f t="shared" ref="E82:P82" si="34">E62-D62</f>
        <v>1428</v>
      </c>
      <c r="F82" s="121">
        <f t="shared" si="34"/>
        <v>1433</v>
      </c>
      <c r="G82" s="121">
        <f t="shared" si="34"/>
        <v>1438</v>
      </c>
      <c r="H82" s="121">
        <f t="shared" si="34"/>
        <v>1442</v>
      </c>
      <c r="I82" s="121">
        <f t="shared" si="34"/>
        <v>1448</v>
      </c>
      <c r="J82" s="121">
        <f t="shared" si="34"/>
        <v>1452</v>
      </c>
      <c r="K82" s="121">
        <f t="shared" si="34"/>
        <v>1458</v>
      </c>
      <c r="L82" s="121">
        <f t="shared" si="34"/>
        <v>1462</v>
      </c>
      <c r="M82" s="121">
        <f t="shared" si="34"/>
        <v>1467</v>
      </c>
      <c r="N82" s="121">
        <f t="shared" si="34"/>
        <v>1472</v>
      </c>
      <c r="O82" s="121">
        <f t="shared" si="34"/>
        <v>-14500</v>
      </c>
      <c r="P82" s="121">
        <f t="shared" si="34"/>
        <v>0</v>
      </c>
    </row>
    <row r="83" spans="1:16" x14ac:dyDescent="0.25">
      <c r="A83" s="94" t="s">
        <v>28</v>
      </c>
      <c r="E83" s="121">
        <f t="shared" ref="E83:P83" si="35">E63-D63</f>
        <v>13260</v>
      </c>
      <c r="F83" s="121">
        <f t="shared" si="35"/>
        <v>12920</v>
      </c>
      <c r="G83" s="121">
        <f t="shared" si="35"/>
        <v>12580</v>
      </c>
      <c r="H83" s="121">
        <f t="shared" si="35"/>
        <v>12240</v>
      </c>
      <c r="I83" s="121">
        <f t="shared" si="35"/>
        <v>11900</v>
      </c>
      <c r="J83" s="121">
        <f t="shared" si="35"/>
        <v>13410</v>
      </c>
      <c r="K83" s="121">
        <f t="shared" si="35"/>
        <v>11220</v>
      </c>
      <c r="L83" s="121">
        <f t="shared" si="35"/>
        <v>10880</v>
      </c>
      <c r="M83" s="121">
        <f t="shared" si="35"/>
        <v>10540</v>
      </c>
      <c r="N83" s="121">
        <f t="shared" si="35"/>
        <v>10200</v>
      </c>
      <c r="O83" s="121">
        <f t="shared" si="35"/>
        <v>-119150</v>
      </c>
      <c r="P83" s="121">
        <f t="shared" si="35"/>
        <v>0</v>
      </c>
    </row>
    <row r="84" spans="1:16" x14ac:dyDescent="0.25">
      <c r="A84" s="94" t="s">
        <v>30</v>
      </c>
      <c r="E84" s="121">
        <f t="shared" ref="E84:P84" si="36">E64-D64</f>
        <v>25222</v>
      </c>
      <c r="F84" s="121">
        <f t="shared" si="36"/>
        <v>19372</v>
      </c>
      <c r="G84" s="121">
        <f t="shared" si="36"/>
        <v>34637</v>
      </c>
      <c r="H84" s="121">
        <f t="shared" si="36"/>
        <v>41117</v>
      </c>
      <c r="I84" s="121">
        <f t="shared" si="36"/>
        <v>48226</v>
      </c>
      <c r="J84" s="121">
        <f t="shared" si="36"/>
        <v>43125</v>
      </c>
      <c r="K84" s="121">
        <f t="shared" si="36"/>
        <v>46470</v>
      </c>
      <c r="L84" s="121">
        <f t="shared" si="36"/>
        <v>50185</v>
      </c>
      <c r="M84" s="121">
        <f t="shared" si="36"/>
        <v>54851</v>
      </c>
      <c r="N84" s="121">
        <f t="shared" si="36"/>
        <v>72846</v>
      </c>
      <c r="O84" s="121">
        <f t="shared" si="36"/>
        <v>-436051</v>
      </c>
      <c r="P84" s="121">
        <f t="shared" si="36"/>
        <v>0</v>
      </c>
    </row>
    <row r="87" spans="1:16" x14ac:dyDescent="0.25">
      <c r="A87" s="93" t="s">
        <v>401</v>
      </c>
    </row>
    <row r="88" spans="1:16" x14ac:dyDescent="0.25">
      <c r="A88" s="94" t="s">
        <v>7</v>
      </c>
      <c r="E88" s="121">
        <f>Budget!B6</f>
        <v>1637600</v>
      </c>
      <c r="F88" s="121">
        <f>Budget!C6</f>
        <v>1608400</v>
      </c>
      <c r="G88" s="121">
        <f>Budget!D6</f>
        <v>1758400</v>
      </c>
      <c r="H88" s="121">
        <f>Budget!E6</f>
        <v>1801400</v>
      </c>
      <c r="I88" s="121">
        <f>Budget!F6</f>
        <v>1844600</v>
      </c>
      <c r="J88" s="121">
        <f>Budget!G6</f>
        <v>1870100</v>
      </c>
      <c r="K88" s="121">
        <f>Budget!H6</f>
        <v>1822700</v>
      </c>
      <c r="L88" s="121">
        <f>Budget!I6</f>
        <v>1848100</v>
      </c>
      <c r="M88" s="121">
        <f>Budget!J6</f>
        <v>1910400</v>
      </c>
      <c r="N88" s="121">
        <f>Budget!K6</f>
        <v>1991600</v>
      </c>
      <c r="O88" s="121">
        <f>Budget!L6</f>
        <v>2110400</v>
      </c>
      <c r="P88" s="121">
        <f>Budget!M6</f>
        <v>2230000</v>
      </c>
    </row>
    <row r="89" spans="1:16" x14ac:dyDescent="0.25">
      <c r="A89" s="94" t="s">
        <v>8</v>
      </c>
      <c r="E89" s="121">
        <f>Budget!B7</f>
        <v>828700</v>
      </c>
      <c r="F89" s="121">
        <f>Budget!C7</f>
        <v>813900</v>
      </c>
      <c r="G89" s="121">
        <f>Budget!D7</f>
        <v>889800</v>
      </c>
      <c r="H89" s="121">
        <f>Budget!E7</f>
        <v>911600</v>
      </c>
      <c r="I89" s="121">
        <f>Budget!F7</f>
        <v>933500</v>
      </c>
      <c r="J89" s="121">
        <f>Budget!G7</f>
        <v>946300</v>
      </c>
      <c r="K89" s="121">
        <f>Budget!H7</f>
        <v>922400</v>
      </c>
      <c r="L89" s="121">
        <f>Budget!I7</f>
        <v>935200</v>
      </c>
      <c r="M89" s="121">
        <f>Budget!J7</f>
        <v>966800</v>
      </c>
      <c r="N89" s="121">
        <f>Budget!K7</f>
        <v>1007800</v>
      </c>
      <c r="O89" s="121">
        <f>Budget!L7</f>
        <v>1067900</v>
      </c>
      <c r="P89" s="121">
        <f>Budget!M7</f>
        <v>1128500</v>
      </c>
    </row>
    <row r="90" spans="1:16" x14ac:dyDescent="0.25">
      <c r="A90" s="94" t="s">
        <v>11</v>
      </c>
      <c r="E90" s="121">
        <f>Budget!B8</f>
        <v>6000</v>
      </c>
      <c r="F90" s="121">
        <f>Budget!C8</f>
        <v>6000</v>
      </c>
      <c r="G90" s="121">
        <f>Budget!D8</f>
        <v>6000</v>
      </c>
      <c r="H90" s="121">
        <f>Budget!E8</f>
        <v>6000</v>
      </c>
      <c r="I90" s="121">
        <f>Budget!F8</f>
        <v>6000</v>
      </c>
      <c r="J90" s="121">
        <f>Budget!G8</f>
        <v>6000</v>
      </c>
      <c r="K90" s="121">
        <f>Budget!H8</f>
        <v>6000</v>
      </c>
      <c r="L90" s="121">
        <f>Budget!I8</f>
        <v>6000</v>
      </c>
      <c r="M90" s="121">
        <f>Budget!J8</f>
        <v>6000</v>
      </c>
      <c r="N90" s="121">
        <f>Budget!K8</f>
        <v>6000</v>
      </c>
      <c r="O90" s="121">
        <f>Budget!L8</f>
        <v>6000</v>
      </c>
      <c r="P90" s="121">
        <f>Budget!M8</f>
        <v>6000</v>
      </c>
    </row>
    <row r="91" spans="1:16" x14ac:dyDescent="0.25">
      <c r="A91" s="94" t="s">
        <v>315</v>
      </c>
      <c r="E91" s="121">
        <f>Budget!B9</f>
        <v>352100</v>
      </c>
      <c r="F91" s="121">
        <f>Budget!C9</f>
        <v>353100</v>
      </c>
      <c r="G91" s="121">
        <f>Budget!D9</f>
        <v>354200</v>
      </c>
      <c r="H91" s="121">
        <f>Budget!E9</f>
        <v>355200</v>
      </c>
      <c r="I91" s="121">
        <f>Budget!F9</f>
        <v>356300</v>
      </c>
      <c r="J91" s="121">
        <f>Budget!G9</f>
        <v>357300</v>
      </c>
      <c r="K91" s="121">
        <f>Budget!H9</f>
        <v>358400</v>
      </c>
      <c r="L91" s="121">
        <f>Budget!I9</f>
        <v>359500</v>
      </c>
      <c r="M91" s="121">
        <f>Budget!J9</f>
        <v>360500</v>
      </c>
      <c r="N91" s="121">
        <f>Budget!K9</f>
        <v>361600</v>
      </c>
      <c r="O91" s="121">
        <f>Budget!L9</f>
        <v>362600</v>
      </c>
      <c r="P91" s="121">
        <f>Budget!M9</f>
        <v>363700</v>
      </c>
    </row>
    <row r="92" spans="1:16" x14ac:dyDescent="0.25">
      <c r="A92" s="94" t="s">
        <v>319</v>
      </c>
      <c r="E92" s="121">
        <f>Budget!B10</f>
        <v>75500</v>
      </c>
      <c r="F92" s="121">
        <f>Budget!C10</f>
        <v>75700</v>
      </c>
      <c r="G92" s="121">
        <f>Budget!D10</f>
        <v>76000</v>
      </c>
      <c r="H92" s="121">
        <f>Budget!E10</f>
        <v>76200</v>
      </c>
      <c r="I92" s="121">
        <f>Budget!F10</f>
        <v>76400</v>
      </c>
      <c r="J92" s="121">
        <f>Budget!G10</f>
        <v>76600</v>
      </c>
      <c r="K92" s="121">
        <f>Budget!H10</f>
        <v>76900</v>
      </c>
      <c r="L92" s="121">
        <f>Budget!I10</f>
        <v>77100</v>
      </c>
      <c r="M92" s="121">
        <f>Budget!J10</f>
        <v>77300</v>
      </c>
      <c r="N92" s="121">
        <f>Budget!K10</f>
        <v>77500</v>
      </c>
      <c r="O92" s="121">
        <f>Budget!L10</f>
        <v>77800</v>
      </c>
      <c r="P92" s="121">
        <f>Budget!M10</f>
        <v>78000</v>
      </c>
    </row>
    <row r="93" spans="1:16" x14ac:dyDescent="0.25">
      <c r="A93" s="94" t="s">
        <v>322</v>
      </c>
      <c r="E93" s="121">
        <f>Budget!B11</f>
        <v>65100</v>
      </c>
      <c r="F93" s="121">
        <f>Budget!C11</f>
        <v>65300</v>
      </c>
      <c r="G93" s="121">
        <f>Budget!D11</f>
        <v>65500</v>
      </c>
      <c r="H93" s="121">
        <f>Budget!E11</f>
        <v>65700</v>
      </c>
      <c r="I93" s="121">
        <f>Budget!F11</f>
        <v>65900</v>
      </c>
      <c r="J93" s="121">
        <f>Budget!G11</f>
        <v>66100</v>
      </c>
      <c r="K93" s="121">
        <f>Budget!H11</f>
        <v>66300</v>
      </c>
      <c r="L93" s="121">
        <f>Budget!I11</f>
        <v>66400</v>
      </c>
      <c r="M93" s="121">
        <f>Budget!J11</f>
        <v>66600</v>
      </c>
      <c r="N93" s="121">
        <f>Budget!K11</f>
        <v>66800</v>
      </c>
      <c r="O93" s="121">
        <f>Budget!L11</f>
        <v>67000</v>
      </c>
      <c r="P93" s="121">
        <f>Budget!M11</f>
        <v>67200</v>
      </c>
    </row>
    <row r="94" spans="1:16" x14ac:dyDescent="0.25">
      <c r="A94" s="94" t="s">
        <v>325</v>
      </c>
      <c r="E94" s="121">
        <f>Budget!B12</f>
        <v>23200</v>
      </c>
      <c r="F94" s="121">
        <f>Budget!C12</f>
        <v>23200</v>
      </c>
      <c r="G94" s="121">
        <f>Budget!D12</f>
        <v>23300</v>
      </c>
      <c r="H94" s="121">
        <f>Budget!E12</f>
        <v>23400</v>
      </c>
      <c r="I94" s="121">
        <f>Budget!F12</f>
        <v>23500</v>
      </c>
      <c r="J94" s="121">
        <f>Budget!G12</f>
        <v>23500</v>
      </c>
      <c r="K94" s="121">
        <f>Budget!H12</f>
        <v>23600</v>
      </c>
      <c r="L94" s="121">
        <f>Budget!I12</f>
        <v>23700</v>
      </c>
      <c r="M94" s="121">
        <f>Budget!J12</f>
        <v>23700</v>
      </c>
      <c r="N94" s="121">
        <f>Budget!K12</f>
        <v>23800</v>
      </c>
      <c r="O94" s="121">
        <f>Budget!L12</f>
        <v>23900</v>
      </c>
      <c r="P94" s="121">
        <f>Budget!M12</f>
        <v>23900</v>
      </c>
    </row>
    <row r="95" spans="1:16" x14ac:dyDescent="0.25">
      <c r="A95" s="94" t="s">
        <v>329</v>
      </c>
      <c r="E95" s="121">
        <f>Budget!B13</f>
        <v>30300</v>
      </c>
      <c r="F95" s="121">
        <f>Budget!C13</f>
        <v>30400</v>
      </c>
      <c r="G95" s="121">
        <f>Budget!D13</f>
        <v>30500</v>
      </c>
      <c r="H95" s="121">
        <f>Budget!E13</f>
        <v>30600</v>
      </c>
      <c r="I95" s="121">
        <f>Budget!F13</f>
        <v>30600</v>
      </c>
      <c r="J95" s="121">
        <f>Budget!G13</f>
        <v>30700</v>
      </c>
      <c r="K95" s="121">
        <f>Budget!H13</f>
        <v>30800</v>
      </c>
      <c r="L95" s="121">
        <f>Budget!I13</f>
        <v>30900</v>
      </c>
      <c r="M95" s="121">
        <f>Budget!J13</f>
        <v>31000</v>
      </c>
      <c r="N95" s="121">
        <f>Budget!K13</f>
        <v>31100</v>
      </c>
      <c r="O95" s="121">
        <f>Budget!L13</f>
        <v>31200</v>
      </c>
      <c r="P95" s="121">
        <f>Budget!M13</f>
        <v>31300</v>
      </c>
    </row>
    <row r="96" spans="1:16" x14ac:dyDescent="0.25">
      <c r="A96" s="94" t="s">
        <v>333</v>
      </c>
      <c r="E96" s="121">
        <f>Budget!B14</f>
        <v>24400</v>
      </c>
      <c r="F96" s="121">
        <f>Budget!C14</f>
        <v>24500</v>
      </c>
      <c r="G96" s="121">
        <f>Budget!D14</f>
        <v>24500</v>
      </c>
      <c r="H96" s="121">
        <f>Budget!E14</f>
        <v>24600</v>
      </c>
      <c r="I96" s="121">
        <f>Budget!F14</f>
        <v>24700</v>
      </c>
      <c r="J96" s="121">
        <f>Budget!G14</f>
        <v>24700</v>
      </c>
      <c r="K96" s="121">
        <f>Budget!H14</f>
        <v>24800</v>
      </c>
      <c r="L96" s="121">
        <f>Budget!I14</f>
        <v>24900</v>
      </c>
      <c r="M96" s="121">
        <f>Budget!J14</f>
        <v>25000</v>
      </c>
      <c r="N96" s="121">
        <f>Budget!K14</f>
        <v>25000</v>
      </c>
      <c r="O96" s="121">
        <f>Budget!L14</f>
        <v>25100</v>
      </c>
      <c r="P96" s="121">
        <f>Budget!M14</f>
        <v>25200</v>
      </c>
    </row>
    <row r="97" spans="1:16" x14ac:dyDescent="0.25">
      <c r="A97" s="94" t="s">
        <v>335</v>
      </c>
      <c r="E97" s="121">
        <f>Budget!B15</f>
        <v>9700</v>
      </c>
      <c r="F97" s="121">
        <f>Budget!C15</f>
        <v>9700</v>
      </c>
      <c r="G97" s="121">
        <f>Budget!D15</f>
        <v>9700</v>
      </c>
      <c r="H97" s="121">
        <f>Budget!E15</f>
        <v>9800</v>
      </c>
      <c r="I97" s="121">
        <f>Budget!F15</f>
        <v>9800</v>
      </c>
      <c r="J97" s="121">
        <f>Budget!G15</f>
        <v>9800</v>
      </c>
      <c r="K97" s="121">
        <f>Budget!H15</f>
        <v>9900</v>
      </c>
      <c r="L97" s="121">
        <f>Budget!I15</f>
        <v>9900</v>
      </c>
      <c r="M97" s="121">
        <f>Budget!J15</f>
        <v>9900</v>
      </c>
      <c r="N97" s="121">
        <f>Budget!K15</f>
        <v>9900</v>
      </c>
      <c r="O97" s="121">
        <f>Budget!L15</f>
        <v>10000</v>
      </c>
      <c r="P97" s="121">
        <f>Budget!M15</f>
        <v>10000</v>
      </c>
    </row>
    <row r="98" spans="1:16" x14ac:dyDescent="0.25">
      <c r="A98" s="94" t="s">
        <v>336</v>
      </c>
      <c r="E98" s="121">
        <f>Budget!B16</f>
        <v>17500</v>
      </c>
      <c r="F98" s="121">
        <f>Budget!C16</f>
        <v>17600</v>
      </c>
      <c r="G98" s="121">
        <f>Budget!D16</f>
        <v>17600</v>
      </c>
      <c r="H98" s="121">
        <f>Budget!E16</f>
        <v>17700</v>
      </c>
      <c r="I98" s="121">
        <f>Budget!F16</f>
        <v>17700</v>
      </c>
      <c r="J98" s="121">
        <f>Budget!G16</f>
        <v>17800</v>
      </c>
      <c r="K98" s="121">
        <f>Budget!H16</f>
        <v>17800</v>
      </c>
      <c r="L98" s="121">
        <f>Budget!I16</f>
        <v>17900</v>
      </c>
      <c r="M98" s="121">
        <f>Budget!J16</f>
        <v>17900</v>
      </c>
      <c r="N98" s="121">
        <f>Budget!K16</f>
        <v>18000</v>
      </c>
      <c r="O98" s="121">
        <f>Budget!L16</f>
        <v>18000</v>
      </c>
      <c r="P98" s="121">
        <f>Budget!M16</f>
        <v>18100</v>
      </c>
    </row>
    <row r="99" spans="1:16" x14ac:dyDescent="0.25">
      <c r="A99" s="94" t="s">
        <v>337</v>
      </c>
      <c r="E99" s="121">
        <f>Budget!B17</f>
        <v>7400</v>
      </c>
      <c r="F99" s="121">
        <f>Budget!C17</f>
        <v>7400</v>
      </c>
      <c r="G99" s="121">
        <f>Budget!D17</f>
        <v>7400</v>
      </c>
      <c r="H99" s="121">
        <f>Budget!E17</f>
        <v>7400</v>
      </c>
      <c r="I99" s="121">
        <f>Budget!F17</f>
        <v>7500</v>
      </c>
      <c r="J99" s="121">
        <f>Budget!G17</f>
        <v>7500</v>
      </c>
      <c r="K99" s="121">
        <f>Budget!H17</f>
        <v>7500</v>
      </c>
      <c r="L99" s="121">
        <f>Budget!I17</f>
        <v>7500</v>
      </c>
      <c r="M99" s="121">
        <f>Budget!J17</f>
        <v>7500</v>
      </c>
      <c r="N99" s="121">
        <f>Budget!K17</f>
        <v>7600</v>
      </c>
      <c r="O99" s="121">
        <f>Budget!L17</f>
        <v>7600</v>
      </c>
      <c r="P99" s="121">
        <f>Budget!M17</f>
        <v>7600</v>
      </c>
    </row>
    <row r="100" spans="1:16" x14ac:dyDescent="0.25">
      <c r="A100" s="94" t="s">
        <v>339</v>
      </c>
      <c r="E100" s="121">
        <f>Budget!B18</f>
        <v>28200</v>
      </c>
      <c r="F100" s="121">
        <f>Budget!C18</f>
        <v>28300</v>
      </c>
      <c r="G100" s="121">
        <f>Budget!D18</f>
        <v>28400</v>
      </c>
      <c r="H100" s="121">
        <f>Budget!E18</f>
        <v>28500</v>
      </c>
      <c r="I100" s="121">
        <f>Budget!F18</f>
        <v>28600</v>
      </c>
      <c r="J100" s="121">
        <f>Budget!G18</f>
        <v>28700</v>
      </c>
      <c r="K100" s="121">
        <f>Budget!H18</f>
        <v>28800</v>
      </c>
      <c r="L100" s="121">
        <f>Budget!I18</f>
        <v>28800</v>
      </c>
      <c r="M100" s="121">
        <f>Budget!J18</f>
        <v>28900</v>
      </c>
      <c r="N100" s="121">
        <f>Budget!K18</f>
        <v>29000</v>
      </c>
      <c r="O100" s="121">
        <f>Budget!L18</f>
        <v>29100</v>
      </c>
      <c r="P100" s="121">
        <f>Budget!M18</f>
        <v>29200</v>
      </c>
    </row>
    <row r="101" spans="1:16" x14ac:dyDescent="0.25">
      <c r="A101" s="94" t="s">
        <v>25</v>
      </c>
      <c r="E101" s="121">
        <f>Budget!B19</f>
        <v>40800</v>
      </c>
      <c r="F101" s="121">
        <f>Budget!C19</f>
        <v>40800</v>
      </c>
      <c r="G101" s="121">
        <f>Budget!D19</f>
        <v>40800</v>
      </c>
      <c r="H101" s="121">
        <f>Budget!E19</f>
        <v>40800</v>
      </c>
      <c r="I101" s="121">
        <f>Budget!F19</f>
        <v>45000</v>
      </c>
      <c r="J101" s="121">
        <f>Budget!G19</f>
        <v>45000</v>
      </c>
      <c r="K101" s="121">
        <f>Budget!H19</f>
        <v>45000</v>
      </c>
      <c r="L101" s="121">
        <f>Budget!I19</f>
        <v>45000</v>
      </c>
      <c r="M101" s="121">
        <f>Budget!J19</f>
        <v>47000</v>
      </c>
      <c r="N101" s="121">
        <f>Budget!K19</f>
        <v>47000</v>
      </c>
      <c r="O101" s="121">
        <f>Budget!L19</f>
        <v>47000</v>
      </c>
      <c r="P101" s="121">
        <f>Budget!M19</f>
        <v>47000</v>
      </c>
    </row>
    <row r="102" spans="1:16" x14ac:dyDescent="0.25">
      <c r="A102" s="94" t="s">
        <v>27</v>
      </c>
      <c r="E102" s="121">
        <f>Budget!B20</f>
        <v>1400</v>
      </c>
      <c r="F102" s="121">
        <f>Budget!C20</f>
        <v>1400</v>
      </c>
      <c r="G102" s="121">
        <f>Budget!D20</f>
        <v>1400</v>
      </c>
      <c r="H102" s="121">
        <f>Budget!E20</f>
        <v>1400</v>
      </c>
      <c r="I102" s="121">
        <f>Budget!F20</f>
        <v>1400</v>
      </c>
      <c r="J102" s="121">
        <f>Budget!G20</f>
        <v>1400</v>
      </c>
      <c r="K102" s="121">
        <f>Budget!H20</f>
        <v>1400</v>
      </c>
      <c r="L102" s="121">
        <f>Budget!I20</f>
        <v>1400</v>
      </c>
      <c r="M102" s="121">
        <f>Budget!J20</f>
        <v>1400</v>
      </c>
      <c r="N102" s="121">
        <f>Budget!K20</f>
        <v>1400</v>
      </c>
      <c r="O102" s="121">
        <f>Budget!L20</f>
        <v>1400</v>
      </c>
      <c r="P102" s="121">
        <f>Budget!M20</f>
        <v>1400</v>
      </c>
    </row>
    <row r="103" spans="1:16" x14ac:dyDescent="0.25">
      <c r="A103" s="94" t="s">
        <v>28</v>
      </c>
      <c r="E103" s="121">
        <f>Budget!B21</f>
        <v>13200</v>
      </c>
      <c r="F103" s="121">
        <f>Budget!C21</f>
        <v>13000</v>
      </c>
      <c r="G103" s="121">
        <f>Budget!D21</f>
        <v>12700</v>
      </c>
      <c r="H103" s="121">
        <f>Budget!E21</f>
        <v>12500</v>
      </c>
      <c r="I103" s="121">
        <f>Budget!F21</f>
        <v>12300</v>
      </c>
      <c r="J103" s="121">
        <f>Budget!G21</f>
        <v>12000</v>
      </c>
      <c r="K103" s="121">
        <f>Budget!H21</f>
        <v>11800</v>
      </c>
      <c r="L103" s="121">
        <f>Budget!I21</f>
        <v>11500</v>
      </c>
      <c r="M103" s="121">
        <f>Budget!J21</f>
        <v>11300</v>
      </c>
      <c r="N103" s="121">
        <f>Budget!K21</f>
        <v>11100</v>
      </c>
      <c r="O103" s="121">
        <f>Budget!L21</f>
        <v>10800</v>
      </c>
      <c r="P103" s="121">
        <f>Budget!M21</f>
        <v>10600</v>
      </c>
    </row>
    <row r="104" spans="1:16" x14ac:dyDescent="0.25">
      <c r="A104" s="94" t="s">
        <v>30</v>
      </c>
      <c r="E104" s="121">
        <f>Budget!B22</f>
        <v>32300</v>
      </c>
      <c r="F104" s="121">
        <f>Budget!C22</f>
        <v>28200</v>
      </c>
      <c r="G104" s="121">
        <f>Budget!D22</f>
        <v>46300</v>
      </c>
      <c r="H104" s="121">
        <f>Budget!E22</f>
        <v>51200</v>
      </c>
      <c r="I104" s="121">
        <f>Budget!F22</f>
        <v>55100</v>
      </c>
      <c r="J104" s="121">
        <f>Budget!G22</f>
        <v>57800</v>
      </c>
      <c r="K104" s="121">
        <f>Budget!H22</f>
        <v>51600</v>
      </c>
      <c r="L104" s="121">
        <f>Budget!I22</f>
        <v>54300</v>
      </c>
      <c r="M104" s="121">
        <f>Budget!J22</f>
        <v>61100</v>
      </c>
      <c r="N104" s="121">
        <f>Budget!K22</f>
        <v>70700</v>
      </c>
      <c r="O104" s="121">
        <f>Budget!L22</f>
        <v>84900</v>
      </c>
      <c r="P104" s="121">
        <f>Budget!M22</f>
        <v>99300</v>
      </c>
    </row>
    <row r="107" spans="1:16" x14ac:dyDescent="0.25">
      <c r="A107" s="93" t="s">
        <v>402</v>
      </c>
    </row>
    <row r="108" spans="1:16" x14ac:dyDescent="0.25">
      <c r="A108" s="94" t="s">
        <v>7</v>
      </c>
      <c r="D108" s="121">
        <v>0</v>
      </c>
      <c r="E108" s="121">
        <f>SUM($E88:E88)</f>
        <v>1637600</v>
      </c>
      <c r="F108" s="121">
        <f>SUM($E88:F88)</f>
        <v>3246000</v>
      </c>
      <c r="G108" s="121">
        <f>SUM($E88:G88)</f>
        <v>5004400</v>
      </c>
      <c r="H108" s="121">
        <f>SUM($E88:H88)</f>
        <v>6805800</v>
      </c>
      <c r="I108" s="121">
        <f>SUM($E88:I88)</f>
        <v>8650400</v>
      </c>
      <c r="J108" s="121">
        <f>SUM($E88:J88)</f>
        <v>10520500</v>
      </c>
      <c r="K108" s="121">
        <f>SUM($E88:K88)</f>
        <v>12343200</v>
      </c>
      <c r="L108" s="121">
        <f>SUM($E88:L88)</f>
        <v>14191300</v>
      </c>
      <c r="M108" s="121">
        <f>SUM($E88:M88)</f>
        <v>16101700</v>
      </c>
      <c r="N108" s="121">
        <f>SUM($E88:N88)</f>
        <v>18093300</v>
      </c>
      <c r="O108" s="121">
        <f>SUM($E88:O88)</f>
        <v>20203700</v>
      </c>
      <c r="P108" s="121">
        <f>SUM($E88:P88)</f>
        <v>22433700</v>
      </c>
    </row>
    <row r="109" spans="1:16" x14ac:dyDescent="0.25">
      <c r="A109" s="94" t="s">
        <v>8</v>
      </c>
      <c r="D109" s="121">
        <v>0</v>
      </c>
      <c r="E109" s="121">
        <f>SUM($E89:E89)</f>
        <v>828700</v>
      </c>
      <c r="F109" s="121">
        <f>SUM($E89:F89)</f>
        <v>1642600</v>
      </c>
      <c r="G109" s="121">
        <f>SUM($E89:G89)</f>
        <v>2532400</v>
      </c>
      <c r="H109" s="121">
        <f>SUM($E89:H89)</f>
        <v>3444000</v>
      </c>
      <c r="I109" s="121">
        <f>SUM($E89:I89)</f>
        <v>4377500</v>
      </c>
      <c r="J109" s="121">
        <f>SUM($E89:J89)</f>
        <v>5323800</v>
      </c>
      <c r="K109" s="121">
        <f>SUM($E89:K89)</f>
        <v>6246200</v>
      </c>
      <c r="L109" s="121">
        <f>SUM($E89:L89)</f>
        <v>7181400</v>
      </c>
      <c r="M109" s="121">
        <f>SUM($E89:M89)</f>
        <v>8148200</v>
      </c>
      <c r="N109" s="121">
        <f>SUM($E89:N89)</f>
        <v>9156000</v>
      </c>
      <c r="O109" s="121">
        <f>SUM($E89:O89)</f>
        <v>10223900</v>
      </c>
      <c r="P109" s="121">
        <f>SUM($E89:P89)</f>
        <v>11352400</v>
      </c>
    </row>
    <row r="110" spans="1:16" x14ac:dyDescent="0.25">
      <c r="A110" s="94" t="s">
        <v>11</v>
      </c>
      <c r="D110" s="121">
        <v>0</v>
      </c>
      <c r="E110" s="121">
        <f>SUM($E90:E90)</f>
        <v>6000</v>
      </c>
      <c r="F110" s="121">
        <f>SUM($E90:F90)</f>
        <v>12000</v>
      </c>
      <c r="G110" s="121">
        <f>SUM($E90:G90)</f>
        <v>18000</v>
      </c>
      <c r="H110" s="121">
        <f>SUM($E90:H90)</f>
        <v>24000</v>
      </c>
      <c r="I110" s="121">
        <f>SUM($E90:I90)</f>
        <v>30000</v>
      </c>
      <c r="J110" s="121">
        <f>SUM($E90:J90)</f>
        <v>36000</v>
      </c>
      <c r="K110" s="121">
        <f>SUM($E90:K90)</f>
        <v>42000</v>
      </c>
      <c r="L110" s="121">
        <f>SUM($E90:L90)</f>
        <v>48000</v>
      </c>
      <c r="M110" s="121">
        <f>SUM($E90:M90)</f>
        <v>54000</v>
      </c>
      <c r="N110" s="121">
        <f>SUM($E90:N90)</f>
        <v>60000</v>
      </c>
      <c r="O110" s="121">
        <f>SUM($E90:O90)</f>
        <v>66000</v>
      </c>
      <c r="P110" s="121">
        <f>SUM($E90:P90)</f>
        <v>72000</v>
      </c>
    </row>
    <row r="111" spans="1:16" x14ac:dyDescent="0.25">
      <c r="A111" s="94" t="s">
        <v>315</v>
      </c>
      <c r="D111" s="121">
        <v>0</v>
      </c>
      <c r="E111" s="121">
        <f>SUM($E91:E91)</f>
        <v>352100</v>
      </c>
      <c r="F111" s="121">
        <f>SUM($E91:F91)</f>
        <v>705200</v>
      </c>
      <c r="G111" s="121">
        <f>SUM($E91:G91)</f>
        <v>1059400</v>
      </c>
      <c r="H111" s="121">
        <f>SUM($E91:H91)</f>
        <v>1414600</v>
      </c>
      <c r="I111" s="121">
        <f>SUM($E91:I91)</f>
        <v>1770900</v>
      </c>
      <c r="J111" s="121">
        <f>SUM($E91:J91)</f>
        <v>2128200</v>
      </c>
      <c r="K111" s="121">
        <f>SUM($E91:K91)</f>
        <v>2486600</v>
      </c>
      <c r="L111" s="121">
        <f>SUM($E91:L91)</f>
        <v>2846100</v>
      </c>
      <c r="M111" s="121">
        <f>SUM($E91:M91)</f>
        <v>3206600</v>
      </c>
      <c r="N111" s="121">
        <f>SUM($E91:N91)</f>
        <v>3568200</v>
      </c>
      <c r="O111" s="121">
        <f>SUM($E91:O91)</f>
        <v>3930800</v>
      </c>
      <c r="P111" s="121">
        <f>SUM($E91:P91)</f>
        <v>4294500</v>
      </c>
    </row>
    <row r="112" spans="1:16" x14ac:dyDescent="0.25">
      <c r="A112" s="94" t="s">
        <v>319</v>
      </c>
      <c r="D112" s="121">
        <v>0</v>
      </c>
      <c r="E112" s="121">
        <f>SUM($E92:E92)</f>
        <v>75500</v>
      </c>
      <c r="F112" s="121">
        <f>SUM($E92:F92)</f>
        <v>151200</v>
      </c>
      <c r="G112" s="121">
        <f>SUM($E92:G92)</f>
        <v>227200</v>
      </c>
      <c r="H112" s="121">
        <f>SUM($E92:H92)</f>
        <v>303400</v>
      </c>
      <c r="I112" s="121">
        <f>SUM($E92:I92)</f>
        <v>379800</v>
      </c>
      <c r="J112" s="121">
        <f>SUM($E92:J92)</f>
        <v>456400</v>
      </c>
      <c r="K112" s="121">
        <f>SUM($E92:K92)</f>
        <v>533300</v>
      </c>
      <c r="L112" s="121">
        <f>SUM($E92:L92)</f>
        <v>610400</v>
      </c>
      <c r="M112" s="121">
        <f>SUM($E92:M92)</f>
        <v>687700</v>
      </c>
      <c r="N112" s="121">
        <f>SUM($E92:N92)</f>
        <v>765200</v>
      </c>
      <c r="O112" s="121">
        <f>SUM($E92:O92)</f>
        <v>843000</v>
      </c>
      <c r="P112" s="121">
        <f>SUM($E92:P92)</f>
        <v>921000</v>
      </c>
    </row>
    <row r="113" spans="1:16" x14ac:dyDescent="0.25">
      <c r="A113" s="94" t="s">
        <v>322</v>
      </c>
      <c r="D113" s="121">
        <v>0</v>
      </c>
      <c r="E113" s="121">
        <f>SUM($E93:E93)</f>
        <v>65100</v>
      </c>
      <c r="F113" s="121">
        <f>SUM($E93:F93)</f>
        <v>130400</v>
      </c>
      <c r="G113" s="121">
        <f>SUM($E93:G93)</f>
        <v>195900</v>
      </c>
      <c r="H113" s="121">
        <f>SUM($E93:H93)</f>
        <v>261600</v>
      </c>
      <c r="I113" s="121">
        <f>SUM($E93:I93)</f>
        <v>327500</v>
      </c>
      <c r="J113" s="121">
        <f>SUM($E93:J93)</f>
        <v>393600</v>
      </c>
      <c r="K113" s="121">
        <f>SUM($E93:K93)</f>
        <v>459900</v>
      </c>
      <c r="L113" s="121">
        <f>SUM($E93:L93)</f>
        <v>526300</v>
      </c>
      <c r="M113" s="121">
        <f>SUM($E93:M93)</f>
        <v>592900</v>
      </c>
      <c r="N113" s="121">
        <f>SUM($E93:N93)</f>
        <v>659700</v>
      </c>
      <c r="O113" s="121">
        <f>SUM($E93:O93)</f>
        <v>726700</v>
      </c>
      <c r="P113" s="121">
        <f>SUM($E93:P93)</f>
        <v>793900</v>
      </c>
    </row>
    <row r="114" spans="1:16" x14ac:dyDescent="0.25">
      <c r="A114" s="94" t="s">
        <v>325</v>
      </c>
      <c r="D114" s="121">
        <v>0</v>
      </c>
      <c r="E114" s="121">
        <f>SUM($E94:E94)</f>
        <v>23200</v>
      </c>
      <c r="F114" s="121">
        <f>SUM($E94:F94)</f>
        <v>46400</v>
      </c>
      <c r="G114" s="121">
        <f>SUM($E94:G94)</f>
        <v>69700</v>
      </c>
      <c r="H114" s="121">
        <f>SUM($E94:H94)</f>
        <v>93100</v>
      </c>
      <c r="I114" s="121">
        <f>SUM($E94:I94)</f>
        <v>116600</v>
      </c>
      <c r="J114" s="121">
        <f>SUM($E94:J94)</f>
        <v>140100</v>
      </c>
      <c r="K114" s="121">
        <f>SUM($E94:K94)</f>
        <v>163700</v>
      </c>
      <c r="L114" s="121">
        <f>SUM($E94:L94)</f>
        <v>187400</v>
      </c>
      <c r="M114" s="121">
        <f>SUM($E94:M94)</f>
        <v>211100</v>
      </c>
      <c r="N114" s="121">
        <f>SUM($E94:N94)</f>
        <v>234900</v>
      </c>
      <c r="O114" s="121">
        <f>SUM($E94:O94)</f>
        <v>258800</v>
      </c>
      <c r="P114" s="121">
        <f>SUM($E94:P94)</f>
        <v>282700</v>
      </c>
    </row>
    <row r="115" spans="1:16" x14ac:dyDescent="0.25">
      <c r="A115" s="94" t="s">
        <v>329</v>
      </c>
      <c r="D115" s="121">
        <v>0</v>
      </c>
      <c r="E115" s="121">
        <f>SUM($E95:E95)</f>
        <v>30300</v>
      </c>
      <c r="F115" s="121">
        <f>SUM($E95:F95)</f>
        <v>60700</v>
      </c>
      <c r="G115" s="121">
        <f>SUM($E95:G95)</f>
        <v>91200</v>
      </c>
      <c r="H115" s="121">
        <f>SUM($E95:H95)</f>
        <v>121800</v>
      </c>
      <c r="I115" s="121">
        <f>SUM($E95:I95)</f>
        <v>152400</v>
      </c>
      <c r="J115" s="121">
        <f>SUM($E95:J95)</f>
        <v>183100</v>
      </c>
      <c r="K115" s="121">
        <f>SUM($E95:K95)</f>
        <v>213900</v>
      </c>
      <c r="L115" s="121">
        <f>SUM($E95:L95)</f>
        <v>244800</v>
      </c>
      <c r="M115" s="121">
        <f>SUM($E95:M95)</f>
        <v>275800</v>
      </c>
      <c r="N115" s="121">
        <f>SUM($E95:N95)</f>
        <v>306900</v>
      </c>
      <c r="O115" s="121">
        <f>SUM($E95:O95)</f>
        <v>338100</v>
      </c>
      <c r="P115" s="121">
        <f>SUM($E95:P95)</f>
        <v>369400</v>
      </c>
    </row>
    <row r="116" spans="1:16" x14ac:dyDescent="0.25">
      <c r="A116" s="94" t="s">
        <v>333</v>
      </c>
      <c r="D116" s="121">
        <v>0</v>
      </c>
      <c r="E116" s="121">
        <f>SUM($E96:E96)</f>
        <v>24400</v>
      </c>
      <c r="F116" s="121">
        <f>SUM($E96:F96)</f>
        <v>48900</v>
      </c>
      <c r="G116" s="121">
        <f>SUM($E96:G96)</f>
        <v>73400</v>
      </c>
      <c r="H116" s="121">
        <f>SUM($E96:H96)</f>
        <v>98000</v>
      </c>
      <c r="I116" s="121">
        <f>SUM($E96:I96)</f>
        <v>122700</v>
      </c>
      <c r="J116" s="121">
        <f>SUM($E96:J96)</f>
        <v>147400</v>
      </c>
      <c r="K116" s="121">
        <f>SUM($E96:K96)</f>
        <v>172200</v>
      </c>
      <c r="L116" s="121">
        <f>SUM($E96:L96)</f>
        <v>197100</v>
      </c>
      <c r="M116" s="121">
        <f>SUM($E96:M96)</f>
        <v>222100</v>
      </c>
      <c r="N116" s="121">
        <f>SUM($E96:N96)</f>
        <v>247100</v>
      </c>
      <c r="O116" s="121">
        <f>SUM($E96:O96)</f>
        <v>272200</v>
      </c>
      <c r="P116" s="121">
        <f>SUM($E96:P96)</f>
        <v>297400</v>
      </c>
    </row>
    <row r="117" spans="1:16" x14ac:dyDescent="0.25">
      <c r="A117" s="94" t="s">
        <v>335</v>
      </c>
      <c r="D117" s="121">
        <v>0</v>
      </c>
      <c r="E117" s="121">
        <f>SUM($E97:E97)</f>
        <v>9700</v>
      </c>
      <c r="F117" s="121">
        <f>SUM($E97:F97)</f>
        <v>19400</v>
      </c>
      <c r="G117" s="121">
        <f>SUM($E97:G97)</f>
        <v>29100</v>
      </c>
      <c r="H117" s="121">
        <f>SUM($E97:H97)</f>
        <v>38900</v>
      </c>
      <c r="I117" s="121">
        <f>SUM($E97:I97)</f>
        <v>48700</v>
      </c>
      <c r="J117" s="121">
        <f>SUM($E97:J97)</f>
        <v>58500</v>
      </c>
      <c r="K117" s="121">
        <f>SUM($E97:K97)</f>
        <v>68400</v>
      </c>
      <c r="L117" s="121">
        <f>SUM($E97:L97)</f>
        <v>78300</v>
      </c>
      <c r="M117" s="121">
        <f>SUM($E97:M97)</f>
        <v>88200</v>
      </c>
      <c r="N117" s="121">
        <f>SUM($E97:N97)</f>
        <v>98100</v>
      </c>
      <c r="O117" s="121">
        <f>SUM($E97:O97)</f>
        <v>108100</v>
      </c>
      <c r="P117" s="121">
        <f>SUM($E97:P97)</f>
        <v>118100</v>
      </c>
    </row>
    <row r="118" spans="1:16" x14ac:dyDescent="0.25">
      <c r="A118" s="94" t="s">
        <v>336</v>
      </c>
      <c r="D118" s="121">
        <v>0</v>
      </c>
      <c r="E118" s="121">
        <f>SUM($E98:E98)</f>
        <v>17500</v>
      </c>
      <c r="F118" s="121">
        <f>SUM($E98:F98)</f>
        <v>35100</v>
      </c>
      <c r="G118" s="121">
        <f>SUM($E98:G98)</f>
        <v>52700</v>
      </c>
      <c r="H118" s="121">
        <f>SUM($E98:H98)</f>
        <v>70400</v>
      </c>
      <c r="I118" s="121">
        <f>SUM($E98:I98)</f>
        <v>88100</v>
      </c>
      <c r="J118" s="121">
        <f>SUM($E98:J98)</f>
        <v>105900</v>
      </c>
      <c r="K118" s="121">
        <f>SUM($E98:K98)</f>
        <v>123700</v>
      </c>
      <c r="L118" s="121">
        <f>SUM($E98:L98)</f>
        <v>141600</v>
      </c>
      <c r="M118" s="121">
        <f>SUM($E98:M98)</f>
        <v>159500</v>
      </c>
      <c r="N118" s="121">
        <f>SUM($E98:N98)</f>
        <v>177500</v>
      </c>
      <c r="O118" s="121">
        <f>SUM($E98:O98)</f>
        <v>195500</v>
      </c>
      <c r="P118" s="121">
        <f>SUM($E98:P98)</f>
        <v>213600</v>
      </c>
    </row>
    <row r="119" spans="1:16" x14ac:dyDescent="0.25">
      <c r="A119" s="94" t="s">
        <v>337</v>
      </c>
      <c r="D119" s="121">
        <v>0</v>
      </c>
      <c r="E119" s="121">
        <f>SUM($E99:E99)</f>
        <v>7400</v>
      </c>
      <c r="F119" s="121">
        <f>SUM($E99:F99)</f>
        <v>14800</v>
      </c>
      <c r="G119" s="121">
        <f>SUM($E99:G99)</f>
        <v>22200</v>
      </c>
      <c r="H119" s="121">
        <f>SUM($E99:H99)</f>
        <v>29600</v>
      </c>
      <c r="I119" s="121">
        <f>SUM($E99:I99)</f>
        <v>37100</v>
      </c>
      <c r="J119" s="121">
        <f>SUM($E99:J99)</f>
        <v>44600</v>
      </c>
      <c r="K119" s="121">
        <f>SUM($E99:K99)</f>
        <v>52100</v>
      </c>
      <c r="L119" s="121">
        <f>SUM($E99:L99)</f>
        <v>59600</v>
      </c>
      <c r="M119" s="121">
        <f>SUM($E99:M99)</f>
        <v>67100</v>
      </c>
      <c r="N119" s="121">
        <f>SUM($E99:N99)</f>
        <v>74700</v>
      </c>
      <c r="O119" s="121">
        <f>SUM($E99:O99)</f>
        <v>82300</v>
      </c>
      <c r="P119" s="121">
        <f>SUM($E99:P99)</f>
        <v>89900</v>
      </c>
    </row>
    <row r="120" spans="1:16" x14ac:dyDescent="0.25">
      <c r="A120" s="94" t="s">
        <v>339</v>
      </c>
      <c r="D120" s="121">
        <v>0</v>
      </c>
      <c r="E120" s="121">
        <f>SUM($E100:E100)</f>
        <v>28200</v>
      </c>
      <c r="F120" s="121">
        <f>SUM($E100:F100)</f>
        <v>56500</v>
      </c>
      <c r="G120" s="121">
        <f>SUM($E100:G100)</f>
        <v>84900</v>
      </c>
      <c r="H120" s="121">
        <f>SUM($E100:H100)</f>
        <v>113400</v>
      </c>
      <c r="I120" s="121">
        <f>SUM($E100:I100)</f>
        <v>142000</v>
      </c>
      <c r="J120" s="121">
        <f>SUM($E100:J100)</f>
        <v>170700</v>
      </c>
      <c r="K120" s="121">
        <f>SUM($E100:K100)</f>
        <v>199500</v>
      </c>
      <c r="L120" s="121">
        <f>SUM($E100:L100)</f>
        <v>228300</v>
      </c>
      <c r="M120" s="121">
        <f>SUM($E100:M100)</f>
        <v>257200</v>
      </c>
      <c r="N120" s="121">
        <f>SUM($E100:N100)</f>
        <v>286200</v>
      </c>
      <c r="O120" s="121">
        <f>SUM($E100:O100)</f>
        <v>315300</v>
      </c>
      <c r="P120" s="121">
        <f>SUM($E100:P100)</f>
        <v>344500</v>
      </c>
    </row>
    <row r="121" spans="1:16" x14ac:dyDescent="0.25">
      <c r="A121" s="94" t="s">
        <v>25</v>
      </c>
      <c r="D121" s="121">
        <v>0</v>
      </c>
      <c r="E121" s="121">
        <f>SUM($E101:E101)</f>
        <v>40800</v>
      </c>
      <c r="F121" s="121">
        <f>SUM($E101:F101)</f>
        <v>81600</v>
      </c>
      <c r="G121" s="121">
        <f>SUM($E101:G101)</f>
        <v>122400</v>
      </c>
      <c r="H121" s="121">
        <f>SUM($E101:H101)</f>
        <v>163200</v>
      </c>
      <c r="I121" s="121">
        <f>SUM($E101:I101)</f>
        <v>208200</v>
      </c>
      <c r="J121" s="121">
        <f>SUM($E101:J101)</f>
        <v>253200</v>
      </c>
      <c r="K121" s="121">
        <f>SUM($E101:K101)</f>
        <v>298200</v>
      </c>
      <c r="L121" s="121">
        <f>SUM($E101:L101)</f>
        <v>343200</v>
      </c>
      <c r="M121" s="121">
        <f>SUM($E101:M101)</f>
        <v>390200</v>
      </c>
      <c r="N121" s="121">
        <f>SUM($E101:N101)</f>
        <v>437200</v>
      </c>
      <c r="O121" s="121">
        <f>SUM($E101:O101)</f>
        <v>484200</v>
      </c>
      <c r="P121" s="121">
        <f>SUM($E101:P101)</f>
        <v>531200</v>
      </c>
    </row>
    <row r="122" spans="1:16" x14ac:dyDescent="0.25">
      <c r="A122" s="94" t="s">
        <v>27</v>
      </c>
      <c r="D122" s="121">
        <v>0</v>
      </c>
      <c r="E122" s="121">
        <f>SUM($E102:E102)</f>
        <v>1400</v>
      </c>
      <c r="F122" s="121">
        <f>SUM($E102:F102)</f>
        <v>2800</v>
      </c>
      <c r="G122" s="121">
        <f>SUM($E102:G102)</f>
        <v>4200</v>
      </c>
      <c r="H122" s="121">
        <f>SUM($E102:H102)</f>
        <v>5600</v>
      </c>
      <c r="I122" s="121">
        <f>SUM($E102:I102)</f>
        <v>7000</v>
      </c>
      <c r="J122" s="121">
        <f>SUM($E102:J102)</f>
        <v>8400</v>
      </c>
      <c r="K122" s="121">
        <f>SUM($E102:K102)</f>
        <v>9800</v>
      </c>
      <c r="L122" s="121">
        <f>SUM($E102:L102)</f>
        <v>11200</v>
      </c>
      <c r="M122" s="121">
        <f>SUM($E102:M102)</f>
        <v>12600</v>
      </c>
      <c r="N122" s="121">
        <f>SUM($E102:N102)</f>
        <v>14000</v>
      </c>
      <c r="O122" s="121">
        <f>SUM($E102:O102)</f>
        <v>15400</v>
      </c>
      <c r="P122" s="121">
        <f>SUM($E102:P102)</f>
        <v>16800</v>
      </c>
    </row>
    <row r="123" spans="1:16" x14ac:dyDescent="0.25">
      <c r="A123" s="94" t="s">
        <v>28</v>
      </c>
      <c r="D123" s="121">
        <v>0</v>
      </c>
      <c r="E123" s="121">
        <f>SUM($E103:E103)</f>
        <v>13200</v>
      </c>
      <c r="F123" s="121">
        <f>SUM($E103:F103)</f>
        <v>26200</v>
      </c>
      <c r="G123" s="121">
        <f>SUM($E103:G103)</f>
        <v>38900</v>
      </c>
      <c r="H123" s="121">
        <f>SUM($E103:H103)</f>
        <v>51400</v>
      </c>
      <c r="I123" s="121">
        <f>SUM($E103:I103)</f>
        <v>63700</v>
      </c>
      <c r="J123" s="121">
        <f>SUM($E103:J103)</f>
        <v>75700</v>
      </c>
      <c r="K123" s="121">
        <f>SUM($E103:K103)</f>
        <v>87500</v>
      </c>
      <c r="L123" s="121">
        <f>SUM($E103:L103)</f>
        <v>99000</v>
      </c>
      <c r="M123" s="121">
        <f>SUM($E103:M103)</f>
        <v>110300</v>
      </c>
      <c r="N123" s="121">
        <f>SUM($E103:N103)</f>
        <v>121400</v>
      </c>
      <c r="O123" s="121">
        <f>SUM($E103:O103)</f>
        <v>132200</v>
      </c>
      <c r="P123" s="121">
        <f>SUM($E103:P103)</f>
        <v>142800</v>
      </c>
    </row>
    <row r="124" spans="1:16" x14ac:dyDescent="0.25">
      <c r="A124" s="94" t="s">
        <v>30</v>
      </c>
      <c r="D124" s="121">
        <v>0</v>
      </c>
      <c r="E124" s="121">
        <f>SUM($E104:E104)</f>
        <v>32300</v>
      </c>
      <c r="F124" s="121">
        <f>SUM($E104:F104)</f>
        <v>60500</v>
      </c>
      <c r="G124" s="121">
        <f>SUM($E104:G104)</f>
        <v>106800</v>
      </c>
      <c r="H124" s="121">
        <f>SUM($E104:H104)</f>
        <v>158000</v>
      </c>
      <c r="I124" s="121">
        <f>SUM($E104:I104)</f>
        <v>213100</v>
      </c>
      <c r="J124" s="121">
        <f>SUM($E104:J104)</f>
        <v>270900</v>
      </c>
      <c r="K124" s="121">
        <f>SUM($E104:K104)</f>
        <v>322500</v>
      </c>
      <c r="L124" s="121">
        <f>SUM($E104:L104)</f>
        <v>376800</v>
      </c>
      <c r="M124" s="121">
        <f>SUM($E104:M104)</f>
        <v>437900</v>
      </c>
      <c r="N124" s="121">
        <f>SUM($E104:N104)</f>
        <v>508600</v>
      </c>
      <c r="O124" s="121">
        <f>SUM($E104:O104)</f>
        <v>593500</v>
      </c>
      <c r="P124" s="121">
        <f>SUM($E104:P104)</f>
        <v>692800</v>
      </c>
    </row>
    <row r="127" spans="1:16" x14ac:dyDescent="0.25">
      <c r="A127" s="93" t="s">
        <v>403</v>
      </c>
    </row>
    <row r="128" spans="1:16" x14ac:dyDescent="0.25">
      <c r="A128" s="94" t="s">
        <v>267</v>
      </c>
      <c r="E128" s="121">
        <f t="shared" ref="E128:P128" si="37">-(E23-D23)</f>
        <v>36250</v>
      </c>
      <c r="F128" s="121">
        <f t="shared" si="37"/>
        <v>36250</v>
      </c>
      <c r="G128" s="121">
        <f t="shared" si="37"/>
        <v>36250</v>
      </c>
      <c r="H128" s="121">
        <f t="shared" si="37"/>
        <v>-383750</v>
      </c>
      <c r="I128" s="121">
        <f t="shared" si="37"/>
        <v>40625</v>
      </c>
      <c r="J128" s="121">
        <f t="shared" si="37"/>
        <v>40625</v>
      </c>
      <c r="K128" s="121">
        <f t="shared" si="37"/>
        <v>40625</v>
      </c>
      <c r="L128" s="121">
        <f t="shared" si="37"/>
        <v>-124375</v>
      </c>
      <c r="M128" s="121">
        <f t="shared" si="37"/>
        <v>42344</v>
      </c>
      <c r="N128" s="121">
        <f t="shared" si="37"/>
        <v>42344</v>
      </c>
      <c r="O128" s="121">
        <f t="shared" si="37"/>
        <v>2462812</v>
      </c>
      <c r="P128" s="121">
        <f t="shared" si="37"/>
        <v>0</v>
      </c>
    </row>
    <row r="129" spans="1:16" x14ac:dyDescent="0.25">
      <c r="A129" s="94" t="s">
        <v>270</v>
      </c>
      <c r="E129" s="121">
        <f t="shared" ref="E129:P129" si="38">-(E24-D24)</f>
        <v>4500</v>
      </c>
      <c r="F129" s="121">
        <f t="shared" si="38"/>
        <v>4500</v>
      </c>
      <c r="G129" s="121">
        <f t="shared" si="38"/>
        <v>4500</v>
      </c>
      <c r="H129" s="121">
        <f t="shared" si="38"/>
        <v>4500</v>
      </c>
      <c r="I129" s="121">
        <f t="shared" si="38"/>
        <v>4500</v>
      </c>
      <c r="J129" s="121">
        <f t="shared" si="38"/>
        <v>4500</v>
      </c>
      <c r="K129" s="121">
        <f t="shared" si="38"/>
        <v>4500</v>
      </c>
      <c r="L129" s="121">
        <f t="shared" si="38"/>
        <v>4500</v>
      </c>
      <c r="M129" s="121">
        <f t="shared" si="38"/>
        <v>4500</v>
      </c>
      <c r="N129" s="121">
        <f t="shared" si="38"/>
        <v>4500</v>
      </c>
      <c r="O129" s="121">
        <f t="shared" si="38"/>
        <v>195000</v>
      </c>
      <c r="P129" s="121">
        <f t="shared" si="38"/>
        <v>0</v>
      </c>
    </row>
    <row r="130" spans="1:16" x14ac:dyDescent="0.25">
      <c r="A130" s="94" t="s">
        <v>272</v>
      </c>
      <c r="E130" s="121">
        <f t="shared" ref="E130:P130" si="39">-(E25-D25)</f>
        <v>0</v>
      </c>
      <c r="F130" s="121">
        <f t="shared" si="39"/>
        <v>0</v>
      </c>
      <c r="G130" s="121">
        <f t="shared" si="39"/>
        <v>0</v>
      </c>
      <c r="H130" s="121">
        <f t="shared" si="39"/>
        <v>0</v>
      </c>
      <c r="I130" s="121">
        <f t="shared" si="39"/>
        <v>0</v>
      </c>
      <c r="J130" s="121">
        <f t="shared" si="39"/>
        <v>0</v>
      </c>
      <c r="K130" s="121">
        <f t="shared" si="39"/>
        <v>0</v>
      </c>
      <c r="L130" s="121">
        <f t="shared" si="39"/>
        <v>0</v>
      </c>
      <c r="M130" s="121">
        <f t="shared" si="39"/>
        <v>0</v>
      </c>
      <c r="N130" s="121">
        <f t="shared" si="39"/>
        <v>0</v>
      </c>
      <c r="O130" s="121">
        <f t="shared" si="39"/>
        <v>145000</v>
      </c>
      <c r="P130" s="121">
        <f t="shared" si="39"/>
        <v>0</v>
      </c>
    </row>
    <row r="131" spans="1:16" x14ac:dyDescent="0.25">
      <c r="A131" s="94" t="s">
        <v>274</v>
      </c>
      <c r="E131" s="121">
        <f t="shared" ref="E131:P131" si="40">-(E26-D26)</f>
        <v>216784</v>
      </c>
      <c r="F131" s="121">
        <f t="shared" si="40"/>
        <v>-115045</v>
      </c>
      <c r="G131" s="121">
        <f t="shared" si="40"/>
        <v>-53121</v>
      </c>
      <c r="H131" s="121">
        <f t="shared" si="40"/>
        <v>-57118</v>
      </c>
      <c r="I131" s="121">
        <f t="shared" si="40"/>
        <v>-6614</v>
      </c>
      <c r="J131" s="121">
        <f t="shared" si="40"/>
        <v>-19381</v>
      </c>
      <c r="K131" s="121">
        <f t="shared" si="40"/>
        <v>-62506</v>
      </c>
      <c r="L131" s="121">
        <f t="shared" si="40"/>
        <v>-80226</v>
      </c>
      <c r="M131" s="121">
        <f t="shared" si="40"/>
        <v>-84503</v>
      </c>
      <c r="N131" s="121">
        <f t="shared" si="40"/>
        <v>-96585</v>
      </c>
      <c r="O131" s="121">
        <f t="shared" si="40"/>
        <v>1688315</v>
      </c>
      <c r="P131" s="121">
        <f t="shared" si="40"/>
        <v>0</v>
      </c>
    </row>
    <row r="132" spans="1:16" x14ac:dyDescent="0.25">
      <c r="A132" s="94" t="s">
        <v>264</v>
      </c>
      <c r="E132" s="121">
        <f t="shared" ref="E132:P132" si="41">-(E27-D27)</f>
        <v>190890</v>
      </c>
      <c r="F132" s="121">
        <f t="shared" si="41"/>
        <v>-15361</v>
      </c>
      <c r="G132" s="121">
        <f t="shared" si="41"/>
        <v>-136297</v>
      </c>
      <c r="H132" s="121">
        <f t="shared" si="41"/>
        <v>-111182</v>
      </c>
      <c r="I132" s="121">
        <f t="shared" si="41"/>
        <v>-83859</v>
      </c>
      <c r="J132" s="121">
        <f t="shared" si="41"/>
        <v>-22659</v>
      </c>
      <c r="K132" s="121">
        <f t="shared" si="41"/>
        <v>-12161</v>
      </c>
      <c r="L132" s="121">
        <f t="shared" si="41"/>
        <v>-70464</v>
      </c>
      <c r="M132" s="121">
        <f t="shared" si="41"/>
        <v>-113201</v>
      </c>
      <c r="N132" s="121">
        <f t="shared" si="41"/>
        <v>-126262</v>
      </c>
      <c r="O132" s="121">
        <f t="shared" si="41"/>
        <v>2680556</v>
      </c>
      <c r="P132" s="121">
        <f t="shared" si="41"/>
        <v>0</v>
      </c>
    </row>
    <row r="133" spans="1:16" x14ac:dyDescent="0.25">
      <c r="A133" s="94" t="s">
        <v>277</v>
      </c>
      <c r="E133" s="121">
        <f t="shared" ref="E133:P133" si="42">-(E28-D28)</f>
        <v>-6000</v>
      </c>
      <c r="F133" s="121">
        <f t="shared" si="42"/>
        <v>-5049</v>
      </c>
      <c r="G133" s="121">
        <f t="shared" si="42"/>
        <v>-407</v>
      </c>
      <c r="H133" s="121">
        <f t="shared" si="42"/>
        <v>4609</v>
      </c>
      <c r="I133" s="121">
        <f t="shared" si="42"/>
        <v>5388</v>
      </c>
      <c r="J133" s="121">
        <f t="shared" si="42"/>
        <v>1213</v>
      </c>
      <c r="K133" s="121">
        <f t="shared" si="42"/>
        <v>-4078</v>
      </c>
      <c r="L133" s="121">
        <f t="shared" si="42"/>
        <v>-5618</v>
      </c>
      <c r="M133" s="121">
        <f t="shared" si="42"/>
        <v>-1994</v>
      </c>
      <c r="N133" s="121">
        <f t="shared" si="42"/>
        <v>3463</v>
      </c>
      <c r="O133" s="121">
        <f t="shared" si="42"/>
        <v>141473</v>
      </c>
      <c r="P133" s="121">
        <f t="shared" si="42"/>
        <v>0</v>
      </c>
    </row>
    <row r="134" spans="1:16" x14ac:dyDescent="0.25">
      <c r="A134" s="94" t="s">
        <v>280</v>
      </c>
      <c r="E134" s="121">
        <f t="shared" ref="E134:P134" si="43">-(E29-D29)</f>
        <v>-312233</v>
      </c>
      <c r="F134" s="121">
        <f t="shared" si="43"/>
        <v>61618</v>
      </c>
      <c r="G134" s="121">
        <f t="shared" si="43"/>
        <v>106309</v>
      </c>
      <c r="H134" s="121">
        <f t="shared" si="43"/>
        <v>646025</v>
      </c>
      <c r="I134" s="121">
        <f t="shared" si="43"/>
        <v>110289</v>
      </c>
      <c r="J134" s="121">
        <f t="shared" si="43"/>
        <v>32423</v>
      </c>
      <c r="K134" s="121">
        <f t="shared" si="43"/>
        <v>-47987</v>
      </c>
      <c r="L134" s="121">
        <f t="shared" si="43"/>
        <v>77030</v>
      </c>
      <c r="M134" s="121">
        <f t="shared" si="43"/>
        <v>87269</v>
      </c>
      <c r="N134" s="121">
        <f t="shared" si="43"/>
        <v>-111207</v>
      </c>
      <c r="O134" s="121">
        <f t="shared" si="43"/>
        <v>1922964</v>
      </c>
      <c r="P134" s="121">
        <f t="shared" si="43"/>
        <v>0</v>
      </c>
    </row>
    <row r="135" spans="1:16" x14ac:dyDescent="0.25">
      <c r="A135" s="94" t="s">
        <v>302</v>
      </c>
      <c r="E135" s="121">
        <f t="shared" ref="E135:P135" si="44">-(E30-D30)</f>
        <v>0</v>
      </c>
      <c r="F135" s="121">
        <f t="shared" si="44"/>
        <v>0</v>
      </c>
      <c r="G135" s="121">
        <f t="shared" si="44"/>
        <v>0</v>
      </c>
      <c r="H135" s="121">
        <f t="shared" si="44"/>
        <v>0</v>
      </c>
      <c r="I135" s="121">
        <f t="shared" si="44"/>
        <v>0</v>
      </c>
      <c r="J135" s="121">
        <f t="shared" si="44"/>
        <v>0</v>
      </c>
      <c r="K135" s="121">
        <f t="shared" si="44"/>
        <v>0</v>
      </c>
      <c r="L135" s="121">
        <f t="shared" si="44"/>
        <v>0</v>
      </c>
      <c r="M135" s="121">
        <f t="shared" si="44"/>
        <v>0</v>
      </c>
      <c r="N135" s="121">
        <f t="shared" si="44"/>
        <v>0</v>
      </c>
      <c r="O135" s="121">
        <f t="shared" si="44"/>
        <v>-1000</v>
      </c>
      <c r="P135" s="121">
        <f t="shared" si="44"/>
        <v>0</v>
      </c>
    </row>
    <row r="136" spans="1:16" x14ac:dyDescent="0.25">
      <c r="A136" s="94" t="s">
        <v>304</v>
      </c>
      <c r="E136" s="121">
        <f t="shared" ref="E136:P136" si="45">-(E31-D31)</f>
        <v>0</v>
      </c>
      <c r="F136" s="121">
        <f t="shared" si="45"/>
        <v>0</v>
      </c>
      <c r="G136" s="121">
        <f t="shared" si="45"/>
        <v>0</v>
      </c>
      <c r="H136" s="121">
        <f t="shared" si="45"/>
        <v>0</v>
      </c>
      <c r="I136" s="121">
        <f t="shared" si="45"/>
        <v>0</v>
      </c>
      <c r="J136" s="121">
        <f t="shared" si="45"/>
        <v>0</v>
      </c>
      <c r="K136" s="121">
        <f t="shared" si="45"/>
        <v>0</v>
      </c>
      <c r="L136" s="121">
        <f t="shared" si="45"/>
        <v>0</v>
      </c>
      <c r="M136" s="121">
        <f t="shared" si="45"/>
        <v>0</v>
      </c>
      <c r="N136" s="121">
        <f t="shared" si="45"/>
        <v>0</v>
      </c>
      <c r="O136" s="121">
        <f t="shared" si="45"/>
        <v>-4402700</v>
      </c>
      <c r="P136" s="121">
        <f t="shared" si="45"/>
        <v>0</v>
      </c>
    </row>
    <row r="137" spans="1:16" x14ac:dyDescent="0.25">
      <c r="A137" s="94" t="s">
        <v>306</v>
      </c>
      <c r="E137" s="121">
        <f t="shared" ref="E137:P137" si="46">-(E32-D32)</f>
        <v>0</v>
      </c>
      <c r="F137" s="121">
        <f t="shared" si="46"/>
        <v>0</v>
      </c>
      <c r="G137" s="121">
        <f t="shared" si="46"/>
        <v>0</v>
      </c>
      <c r="H137" s="121">
        <f t="shared" si="46"/>
        <v>0</v>
      </c>
      <c r="I137" s="121">
        <f t="shared" si="46"/>
        <v>-260000</v>
      </c>
      <c r="J137" s="121">
        <f t="shared" si="46"/>
        <v>0</v>
      </c>
      <c r="K137" s="121">
        <f t="shared" si="46"/>
        <v>0</v>
      </c>
      <c r="L137" s="121">
        <f t="shared" si="46"/>
        <v>0</v>
      </c>
      <c r="M137" s="121">
        <f t="shared" si="46"/>
        <v>0</v>
      </c>
      <c r="N137" s="121">
        <f t="shared" si="46"/>
        <v>0</v>
      </c>
      <c r="O137" s="121">
        <f t="shared" si="46"/>
        <v>260000</v>
      </c>
      <c r="P137" s="121">
        <f t="shared" si="46"/>
        <v>0</v>
      </c>
    </row>
    <row r="138" spans="1:16" x14ac:dyDescent="0.25">
      <c r="A138" s="94" t="s">
        <v>299</v>
      </c>
      <c r="E138" s="121">
        <f t="shared" ref="E138:P138" si="47">-(E33-D33)</f>
        <v>-30000</v>
      </c>
      <c r="F138" s="121">
        <f t="shared" si="47"/>
        <v>-30000</v>
      </c>
      <c r="G138" s="121">
        <f t="shared" si="47"/>
        <v>-30000</v>
      </c>
      <c r="H138" s="121">
        <f t="shared" si="47"/>
        <v>-30000</v>
      </c>
      <c r="I138" s="121">
        <f t="shared" si="47"/>
        <v>-30000</v>
      </c>
      <c r="J138" s="121">
        <f t="shared" si="47"/>
        <v>-30000</v>
      </c>
      <c r="K138" s="121">
        <f t="shared" si="47"/>
        <v>-30000</v>
      </c>
      <c r="L138" s="121">
        <f t="shared" si="47"/>
        <v>-30000</v>
      </c>
      <c r="M138" s="121">
        <f t="shared" si="47"/>
        <v>-30000</v>
      </c>
      <c r="N138" s="121">
        <f t="shared" si="47"/>
        <v>-30000</v>
      </c>
      <c r="O138" s="121">
        <f t="shared" si="47"/>
        <v>-1680000</v>
      </c>
      <c r="P138" s="121">
        <f t="shared" si="47"/>
        <v>0</v>
      </c>
    </row>
    <row r="139" spans="1:16" x14ac:dyDescent="0.25">
      <c r="A139" s="94" t="s">
        <v>301</v>
      </c>
      <c r="E139" s="121">
        <f t="shared" ref="E139:P139" si="48">-(E34-D34)</f>
        <v>0</v>
      </c>
      <c r="F139" s="121">
        <f t="shared" si="48"/>
        <v>0</v>
      </c>
      <c r="G139" s="121">
        <f t="shared" si="48"/>
        <v>0</v>
      </c>
      <c r="H139" s="121">
        <f t="shared" si="48"/>
        <v>0</v>
      </c>
      <c r="I139" s="121">
        <f t="shared" si="48"/>
        <v>0</v>
      </c>
      <c r="J139" s="121">
        <f t="shared" si="48"/>
        <v>0</v>
      </c>
      <c r="K139" s="121">
        <f t="shared" si="48"/>
        <v>-50000</v>
      </c>
      <c r="L139" s="121">
        <f t="shared" si="48"/>
        <v>0</v>
      </c>
      <c r="M139" s="121">
        <f t="shared" si="48"/>
        <v>0</v>
      </c>
      <c r="N139" s="121">
        <f t="shared" si="48"/>
        <v>0</v>
      </c>
      <c r="O139" s="121">
        <f t="shared" si="48"/>
        <v>-400000</v>
      </c>
      <c r="P139" s="121">
        <f t="shared" si="48"/>
        <v>0</v>
      </c>
    </row>
    <row r="140" spans="1:16" x14ac:dyDescent="0.25">
      <c r="A140" s="94" t="s">
        <v>284</v>
      </c>
      <c r="E140" s="121">
        <f t="shared" ref="E140:P140" si="49">-(E35-D35)</f>
        <v>-143139</v>
      </c>
      <c r="F140" s="121">
        <f t="shared" si="49"/>
        <v>-7363</v>
      </c>
      <c r="G140" s="121">
        <f t="shared" si="49"/>
        <v>78683</v>
      </c>
      <c r="H140" s="121">
        <f t="shared" si="49"/>
        <v>29614</v>
      </c>
      <c r="I140" s="121">
        <f t="shared" si="49"/>
        <v>31952</v>
      </c>
      <c r="J140" s="121">
        <f t="shared" si="49"/>
        <v>-6440</v>
      </c>
      <c r="K140" s="121">
        <f t="shared" si="49"/>
        <v>3117</v>
      </c>
      <c r="L140" s="121">
        <f t="shared" si="49"/>
        <v>34503</v>
      </c>
      <c r="M140" s="121">
        <f t="shared" si="49"/>
        <v>46533</v>
      </c>
      <c r="N140" s="121">
        <f t="shared" si="49"/>
        <v>48579</v>
      </c>
      <c r="O140" s="121">
        <f t="shared" si="49"/>
        <v>-1136039</v>
      </c>
      <c r="P140" s="121">
        <f t="shared" si="49"/>
        <v>0</v>
      </c>
    </row>
    <row r="141" spans="1:16" x14ac:dyDescent="0.25">
      <c r="A141" s="94" t="s">
        <v>286</v>
      </c>
      <c r="E141" s="121">
        <f t="shared" ref="E141:P141" si="50">-(E36-D36)</f>
        <v>-26000</v>
      </c>
      <c r="F141" s="121">
        <f t="shared" si="50"/>
        <v>23000</v>
      </c>
      <c r="G141" s="121">
        <f t="shared" si="50"/>
        <v>-117000</v>
      </c>
      <c r="H141" s="121">
        <f t="shared" si="50"/>
        <v>2000</v>
      </c>
      <c r="I141" s="121">
        <f t="shared" si="50"/>
        <v>23000</v>
      </c>
      <c r="J141" s="121">
        <f t="shared" si="50"/>
        <v>23000</v>
      </c>
      <c r="K141" s="121">
        <f t="shared" si="50"/>
        <v>2000</v>
      </c>
      <c r="L141" s="121">
        <f t="shared" si="50"/>
        <v>23000</v>
      </c>
      <c r="M141" s="121">
        <f t="shared" si="50"/>
        <v>23000</v>
      </c>
      <c r="N141" s="121">
        <f t="shared" si="50"/>
        <v>2000</v>
      </c>
      <c r="O141" s="121">
        <f t="shared" si="50"/>
        <v>-246000</v>
      </c>
      <c r="P141" s="121">
        <f t="shared" si="50"/>
        <v>0</v>
      </c>
    </row>
    <row r="142" spans="1:16" x14ac:dyDescent="0.25">
      <c r="A142" s="94" t="s">
        <v>289</v>
      </c>
      <c r="E142" s="121">
        <f t="shared" ref="E142:P142" si="51">-(E37-D37)</f>
        <v>-2352</v>
      </c>
      <c r="F142" s="121">
        <f t="shared" si="51"/>
        <v>-300</v>
      </c>
      <c r="G142" s="121">
        <f t="shared" si="51"/>
        <v>2500</v>
      </c>
      <c r="H142" s="121">
        <f t="shared" si="51"/>
        <v>897</v>
      </c>
      <c r="I142" s="121">
        <f t="shared" si="51"/>
        <v>969</v>
      </c>
      <c r="J142" s="121">
        <f t="shared" si="51"/>
        <v>-276</v>
      </c>
      <c r="K142" s="121">
        <f t="shared" si="51"/>
        <v>33</v>
      </c>
      <c r="L142" s="121">
        <f t="shared" si="51"/>
        <v>1043</v>
      </c>
      <c r="M142" s="121">
        <f t="shared" si="51"/>
        <v>1426</v>
      </c>
      <c r="N142" s="121">
        <f t="shared" si="51"/>
        <v>1486</v>
      </c>
      <c r="O142" s="121">
        <f t="shared" si="51"/>
        <v>-36426</v>
      </c>
      <c r="P142" s="121">
        <f t="shared" si="51"/>
        <v>0</v>
      </c>
    </row>
    <row r="143" spans="1:16" x14ac:dyDescent="0.25">
      <c r="A143" s="94" t="s">
        <v>291</v>
      </c>
      <c r="E143" s="121">
        <f t="shared" ref="E143:P143" si="52">-(E38-D38)</f>
        <v>410</v>
      </c>
      <c r="F143" s="121">
        <f t="shared" si="52"/>
        <v>262</v>
      </c>
      <c r="G143" s="121">
        <f t="shared" si="52"/>
        <v>38</v>
      </c>
      <c r="H143" s="121">
        <f t="shared" si="52"/>
        <v>-66</v>
      </c>
      <c r="I143" s="121">
        <f t="shared" si="52"/>
        <v>850</v>
      </c>
      <c r="J143" s="121">
        <f t="shared" si="52"/>
        <v>-507</v>
      </c>
      <c r="K143" s="121">
        <f t="shared" si="52"/>
        <v>579</v>
      </c>
      <c r="L143" s="121">
        <f t="shared" si="52"/>
        <v>-136</v>
      </c>
      <c r="M143" s="121">
        <f t="shared" si="52"/>
        <v>225</v>
      </c>
      <c r="N143" s="121">
        <f t="shared" si="52"/>
        <v>293</v>
      </c>
      <c r="O143" s="121">
        <f t="shared" si="52"/>
        <v>-49748</v>
      </c>
      <c r="P143" s="121">
        <f t="shared" si="52"/>
        <v>0</v>
      </c>
    </row>
    <row r="144" spans="1:16" x14ac:dyDescent="0.25">
      <c r="A144" s="94" t="s">
        <v>294</v>
      </c>
      <c r="E144" s="121">
        <f t="shared" ref="E144:P144" si="53">-(E39-D39)</f>
        <v>25222</v>
      </c>
      <c r="F144" s="121">
        <f t="shared" si="53"/>
        <v>19372</v>
      </c>
      <c r="G144" s="121">
        <f t="shared" si="53"/>
        <v>34637</v>
      </c>
      <c r="H144" s="121">
        <f t="shared" si="53"/>
        <v>-198883</v>
      </c>
      <c r="I144" s="121">
        <f t="shared" si="53"/>
        <v>48226</v>
      </c>
      <c r="J144" s="121">
        <f t="shared" si="53"/>
        <v>-121875</v>
      </c>
      <c r="K144" s="121">
        <f t="shared" si="53"/>
        <v>46470</v>
      </c>
      <c r="L144" s="121">
        <f t="shared" si="53"/>
        <v>50185</v>
      </c>
      <c r="M144" s="121">
        <f t="shared" si="53"/>
        <v>-110149</v>
      </c>
      <c r="N144" s="121">
        <f t="shared" si="53"/>
        <v>72846</v>
      </c>
      <c r="O144" s="121">
        <f t="shared" si="53"/>
        <v>-176051</v>
      </c>
      <c r="P144" s="121">
        <f t="shared" si="53"/>
        <v>0</v>
      </c>
    </row>
    <row r="145" spans="1:16" x14ac:dyDescent="0.25">
      <c r="A145" s="94" t="s">
        <v>296</v>
      </c>
      <c r="E145" s="121">
        <f t="shared" ref="E145:P145" si="54">-(E40-D40)</f>
        <v>-30000</v>
      </c>
      <c r="F145" s="121">
        <f t="shared" si="54"/>
        <v>-30000</v>
      </c>
      <c r="G145" s="121">
        <f t="shared" si="54"/>
        <v>-30000</v>
      </c>
      <c r="H145" s="121">
        <f t="shared" si="54"/>
        <v>-30000</v>
      </c>
      <c r="I145" s="121">
        <f t="shared" si="54"/>
        <v>-30000</v>
      </c>
      <c r="J145" s="121">
        <f t="shared" si="54"/>
        <v>-30000</v>
      </c>
      <c r="K145" s="121">
        <f t="shared" si="54"/>
        <v>-30000</v>
      </c>
      <c r="L145" s="121">
        <f t="shared" si="54"/>
        <v>-30000</v>
      </c>
      <c r="M145" s="121">
        <f t="shared" si="54"/>
        <v>-30000</v>
      </c>
      <c r="N145" s="121">
        <f t="shared" si="54"/>
        <v>-30000</v>
      </c>
      <c r="O145" s="121">
        <f t="shared" si="54"/>
        <v>-60000</v>
      </c>
      <c r="P145" s="121">
        <f t="shared" si="54"/>
        <v>0</v>
      </c>
    </row>
    <row r="146" spans="1:16" x14ac:dyDescent="0.25">
      <c r="A146" s="94" t="s">
        <v>297</v>
      </c>
      <c r="E146" s="121">
        <f t="shared" ref="E146:P146" si="55">-(E41-D41)</f>
        <v>0</v>
      </c>
      <c r="F146" s="121">
        <f t="shared" si="55"/>
        <v>0</v>
      </c>
      <c r="G146" s="121">
        <f t="shared" si="55"/>
        <v>0</v>
      </c>
      <c r="H146" s="121">
        <f t="shared" si="55"/>
        <v>0</v>
      </c>
      <c r="I146" s="121">
        <f t="shared" si="55"/>
        <v>0</v>
      </c>
      <c r="J146" s="121">
        <f t="shared" si="55"/>
        <v>0</v>
      </c>
      <c r="K146" s="121">
        <f t="shared" si="55"/>
        <v>0</v>
      </c>
      <c r="L146" s="121">
        <f t="shared" si="55"/>
        <v>0</v>
      </c>
      <c r="M146" s="121">
        <f t="shared" si="55"/>
        <v>0</v>
      </c>
      <c r="N146" s="121">
        <f t="shared" si="55"/>
        <v>0</v>
      </c>
      <c r="O146" s="121">
        <f t="shared" si="55"/>
        <v>0</v>
      </c>
      <c r="P146" s="121">
        <f t="shared" si="55"/>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B4BCC8"/>
  </sheetPr>
  <dimension ref="A1:E42"/>
  <sheetViews>
    <sheetView workbookViewId="0"/>
  </sheetViews>
  <sheetFormatPr defaultRowHeight="15" x14ac:dyDescent="0.25"/>
  <cols>
    <col min="1" max="1" width="38.7109375" customWidth="1"/>
    <col min="2" max="2" width="12.7109375" customWidth="1"/>
    <col min="3" max="3" width="26.7109375" customWidth="1"/>
    <col min="4" max="4" width="18.7109375" customWidth="1"/>
    <col min="5" max="5" width="8.7109375" customWidth="1"/>
  </cols>
  <sheetData>
    <row r="1" spans="1:5" ht="18" customHeight="1" x14ac:dyDescent="0.25">
      <c r="A1" s="86" t="s">
        <v>404</v>
      </c>
    </row>
    <row r="2" spans="1:5" x14ac:dyDescent="0.25">
      <c r="A2" s="87" t="s">
        <v>405</v>
      </c>
    </row>
    <row r="4" spans="1:5" x14ac:dyDescent="0.25">
      <c r="A4" s="99" t="s">
        <v>350</v>
      </c>
      <c r="B4" s="100" t="s">
        <v>406</v>
      </c>
      <c r="C4" s="100" t="s">
        <v>407</v>
      </c>
      <c r="D4" s="100" t="s">
        <v>408</v>
      </c>
      <c r="E4" s="100" t="s">
        <v>409</v>
      </c>
    </row>
    <row r="5" spans="1:5" x14ac:dyDescent="0.25">
      <c r="A5" s="94" t="s">
        <v>7</v>
      </c>
      <c r="B5" s="101" t="s">
        <v>395</v>
      </c>
      <c r="C5" s="94" t="s">
        <v>410</v>
      </c>
      <c r="D5" s="101">
        <v>-1</v>
      </c>
      <c r="E5" s="101">
        <v>1</v>
      </c>
    </row>
    <row r="6" spans="1:5" x14ac:dyDescent="0.25">
      <c r="A6" s="94" t="s">
        <v>8</v>
      </c>
      <c r="B6" s="101" t="s">
        <v>395</v>
      </c>
      <c r="C6" s="94" t="s">
        <v>8</v>
      </c>
      <c r="D6" s="101">
        <v>1</v>
      </c>
      <c r="E6" s="101">
        <v>2</v>
      </c>
    </row>
    <row r="7" spans="1:5" x14ac:dyDescent="0.25">
      <c r="A7" s="94" t="s">
        <v>11</v>
      </c>
      <c r="B7" s="101" t="s">
        <v>395</v>
      </c>
      <c r="C7" s="94" t="s">
        <v>410</v>
      </c>
      <c r="D7" s="101">
        <v>-1</v>
      </c>
      <c r="E7" s="101">
        <v>3</v>
      </c>
    </row>
    <row r="8" spans="1:5" x14ac:dyDescent="0.25">
      <c r="A8" s="94" t="s">
        <v>315</v>
      </c>
      <c r="B8" s="101" t="s">
        <v>395</v>
      </c>
      <c r="C8" s="94" t="s">
        <v>12</v>
      </c>
      <c r="D8" s="101">
        <v>1</v>
      </c>
      <c r="E8" s="101">
        <v>4</v>
      </c>
    </row>
    <row r="9" spans="1:5" x14ac:dyDescent="0.25">
      <c r="A9" s="94" t="s">
        <v>319</v>
      </c>
      <c r="B9" s="101" t="s">
        <v>395</v>
      </c>
      <c r="C9" s="94" t="s">
        <v>12</v>
      </c>
      <c r="D9" s="101">
        <v>1</v>
      </c>
      <c r="E9" s="101">
        <v>5</v>
      </c>
    </row>
    <row r="10" spans="1:5" x14ac:dyDescent="0.25">
      <c r="A10" s="94" t="s">
        <v>322</v>
      </c>
      <c r="B10" s="101" t="s">
        <v>395</v>
      </c>
      <c r="C10" s="94" t="s">
        <v>12</v>
      </c>
      <c r="D10" s="101">
        <v>1</v>
      </c>
      <c r="E10" s="101">
        <v>6</v>
      </c>
    </row>
    <row r="11" spans="1:5" x14ac:dyDescent="0.25">
      <c r="A11" s="94" t="s">
        <v>325</v>
      </c>
      <c r="B11" s="101" t="s">
        <v>395</v>
      </c>
      <c r="C11" s="94" t="s">
        <v>12</v>
      </c>
      <c r="D11" s="101">
        <v>1</v>
      </c>
      <c r="E11" s="101">
        <v>7</v>
      </c>
    </row>
    <row r="12" spans="1:5" x14ac:dyDescent="0.25">
      <c r="A12" s="94" t="s">
        <v>329</v>
      </c>
      <c r="B12" s="101" t="s">
        <v>395</v>
      </c>
      <c r="C12" s="94" t="s">
        <v>12</v>
      </c>
      <c r="D12" s="101">
        <v>1</v>
      </c>
      <c r="E12" s="101">
        <v>8</v>
      </c>
    </row>
    <row r="13" spans="1:5" x14ac:dyDescent="0.25">
      <c r="A13" s="94" t="s">
        <v>333</v>
      </c>
      <c r="B13" s="101" t="s">
        <v>395</v>
      </c>
      <c r="C13" s="94" t="s">
        <v>12</v>
      </c>
      <c r="D13" s="101">
        <v>1</v>
      </c>
      <c r="E13" s="101">
        <v>9</v>
      </c>
    </row>
    <row r="14" spans="1:5" x14ac:dyDescent="0.25">
      <c r="A14" s="94" t="s">
        <v>335</v>
      </c>
      <c r="B14" s="101" t="s">
        <v>395</v>
      </c>
      <c r="C14" s="94" t="s">
        <v>12</v>
      </c>
      <c r="D14" s="101">
        <v>1</v>
      </c>
      <c r="E14" s="101">
        <v>10</v>
      </c>
    </row>
    <row r="15" spans="1:5" x14ac:dyDescent="0.25">
      <c r="A15" s="94" t="s">
        <v>336</v>
      </c>
      <c r="B15" s="101" t="s">
        <v>395</v>
      </c>
      <c r="C15" s="94" t="s">
        <v>12</v>
      </c>
      <c r="D15" s="101">
        <v>1</v>
      </c>
      <c r="E15" s="101">
        <v>11</v>
      </c>
    </row>
    <row r="16" spans="1:5" x14ac:dyDescent="0.25">
      <c r="A16" s="94" t="s">
        <v>337</v>
      </c>
      <c r="B16" s="101" t="s">
        <v>395</v>
      </c>
      <c r="C16" s="94" t="s">
        <v>12</v>
      </c>
      <c r="D16" s="101">
        <v>1</v>
      </c>
      <c r="E16" s="101">
        <v>12</v>
      </c>
    </row>
    <row r="17" spans="1:5" x14ac:dyDescent="0.25">
      <c r="A17" s="94" t="s">
        <v>339</v>
      </c>
      <c r="B17" s="101" t="s">
        <v>395</v>
      </c>
      <c r="C17" s="94" t="s">
        <v>12</v>
      </c>
      <c r="D17" s="101">
        <v>1</v>
      </c>
      <c r="E17" s="101">
        <v>13</v>
      </c>
    </row>
    <row r="18" spans="1:5" x14ac:dyDescent="0.25">
      <c r="A18" s="94" t="s">
        <v>25</v>
      </c>
      <c r="B18" s="101" t="s">
        <v>395</v>
      </c>
      <c r="C18" s="94" t="s">
        <v>343</v>
      </c>
      <c r="D18" s="101">
        <v>1</v>
      </c>
      <c r="E18" s="101">
        <v>14</v>
      </c>
    </row>
    <row r="19" spans="1:5" x14ac:dyDescent="0.25">
      <c r="A19" s="94" t="s">
        <v>27</v>
      </c>
      <c r="B19" s="101" t="s">
        <v>395</v>
      </c>
      <c r="C19" s="94" t="s">
        <v>411</v>
      </c>
      <c r="D19" s="101">
        <v>-1</v>
      </c>
      <c r="E19" s="101">
        <v>15</v>
      </c>
    </row>
    <row r="20" spans="1:5" x14ac:dyDescent="0.25">
      <c r="A20" s="94" t="s">
        <v>28</v>
      </c>
      <c r="B20" s="101" t="s">
        <v>395</v>
      </c>
      <c r="C20" s="94" t="s">
        <v>411</v>
      </c>
      <c r="D20" s="101">
        <v>1</v>
      </c>
      <c r="E20" s="101">
        <v>16</v>
      </c>
    </row>
    <row r="21" spans="1:5" x14ac:dyDescent="0.25">
      <c r="A21" s="94" t="s">
        <v>30</v>
      </c>
      <c r="B21" s="101" t="s">
        <v>395</v>
      </c>
      <c r="C21" s="94" t="s">
        <v>412</v>
      </c>
      <c r="D21" s="101">
        <v>1</v>
      </c>
      <c r="E21" s="101">
        <v>17</v>
      </c>
    </row>
    <row r="22" spans="1:5" x14ac:dyDescent="0.25">
      <c r="A22" s="94" t="s">
        <v>267</v>
      </c>
      <c r="B22" s="101" t="s">
        <v>265</v>
      </c>
      <c r="C22" s="94" t="s">
        <v>41</v>
      </c>
      <c r="D22" s="101">
        <v>1</v>
      </c>
      <c r="E22" s="101">
        <v>18</v>
      </c>
    </row>
    <row r="23" spans="1:5" x14ac:dyDescent="0.25">
      <c r="A23" s="94" t="s">
        <v>270</v>
      </c>
      <c r="B23" s="101" t="s">
        <v>265</v>
      </c>
      <c r="C23" s="94" t="s">
        <v>41</v>
      </c>
      <c r="D23" s="101">
        <v>1</v>
      </c>
      <c r="E23" s="101">
        <v>19</v>
      </c>
    </row>
    <row r="24" spans="1:5" x14ac:dyDescent="0.25">
      <c r="A24" s="94" t="s">
        <v>272</v>
      </c>
      <c r="B24" s="101" t="s">
        <v>265</v>
      </c>
      <c r="C24" s="94" t="s">
        <v>41</v>
      </c>
      <c r="D24" s="101">
        <v>1</v>
      </c>
      <c r="E24" s="101">
        <v>20</v>
      </c>
    </row>
    <row r="25" spans="1:5" x14ac:dyDescent="0.25">
      <c r="A25" s="94" t="s">
        <v>274</v>
      </c>
      <c r="B25" s="101" t="s">
        <v>265</v>
      </c>
      <c r="C25" s="94" t="s">
        <v>46</v>
      </c>
      <c r="D25" s="101">
        <v>1</v>
      </c>
      <c r="E25" s="101">
        <v>21</v>
      </c>
    </row>
    <row r="26" spans="1:5" x14ac:dyDescent="0.25">
      <c r="A26" s="94" t="s">
        <v>264</v>
      </c>
      <c r="B26" s="101" t="s">
        <v>265</v>
      </c>
      <c r="C26" s="94" t="s">
        <v>46</v>
      </c>
      <c r="D26" s="101">
        <v>1</v>
      </c>
      <c r="E26" s="101">
        <v>22</v>
      </c>
    </row>
    <row r="27" spans="1:5" x14ac:dyDescent="0.25">
      <c r="A27" s="94" t="s">
        <v>277</v>
      </c>
      <c r="B27" s="101" t="s">
        <v>265</v>
      </c>
      <c r="C27" s="94" t="s">
        <v>46</v>
      </c>
      <c r="D27" s="101">
        <v>1</v>
      </c>
      <c r="E27" s="101">
        <v>23</v>
      </c>
    </row>
    <row r="28" spans="1:5" x14ac:dyDescent="0.25">
      <c r="A28" s="94" t="s">
        <v>280</v>
      </c>
      <c r="B28" s="101" t="s">
        <v>265</v>
      </c>
      <c r="C28" s="94" t="s">
        <v>46</v>
      </c>
      <c r="D28" s="101">
        <v>1</v>
      </c>
      <c r="E28" s="101">
        <v>24</v>
      </c>
    </row>
    <row r="29" spans="1:5" x14ac:dyDescent="0.25">
      <c r="A29" s="94" t="s">
        <v>302</v>
      </c>
      <c r="B29" s="101" t="s">
        <v>265</v>
      </c>
      <c r="C29" s="94" t="s">
        <v>54</v>
      </c>
      <c r="D29" s="101">
        <v>-1</v>
      </c>
      <c r="E29" s="101">
        <v>25</v>
      </c>
    </row>
    <row r="30" spans="1:5" x14ac:dyDescent="0.25">
      <c r="A30" s="94" t="s">
        <v>304</v>
      </c>
      <c r="B30" s="101" t="s">
        <v>265</v>
      </c>
      <c r="C30" s="94" t="s">
        <v>54</v>
      </c>
      <c r="D30" s="101">
        <v>-1</v>
      </c>
      <c r="E30" s="101">
        <v>26</v>
      </c>
    </row>
    <row r="31" spans="1:5" x14ac:dyDescent="0.25">
      <c r="A31" s="94" t="s">
        <v>306</v>
      </c>
      <c r="B31" s="101" t="s">
        <v>265</v>
      </c>
      <c r="C31" s="94" t="s">
        <v>54</v>
      </c>
      <c r="D31" s="101">
        <v>-1</v>
      </c>
      <c r="E31" s="101">
        <v>27</v>
      </c>
    </row>
    <row r="32" spans="1:5" x14ac:dyDescent="0.25">
      <c r="A32" s="94" t="s">
        <v>299</v>
      </c>
      <c r="B32" s="101" t="s">
        <v>265</v>
      </c>
      <c r="C32" s="94" t="s">
        <v>60</v>
      </c>
      <c r="D32" s="101">
        <v>-1</v>
      </c>
      <c r="E32" s="101">
        <v>28</v>
      </c>
    </row>
    <row r="33" spans="1:5" x14ac:dyDescent="0.25">
      <c r="A33" s="94" t="s">
        <v>301</v>
      </c>
      <c r="B33" s="101" t="s">
        <v>265</v>
      </c>
      <c r="C33" s="94" t="s">
        <v>60</v>
      </c>
      <c r="D33" s="101">
        <v>-1</v>
      </c>
      <c r="E33" s="101">
        <v>29</v>
      </c>
    </row>
    <row r="34" spans="1:5" x14ac:dyDescent="0.25">
      <c r="A34" s="94" t="s">
        <v>284</v>
      </c>
      <c r="B34" s="101" t="s">
        <v>265</v>
      </c>
      <c r="C34" s="94" t="s">
        <v>64</v>
      </c>
      <c r="D34" s="101">
        <v>-1</v>
      </c>
      <c r="E34" s="101">
        <v>30</v>
      </c>
    </row>
    <row r="35" spans="1:5" x14ac:dyDescent="0.25">
      <c r="A35" s="94" t="s">
        <v>286</v>
      </c>
      <c r="B35" s="101" t="s">
        <v>265</v>
      </c>
      <c r="C35" s="94" t="s">
        <v>64</v>
      </c>
      <c r="D35" s="101">
        <v>-1</v>
      </c>
      <c r="E35" s="101">
        <v>31</v>
      </c>
    </row>
    <row r="36" spans="1:5" x14ac:dyDescent="0.25">
      <c r="A36" s="94" t="s">
        <v>289</v>
      </c>
      <c r="B36" s="101" t="s">
        <v>265</v>
      </c>
      <c r="C36" s="94" t="s">
        <v>64</v>
      </c>
      <c r="D36" s="101">
        <v>-1</v>
      </c>
      <c r="E36" s="101">
        <v>32</v>
      </c>
    </row>
    <row r="37" spans="1:5" x14ac:dyDescent="0.25">
      <c r="A37" s="94" t="s">
        <v>291</v>
      </c>
      <c r="B37" s="101" t="s">
        <v>265</v>
      </c>
      <c r="C37" s="94" t="s">
        <v>64</v>
      </c>
      <c r="D37" s="101">
        <v>-1</v>
      </c>
      <c r="E37" s="101">
        <v>33</v>
      </c>
    </row>
    <row r="38" spans="1:5" x14ac:dyDescent="0.25">
      <c r="A38" s="94" t="s">
        <v>294</v>
      </c>
      <c r="B38" s="101" t="s">
        <v>265</v>
      </c>
      <c r="C38" s="94" t="s">
        <v>64</v>
      </c>
      <c r="D38" s="101">
        <v>-1</v>
      </c>
      <c r="E38" s="101">
        <v>34</v>
      </c>
    </row>
    <row r="39" spans="1:5" x14ac:dyDescent="0.25">
      <c r="A39" s="94" t="s">
        <v>296</v>
      </c>
      <c r="B39" s="101" t="s">
        <v>265</v>
      </c>
      <c r="C39" s="94" t="s">
        <v>64</v>
      </c>
      <c r="D39" s="101">
        <v>-1</v>
      </c>
      <c r="E39" s="101">
        <v>35</v>
      </c>
    </row>
    <row r="40" spans="1:5" x14ac:dyDescent="0.25">
      <c r="A40" s="94" t="s">
        <v>297</v>
      </c>
      <c r="B40" s="101" t="s">
        <v>265</v>
      </c>
      <c r="C40" s="94" t="s">
        <v>64</v>
      </c>
      <c r="D40" s="101">
        <v>-1</v>
      </c>
      <c r="E40" s="101">
        <v>36</v>
      </c>
    </row>
    <row r="42" spans="1:5" x14ac:dyDescent="0.25">
      <c r="A42" s="87" t="s">
        <v>413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B4BCC8"/>
  </sheetPr>
  <dimension ref="A1:P186"/>
  <sheetViews>
    <sheetView workbookViewId="0">
      <pane xSplit="2" ySplit="3" topLeftCell="C4" activePane="bottomRight" state="frozen"/>
      <selection pane="topRight" activeCell="C1" sqref="C1"/>
      <selection pane="bottomLeft" activeCell="A4" sqref="A4"/>
      <selection pane="bottomRight"/>
    </sheetView>
  </sheetViews>
  <sheetFormatPr defaultRowHeight="15" x14ac:dyDescent="0.25"/>
  <cols>
    <col min="1" max="1" width="35.7109375" customWidth="1"/>
    <col min="2" max="2" width="12.85546875" customWidth="1"/>
    <col min="3" max="21" width="11.42578125" customWidth="1"/>
  </cols>
  <sheetData>
    <row r="1" spans="1:14" x14ac:dyDescent="0.25">
      <c r="A1" s="122" t="s">
        <v>422</v>
      </c>
    </row>
    <row r="2" spans="1:14" x14ac:dyDescent="0.25">
      <c r="A2" s="123" t="s">
        <v>423</v>
      </c>
      <c r="C2" s="123">
        <v>1</v>
      </c>
      <c r="D2" s="123">
        <v>2</v>
      </c>
      <c r="E2" s="123">
        <v>3</v>
      </c>
      <c r="F2" s="123">
        <v>4</v>
      </c>
      <c r="G2" s="123">
        <v>5</v>
      </c>
      <c r="H2" s="123">
        <v>6</v>
      </c>
      <c r="I2" s="123">
        <v>7</v>
      </c>
      <c r="J2" s="123">
        <v>8</v>
      </c>
      <c r="K2" s="123">
        <v>9</v>
      </c>
      <c r="L2" s="123">
        <v>10</v>
      </c>
      <c r="M2" s="123">
        <v>11</v>
      </c>
      <c r="N2" s="123">
        <v>12</v>
      </c>
    </row>
    <row r="3" spans="1:14" x14ac:dyDescent="0.25">
      <c r="A3" s="124" t="s">
        <v>108</v>
      </c>
      <c r="B3" s="124"/>
      <c r="C3" s="124" t="str">
        <f>TEXT(Setup!$B$24,"mmm")</f>
        <v>Jan</v>
      </c>
      <c r="D3" s="124" t="str">
        <f>TEXT(Setup!$B$25,"mmm")</f>
        <v>Feb</v>
      </c>
      <c r="E3" s="124" t="str">
        <f>TEXT(Setup!$B$26,"mmm")</f>
        <v>Mar</v>
      </c>
      <c r="F3" s="124" t="str">
        <f>TEXT(Setup!$B$27,"mmm")</f>
        <v>Apr</v>
      </c>
      <c r="G3" s="124" t="str">
        <f>TEXT(Setup!$B$28,"mmm")</f>
        <v>May</v>
      </c>
      <c r="H3" s="124" t="str">
        <f>TEXT(Setup!$B$29,"mmm")</f>
        <v>Jun</v>
      </c>
      <c r="I3" s="124" t="str">
        <f>TEXT(Setup!$B$30,"mmm")</f>
        <v>Jul</v>
      </c>
      <c r="J3" s="124" t="str">
        <f>TEXT(Setup!$B$31,"mmm")</f>
        <v>Aug</v>
      </c>
      <c r="K3" s="124" t="str">
        <f>TEXT(Setup!$B$32,"mmm")</f>
        <v>Sep</v>
      </c>
      <c r="L3" s="124" t="str">
        <f>TEXT(Setup!$B$33,"mmm")</f>
        <v>Oct</v>
      </c>
      <c r="M3" s="124" t="str">
        <f>TEXT(Setup!$B$34,"mmm")</f>
        <v>Nov</v>
      </c>
      <c r="N3" s="124" t="str">
        <f>TEXT(Setup!$B$35,"mmm")</f>
        <v>Dec</v>
      </c>
    </row>
    <row r="4" spans="1:14" x14ac:dyDescent="0.25">
      <c r="A4" s="123" t="s">
        <v>424</v>
      </c>
      <c r="B4" s="123">
        <f>IFERROR(MATCH(1,tblView[Vis],0),2)</f>
        <v>2</v>
      </c>
    </row>
    <row r="5" spans="1:14" x14ac:dyDescent="0.25">
      <c r="A5" s="123" t="s">
        <v>425</v>
      </c>
      <c r="B5" s="123">
        <f>IFERROR(MATCH(1,tblMetric[Vis],0),1)</f>
        <v>1</v>
      </c>
    </row>
    <row r="6" spans="1:14" x14ac:dyDescent="0.25">
      <c r="A6" s="123" t="s">
        <v>426</v>
      </c>
      <c r="B6" s="123" t="str">
        <f>IF(viewIdx=1,Setup!$B$17,"YTD "&amp;Setup!$B$17)</f>
        <v>YTD October 2026</v>
      </c>
    </row>
    <row r="7" spans="1:14" x14ac:dyDescent="0.25">
      <c r="A7" s="123" t="s">
        <v>427</v>
      </c>
      <c r="B7" s="123" t="str">
        <f>IF(SUM(tblCost[Vis])=ROWS(tblCost[Vis]),"all cost lines",SUM(tblCost[Vis])&amp;" cost lines")</f>
        <v>all cost lines</v>
      </c>
    </row>
    <row r="8" spans="1:14" x14ac:dyDescent="0.25">
      <c r="A8" s="123" t="s">
        <v>428</v>
      </c>
      <c r="C8" s="123">
        <f t="shared" ref="C8:N8" si="0">IF(C$2&lt;=mSel,1,0)</f>
        <v>1</v>
      </c>
      <c r="D8" s="123">
        <f t="shared" si="0"/>
        <v>1</v>
      </c>
      <c r="E8" s="123">
        <f t="shared" si="0"/>
        <v>1</v>
      </c>
      <c r="F8" s="123">
        <f t="shared" si="0"/>
        <v>1</v>
      </c>
      <c r="G8" s="123">
        <f t="shared" si="0"/>
        <v>1</v>
      </c>
      <c r="H8" s="123">
        <f t="shared" si="0"/>
        <v>1</v>
      </c>
      <c r="I8" s="123">
        <f t="shared" si="0"/>
        <v>1</v>
      </c>
      <c r="J8" s="123">
        <f t="shared" si="0"/>
        <v>1</v>
      </c>
      <c r="K8" s="123">
        <f t="shared" si="0"/>
        <v>1</v>
      </c>
      <c r="L8" s="123">
        <f t="shared" si="0"/>
        <v>1</v>
      </c>
      <c r="M8" s="123">
        <f t="shared" si="0"/>
        <v>0</v>
      </c>
      <c r="N8" s="123">
        <f t="shared" si="0"/>
        <v>0</v>
      </c>
    </row>
    <row r="9" spans="1:14" x14ac:dyDescent="0.25">
      <c r="A9" s="125" t="s">
        <v>429</v>
      </c>
    </row>
    <row r="10" spans="1:14" x14ac:dyDescent="0.25">
      <c r="A10" s="123" t="s">
        <v>7</v>
      </c>
      <c r="C10" s="126">
        <f>Calc!E68*C$8</f>
        <v>1591543</v>
      </c>
      <c r="D10" s="126">
        <f>Calc!F68*D$8</f>
        <v>1574867</v>
      </c>
      <c r="E10" s="126">
        <f>Calc!G68*E$8</f>
        <v>1713781</v>
      </c>
      <c r="F10" s="126">
        <f>Calc!H68*F$8</f>
        <v>1763614</v>
      </c>
      <c r="G10" s="126">
        <f>Calc!I68*G$8</f>
        <v>1817445</v>
      </c>
      <c r="H10" s="126">
        <f>Calc!J68*H$8</f>
        <v>1802093</v>
      </c>
      <c r="I10" s="126">
        <f>Calc!K68*I$8</f>
        <v>1803935</v>
      </c>
      <c r="J10" s="126">
        <f>Calc!L68*J$8</f>
        <v>1861913</v>
      </c>
      <c r="K10" s="126">
        <f>Calc!M68*K$8</f>
        <v>1941121</v>
      </c>
      <c r="L10" s="126">
        <f>Calc!N68*L$8</f>
        <v>2023647</v>
      </c>
      <c r="M10" s="126">
        <f>Calc!O68*M$8</f>
        <v>0</v>
      </c>
      <c r="N10" s="126">
        <f>Calc!P68*N$8</f>
        <v>0</v>
      </c>
    </row>
    <row r="11" spans="1:14" x14ac:dyDescent="0.25">
      <c r="A11" s="123" t="s">
        <v>8</v>
      </c>
      <c r="C11" s="126">
        <f>Calc!E69*C$8</f>
        <v>805384</v>
      </c>
      <c r="D11" s="126">
        <f>Calc!F69*D$8</f>
        <v>798406</v>
      </c>
      <c r="E11" s="126">
        <f>Calc!G69*E$8</f>
        <v>870421</v>
      </c>
      <c r="F11" s="126">
        <f>Calc!H69*F$8</f>
        <v>897365</v>
      </c>
      <c r="G11" s="126">
        <f>Calc!I69*G$8</f>
        <v>926441</v>
      </c>
      <c r="H11" s="126">
        <f>Calc!J69*H$8</f>
        <v>920286</v>
      </c>
      <c r="I11" s="126">
        <f>Calc!K69*I$8</f>
        <v>922900</v>
      </c>
      <c r="J11" s="126">
        <f>Calc!L69*J$8</f>
        <v>954287</v>
      </c>
      <c r="K11" s="126">
        <f>Calc!M69*K$8</f>
        <v>996685</v>
      </c>
      <c r="L11" s="126">
        <f>Calc!N69*L$8</f>
        <v>1040935</v>
      </c>
      <c r="M11" s="126">
        <f>Calc!O69*M$8</f>
        <v>0</v>
      </c>
      <c r="N11" s="126">
        <f>Calc!P69*N$8</f>
        <v>0</v>
      </c>
    </row>
    <row r="12" spans="1:14" x14ac:dyDescent="0.25">
      <c r="A12" s="123" t="s">
        <v>11</v>
      </c>
      <c r="C12" s="126">
        <f>Calc!E70*C$8</f>
        <v>7422</v>
      </c>
      <c r="D12" s="126">
        <f>Calc!F70*D$8</f>
        <v>5848</v>
      </c>
      <c r="E12" s="126">
        <f>Calc!G70*E$8</f>
        <v>6744</v>
      </c>
      <c r="F12" s="126">
        <f>Calc!H70*F$8</f>
        <v>5485</v>
      </c>
      <c r="G12" s="126">
        <f>Calc!I70*G$8</f>
        <v>5202</v>
      </c>
      <c r="H12" s="126">
        <f>Calc!J70*H$8</f>
        <v>5733</v>
      </c>
      <c r="I12" s="126">
        <f>Calc!K70*I$8</f>
        <v>4979</v>
      </c>
      <c r="J12" s="126">
        <f>Calc!L70*J$8</f>
        <v>5745</v>
      </c>
      <c r="K12" s="126">
        <f>Calc!M70*K$8</f>
        <v>6000</v>
      </c>
      <c r="L12" s="126">
        <f>Calc!N70*L$8</f>
        <v>5839</v>
      </c>
      <c r="M12" s="126">
        <f>Calc!O70*M$8</f>
        <v>0</v>
      </c>
      <c r="N12" s="126">
        <f>Calc!P70*N$8</f>
        <v>0</v>
      </c>
    </row>
    <row r="13" spans="1:14" x14ac:dyDescent="0.25">
      <c r="A13" s="123" t="s">
        <v>315</v>
      </c>
      <c r="C13" s="126">
        <f>Calc!E71*C$8</f>
        <v>350476</v>
      </c>
      <c r="D13" s="126">
        <f>Calc!F71*D$8</f>
        <v>348525</v>
      </c>
      <c r="E13" s="126">
        <f>Calc!G71*E$8</f>
        <v>352616</v>
      </c>
      <c r="F13" s="126">
        <f>Calc!H71*F$8</f>
        <v>351626</v>
      </c>
      <c r="G13" s="126">
        <f>Calc!I71*G$8</f>
        <v>355472</v>
      </c>
      <c r="H13" s="126">
        <f>Calc!J71*H$8</f>
        <v>353494</v>
      </c>
      <c r="I13" s="126">
        <f>Calc!K71*I$8</f>
        <v>359207</v>
      </c>
      <c r="J13" s="126">
        <f>Calc!L71*J$8</f>
        <v>359011</v>
      </c>
      <c r="K13" s="126">
        <f>Calc!M71*K$8</f>
        <v>360267</v>
      </c>
      <c r="L13" s="126">
        <f>Calc!N71*L$8</f>
        <v>359010</v>
      </c>
      <c r="M13" s="126">
        <f>Calc!O71*M$8</f>
        <v>0</v>
      </c>
      <c r="N13" s="126">
        <f>Calc!P71*N$8</f>
        <v>0</v>
      </c>
    </row>
    <row r="14" spans="1:14" x14ac:dyDescent="0.25">
      <c r="A14" s="123" t="s">
        <v>319</v>
      </c>
      <c r="C14" s="126">
        <f>Calc!E72*C$8</f>
        <v>75500</v>
      </c>
      <c r="D14" s="126">
        <f>Calc!F72*D$8</f>
        <v>75726</v>
      </c>
      <c r="E14" s="126">
        <f>Calc!G72*E$8</f>
        <v>75954</v>
      </c>
      <c r="F14" s="126">
        <f>Calc!H72*F$8</f>
        <v>76179</v>
      </c>
      <c r="G14" s="126">
        <f>Calc!I72*G$8</f>
        <v>76406</v>
      </c>
      <c r="H14" s="126">
        <f>Calc!J72*H$8</f>
        <v>76633</v>
      </c>
      <c r="I14" s="126">
        <f>Calc!K72*I$8</f>
        <v>76858</v>
      </c>
      <c r="J14" s="126">
        <f>Calc!L72*J$8</f>
        <v>77086</v>
      </c>
      <c r="K14" s="126">
        <f>Calc!M72*K$8</f>
        <v>77312</v>
      </c>
      <c r="L14" s="126">
        <f>Calc!N72*L$8</f>
        <v>77538</v>
      </c>
      <c r="M14" s="126">
        <f>Calc!O72*M$8</f>
        <v>0</v>
      </c>
      <c r="N14" s="126">
        <f>Calc!P72*N$8</f>
        <v>0</v>
      </c>
    </row>
    <row r="15" spans="1:14" x14ac:dyDescent="0.25">
      <c r="A15" s="123" t="s">
        <v>322</v>
      </c>
      <c r="C15" s="126">
        <f>Calc!E73*C$8</f>
        <v>79351</v>
      </c>
      <c r="D15" s="126">
        <f>Calc!F73*D$8</f>
        <v>83898</v>
      </c>
      <c r="E15" s="126">
        <f>Calc!G73*E$8</f>
        <v>75827</v>
      </c>
      <c r="F15" s="126">
        <f>Calc!H73*F$8</f>
        <v>76763</v>
      </c>
      <c r="G15" s="126">
        <f>Calc!I73*G$8</f>
        <v>79654</v>
      </c>
      <c r="H15" s="126">
        <f>Calc!J73*H$8</f>
        <v>80360</v>
      </c>
      <c r="I15" s="126">
        <f>Calc!K73*I$8</f>
        <v>72442</v>
      </c>
      <c r="J15" s="126">
        <f>Calc!L73*J$8</f>
        <v>66281</v>
      </c>
      <c r="K15" s="126">
        <f>Calc!M73*K$8</f>
        <v>89201</v>
      </c>
      <c r="L15" s="126">
        <f>Calc!N73*L$8</f>
        <v>64195</v>
      </c>
      <c r="M15" s="126">
        <f>Calc!O73*M$8</f>
        <v>0</v>
      </c>
      <c r="N15" s="126">
        <f>Calc!P73*N$8</f>
        <v>0</v>
      </c>
    </row>
    <row r="16" spans="1:14" x14ac:dyDescent="0.25">
      <c r="A16" s="123" t="s">
        <v>325</v>
      </c>
      <c r="C16" s="126">
        <f>Calc!E74*C$8</f>
        <v>23805</v>
      </c>
      <c r="D16" s="126">
        <f>Calc!F74*D$8</f>
        <v>24118</v>
      </c>
      <c r="E16" s="126">
        <f>Calc!G74*E$8</f>
        <v>31605</v>
      </c>
      <c r="F16" s="126">
        <f>Calc!H74*F$8</f>
        <v>21234</v>
      </c>
      <c r="G16" s="126">
        <f>Calc!I74*G$8</f>
        <v>16122</v>
      </c>
      <c r="H16" s="126">
        <f>Calc!J74*H$8</f>
        <v>30542</v>
      </c>
      <c r="I16" s="126">
        <f>Calc!K74*I$8</f>
        <v>24493</v>
      </c>
      <c r="J16" s="126">
        <f>Calc!L74*J$8</f>
        <v>21698</v>
      </c>
      <c r="K16" s="126">
        <f>Calc!M74*K$8</f>
        <v>27441</v>
      </c>
      <c r="L16" s="126">
        <f>Calc!N74*L$8</f>
        <v>21130</v>
      </c>
      <c r="M16" s="126">
        <f>Calc!O74*M$8</f>
        <v>0</v>
      </c>
      <c r="N16" s="126">
        <f>Calc!P74*N$8</f>
        <v>0</v>
      </c>
    </row>
    <row r="17" spans="1:14" x14ac:dyDescent="0.25">
      <c r="A17" s="123" t="s">
        <v>329</v>
      </c>
      <c r="C17" s="126">
        <f>Calc!E75*C$8</f>
        <v>26585</v>
      </c>
      <c r="D17" s="126">
        <f>Calc!F75*D$8</f>
        <v>33167</v>
      </c>
      <c r="E17" s="126">
        <f>Calc!G75*E$8</f>
        <v>32569</v>
      </c>
      <c r="F17" s="126">
        <f>Calc!H75*F$8</f>
        <v>33962</v>
      </c>
      <c r="G17" s="126">
        <f>Calc!I75*G$8</f>
        <v>35462</v>
      </c>
      <c r="H17" s="126">
        <f>Calc!J75*H$8</f>
        <v>31584</v>
      </c>
      <c r="I17" s="126">
        <f>Calc!K75*I$8</f>
        <v>29129</v>
      </c>
      <c r="J17" s="126">
        <f>Calc!L75*J$8</f>
        <v>37671</v>
      </c>
      <c r="K17" s="126">
        <f>Calc!M75*K$8</f>
        <v>26031</v>
      </c>
      <c r="L17" s="126">
        <f>Calc!N75*L$8</f>
        <v>23496</v>
      </c>
      <c r="M17" s="126">
        <f>Calc!O75*M$8</f>
        <v>0</v>
      </c>
      <c r="N17" s="126">
        <f>Calc!P75*N$8</f>
        <v>0</v>
      </c>
    </row>
    <row r="18" spans="1:14" x14ac:dyDescent="0.25">
      <c r="A18" s="123" t="s">
        <v>333</v>
      </c>
      <c r="C18" s="126">
        <f>Calc!E76*C$8</f>
        <v>26620</v>
      </c>
      <c r="D18" s="126">
        <f>Calc!F76*D$8</f>
        <v>25079</v>
      </c>
      <c r="E18" s="126">
        <f>Calc!G76*E$8</f>
        <v>24495</v>
      </c>
      <c r="F18" s="126">
        <f>Calc!H76*F$8</f>
        <v>24911</v>
      </c>
      <c r="G18" s="126">
        <f>Calc!I76*G$8</f>
        <v>26672</v>
      </c>
      <c r="H18" s="126">
        <f>Calc!J76*H$8</f>
        <v>24603</v>
      </c>
      <c r="I18" s="126">
        <f>Calc!K76*I$8</f>
        <v>23768</v>
      </c>
      <c r="J18" s="126">
        <f>Calc!L76*J$8</f>
        <v>26357</v>
      </c>
      <c r="K18" s="126">
        <f>Calc!M76*K$8</f>
        <v>26414</v>
      </c>
      <c r="L18" s="126">
        <f>Calc!N76*L$8</f>
        <v>24438</v>
      </c>
      <c r="M18" s="126">
        <f>Calc!O76*M$8</f>
        <v>0</v>
      </c>
      <c r="N18" s="126">
        <f>Calc!P76*N$8</f>
        <v>0</v>
      </c>
    </row>
    <row r="19" spans="1:14" x14ac:dyDescent="0.25">
      <c r="A19" s="123" t="s">
        <v>335</v>
      </c>
      <c r="C19" s="126">
        <f>Calc!E77*C$8</f>
        <v>5465</v>
      </c>
      <c r="D19" s="126">
        <f>Calc!F77*D$8</f>
        <v>8058</v>
      </c>
      <c r="E19" s="126">
        <f>Calc!G77*E$8</f>
        <v>11287</v>
      </c>
      <c r="F19" s="126">
        <f>Calc!H77*F$8</f>
        <v>20369</v>
      </c>
      <c r="G19" s="126">
        <f>Calc!I77*G$8</f>
        <v>4092</v>
      </c>
      <c r="H19" s="126">
        <f>Calc!J77*H$8</f>
        <v>8361</v>
      </c>
      <c r="I19" s="126">
        <f>Calc!K77*I$8</f>
        <v>10097</v>
      </c>
      <c r="J19" s="126">
        <f>Calc!L77*J$8</f>
        <v>12224</v>
      </c>
      <c r="K19" s="126">
        <f>Calc!M77*K$8</f>
        <v>13941</v>
      </c>
      <c r="L19" s="126">
        <f>Calc!N77*L$8</f>
        <v>17972</v>
      </c>
      <c r="M19" s="126">
        <f>Calc!O77*M$8</f>
        <v>0</v>
      </c>
      <c r="N19" s="126">
        <f>Calc!P77*N$8</f>
        <v>0</v>
      </c>
    </row>
    <row r="20" spans="1:14" x14ac:dyDescent="0.25">
      <c r="A20" s="123" t="s">
        <v>336</v>
      </c>
      <c r="C20" s="126">
        <f>Calc!E78*C$8</f>
        <v>17500</v>
      </c>
      <c r="D20" s="126">
        <f>Calc!F78*D$8</f>
        <v>17552</v>
      </c>
      <c r="E20" s="126">
        <f>Calc!G78*E$8</f>
        <v>17606</v>
      </c>
      <c r="F20" s="126">
        <f>Calc!H78*F$8</f>
        <v>17657</v>
      </c>
      <c r="G20" s="126">
        <f>Calc!I78*G$8</f>
        <v>17710</v>
      </c>
      <c r="H20" s="126">
        <f>Calc!J78*H$8</f>
        <v>17763</v>
      </c>
      <c r="I20" s="126">
        <f>Calc!K78*I$8</f>
        <v>17814</v>
      </c>
      <c r="J20" s="126">
        <f>Calc!L78*J$8</f>
        <v>17868</v>
      </c>
      <c r="K20" s="126">
        <f>Calc!M78*K$8</f>
        <v>17920</v>
      </c>
      <c r="L20" s="126">
        <f>Calc!N78*L$8</f>
        <v>17972</v>
      </c>
      <c r="M20" s="126">
        <f>Calc!O78*M$8</f>
        <v>0</v>
      </c>
      <c r="N20" s="126">
        <f>Calc!P78*N$8</f>
        <v>0</v>
      </c>
    </row>
    <row r="21" spans="1:14" x14ac:dyDescent="0.25">
      <c r="A21" s="123" t="s">
        <v>337</v>
      </c>
      <c r="C21" s="126">
        <f>Calc!E79*C$8</f>
        <v>7361</v>
      </c>
      <c r="D21" s="126">
        <f>Calc!F79*D$8</f>
        <v>7763</v>
      </c>
      <c r="E21" s="126">
        <f>Calc!G79*E$8</f>
        <v>7648</v>
      </c>
      <c r="F21" s="126">
        <f>Calc!H79*F$8</f>
        <v>7012</v>
      </c>
      <c r="G21" s="126">
        <f>Calc!I79*G$8</f>
        <v>8310</v>
      </c>
      <c r="H21" s="126">
        <f>Calc!J79*H$8</f>
        <v>7642</v>
      </c>
      <c r="I21" s="126">
        <f>Calc!K79*I$8</f>
        <v>7580</v>
      </c>
      <c r="J21" s="126">
        <f>Calc!L79*J$8</f>
        <v>8006</v>
      </c>
      <c r="K21" s="126">
        <f>Calc!M79*K$8</f>
        <v>7858</v>
      </c>
      <c r="L21" s="126">
        <f>Calc!N79*L$8</f>
        <v>8040</v>
      </c>
      <c r="M21" s="126">
        <f>Calc!O79*M$8</f>
        <v>0</v>
      </c>
      <c r="N21" s="126">
        <f>Calc!P79*N$8</f>
        <v>0</v>
      </c>
    </row>
    <row r="22" spans="1:14" x14ac:dyDescent="0.25">
      <c r="A22" s="123" t="s">
        <v>339</v>
      </c>
      <c r="C22" s="126">
        <f>Calc!E80*C$8</f>
        <v>27446</v>
      </c>
      <c r="D22" s="126">
        <f>Calc!F80*D$8</f>
        <v>28698</v>
      </c>
      <c r="E22" s="126">
        <f>Calc!G80*E$8</f>
        <v>30060</v>
      </c>
      <c r="F22" s="126">
        <f>Calc!H80*F$8</f>
        <v>26002</v>
      </c>
      <c r="G22" s="126">
        <f>Calc!I80*G$8</f>
        <v>27829</v>
      </c>
      <c r="H22" s="126">
        <f>Calc!J80*H$8</f>
        <v>26973</v>
      </c>
      <c r="I22" s="126">
        <f>Calc!K80*I$8</f>
        <v>23861</v>
      </c>
      <c r="J22" s="126">
        <f>Calc!L80*J$8</f>
        <v>31883</v>
      </c>
      <c r="K22" s="126">
        <f>Calc!M80*K$8</f>
        <v>28733</v>
      </c>
      <c r="L22" s="126">
        <f>Calc!N80*L$8</f>
        <v>27799</v>
      </c>
      <c r="M22" s="126">
        <f>Calc!O80*M$8</f>
        <v>0</v>
      </c>
      <c r="N22" s="126">
        <f>Calc!P80*N$8</f>
        <v>0</v>
      </c>
    </row>
    <row r="23" spans="1:14" x14ac:dyDescent="0.25">
      <c r="A23" s="123" t="s">
        <v>25</v>
      </c>
      <c r="C23" s="126">
        <f>Calc!E81*C$8</f>
        <v>40750</v>
      </c>
      <c r="D23" s="126">
        <f>Calc!F81*D$8</f>
        <v>40750</v>
      </c>
      <c r="E23" s="126">
        <f>Calc!G81*E$8</f>
        <v>40750</v>
      </c>
      <c r="F23" s="126">
        <f>Calc!H81*F$8</f>
        <v>40750</v>
      </c>
      <c r="G23" s="126">
        <f>Calc!I81*G$8</f>
        <v>45125</v>
      </c>
      <c r="H23" s="126">
        <f>Calc!J81*H$8</f>
        <v>45125</v>
      </c>
      <c r="I23" s="126">
        <f>Calc!K81*I$8</f>
        <v>45125</v>
      </c>
      <c r="J23" s="126">
        <f>Calc!L81*J$8</f>
        <v>45125</v>
      </c>
      <c r="K23" s="126">
        <f>Calc!M81*K$8</f>
        <v>46844</v>
      </c>
      <c r="L23" s="126">
        <f>Calc!N81*L$8</f>
        <v>46844</v>
      </c>
      <c r="M23" s="126">
        <f>Calc!O81*M$8</f>
        <v>0</v>
      </c>
      <c r="N23" s="126">
        <f>Calc!P81*N$8</f>
        <v>0</v>
      </c>
    </row>
    <row r="24" spans="1:14" x14ac:dyDescent="0.25">
      <c r="A24" s="123" t="s">
        <v>27</v>
      </c>
      <c r="C24" s="126">
        <f>Calc!E82*C$8</f>
        <v>1428</v>
      </c>
      <c r="D24" s="126">
        <f>Calc!F82*D$8</f>
        <v>1433</v>
      </c>
      <c r="E24" s="126">
        <f>Calc!G82*E$8</f>
        <v>1438</v>
      </c>
      <c r="F24" s="126">
        <f>Calc!H82*F$8</f>
        <v>1442</v>
      </c>
      <c r="G24" s="126">
        <f>Calc!I82*G$8</f>
        <v>1448</v>
      </c>
      <c r="H24" s="126">
        <f>Calc!J82*H$8</f>
        <v>1452</v>
      </c>
      <c r="I24" s="126">
        <f>Calc!K82*I$8</f>
        <v>1458</v>
      </c>
      <c r="J24" s="126">
        <f>Calc!L82*J$8</f>
        <v>1462</v>
      </c>
      <c r="K24" s="126">
        <f>Calc!M82*K$8</f>
        <v>1467</v>
      </c>
      <c r="L24" s="126">
        <f>Calc!N82*L$8</f>
        <v>1472</v>
      </c>
      <c r="M24" s="126">
        <f>Calc!O82*M$8</f>
        <v>0</v>
      </c>
      <c r="N24" s="126">
        <f>Calc!P82*N$8</f>
        <v>0</v>
      </c>
    </row>
    <row r="25" spans="1:14" x14ac:dyDescent="0.25">
      <c r="A25" s="123" t="s">
        <v>28</v>
      </c>
      <c r="C25" s="126">
        <f>Calc!E83*C$8</f>
        <v>13260</v>
      </c>
      <c r="D25" s="126">
        <f>Calc!F83*D$8</f>
        <v>12920</v>
      </c>
      <c r="E25" s="126">
        <f>Calc!G83*E$8</f>
        <v>12580</v>
      </c>
      <c r="F25" s="126">
        <f>Calc!H83*F$8</f>
        <v>12240</v>
      </c>
      <c r="G25" s="126">
        <f>Calc!I83*G$8</f>
        <v>11900</v>
      </c>
      <c r="H25" s="126">
        <f>Calc!J83*H$8</f>
        <v>13410</v>
      </c>
      <c r="I25" s="126">
        <f>Calc!K83*I$8</f>
        <v>11220</v>
      </c>
      <c r="J25" s="126">
        <f>Calc!L83*J$8</f>
        <v>10880</v>
      </c>
      <c r="K25" s="126">
        <f>Calc!M83*K$8</f>
        <v>10540</v>
      </c>
      <c r="L25" s="126">
        <f>Calc!N83*L$8</f>
        <v>10200</v>
      </c>
      <c r="M25" s="126">
        <f>Calc!O83*M$8</f>
        <v>0</v>
      </c>
      <c r="N25" s="126">
        <f>Calc!P83*N$8</f>
        <v>0</v>
      </c>
    </row>
    <row r="26" spans="1:14" x14ac:dyDescent="0.25">
      <c r="A26" s="123" t="s">
        <v>30</v>
      </c>
      <c r="C26" s="126">
        <f>Calc!E84*C$8</f>
        <v>25222</v>
      </c>
      <c r="D26" s="126">
        <f>Calc!F84*D$8</f>
        <v>19372</v>
      </c>
      <c r="E26" s="126">
        <f>Calc!G84*E$8</f>
        <v>34637</v>
      </c>
      <c r="F26" s="126">
        <f>Calc!H84*F$8</f>
        <v>41117</v>
      </c>
      <c r="G26" s="126">
        <f>Calc!I84*G$8</f>
        <v>48226</v>
      </c>
      <c r="H26" s="126">
        <f>Calc!J84*H$8</f>
        <v>43125</v>
      </c>
      <c r="I26" s="126">
        <f>Calc!K84*I$8</f>
        <v>46470</v>
      </c>
      <c r="J26" s="126">
        <f>Calc!L84*J$8</f>
        <v>50185</v>
      </c>
      <c r="K26" s="126">
        <f>Calc!M84*K$8</f>
        <v>54851</v>
      </c>
      <c r="L26" s="126">
        <f>Calc!N84*L$8</f>
        <v>72846</v>
      </c>
      <c r="M26" s="126">
        <f>Calc!O84*M$8</f>
        <v>0</v>
      </c>
      <c r="N26" s="126">
        <f>Calc!P84*N$8</f>
        <v>0</v>
      </c>
    </row>
    <row r="27" spans="1:14" x14ac:dyDescent="0.25">
      <c r="A27" s="125" t="s">
        <v>430</v>
      </c>
    </row>
    <row r="28" spans="1:14" x14ac:dyDescent="0.25">
      <c r="A28" s="123" t="s">
        <v>7</v>
      </c>
      <c r="C28" s="126">
        <f>Calc!E88</f>
        <v>1637600</v>
      </c>
      <c r="D28" s="126">
        <f>Calc!F88</f>
        <v>1608400</v>
      </c>
      <c r="E28" s="126">
        <f>Calc!G88</f>
        <v>1758400</v>
      </c>
      <c r="F28" s="126">
        <f>Calc!H88</f>
        <v>1801400</v>
      </c>
      <c r="G28" s="126">
        <f>Calc!I88</f>
        <v>1844600</v>
      </c>
      <c r="H28" s="126">
        <f>Calc!J88</f>
        <v>1870100</v>
      </c>
      <c r="I28" s="126">
        <f>Calc!K88</f>
        <v>1822700</v>
      </c>
      <c r="J28" s="126">
        <f>Calc!L88</f>
        <v>1848100</v>
      </c>
      <c r="K28" s="126">
        <f>Calc!M88</f>
        <v>1910400</v>
      </c>
      <c r="L28" s="126">
        <f>Calc!N88</f>
        <v>1991600</v>
      </c>
      <c r="M28" s="126">
        <f>Calc!O88</f>
        <v>2110400</v>
      </c>
      <c r="N28" s="126">
        <f>Calc!P88</f>
        <v>2230000</v>
      </c>
    </row>
    <row r="29" spans="1:14" x14ac:dyDescent="0.25">
      <c r="A29" s="123" t="s">
        <v>8</v>
      </c>
      <c r="C29" s="126">
        <f>Calc!E89</f>
        <v>828700</v>
      </c>
      <c r="D29" s="126">
        <f>Calc!F89</f>
        <v>813900</v>
      </c>
      <c r="E29" s="126">
        <f>Calc!G89</f>
        <v>889800</v>
      </c>
      <c r="F29" s="126">
        <f>Calc!H89</f>
        <v>911600</v>
      </c>
      <c r="G29" s="126">
        <f>Calc!I89</f>
        <v>933500</v>
      </c>
      <c r="H29" s="126">
        <f>Calc!J89</f>
        <v>946300</v>
      </c>
      <c r="I29" s="126">
        <f>Calc!K89</f>
        <v>922400</v>
      </c>
      <c r="J29" s="126">
        <f>Calc!L89</f>
        <v>935200</v>
      </c>
      <c r="K29" s="126">
        <f>Calc!M89</f>
        <v>966800</v>
      </c>
      <c r="L29" s="126">
        <f>Calc!N89</f>
        <v>1007800</v>
      </c>
      <c r="M29" s="126">
        <f>Calc!O89</f>
        <v>1067900</v>
      </c>
      <c r="N29" s="126">
        <f>Calc!P89</f>
        <v>1128500</v>
      </c>
    </row>
    <row r="30" spans="1:14" x14ac:dyDescent="0.25">
      <c r="A30" s="123" t="s">
        <v>11</v>
      </c>
      <c r="C30" s="126">
        <f>Calc!E90</f>
        <v>6000</v>
      </c>
      <c r="D30" s="126">
        <f>Calc!F90</f>
        <v>6000</v>
      </c>
      <c r="E30" s="126">
        <f>Calc!G90</f>
        <v>6000</v>
      </c>
      <c r="F30" s="126">
        <f>Calc!H90</f>
        <v>6000</v>
      </c>
      <c r="G30" s="126">
        <f>Calc!I90</f>
        <v>6000</v>
      </c>
      <c r="H30" s="126">
        <f>Calc!J90</f>
        <v>6000</v>
      </c>
      <c r="I30" s="126">
        <f>Calc!K90</f>
        <v>6000</v>
      </c>
      <c r="J30" s="126">
        <f>Calc!L90</f>
        <v>6000</v>
      </c>
      <c r="K30" s="126">
        <f>Calc!M90</f>
        <v>6000</v>
      </c>
      <c r="L30" s="126">
        <f>Calc!N90</f>
        <v>6000</v>
      </c>
      <c r="M30" s="126">
        <f>Calc!O90</f>
        <v>6000</v>
      </c>
      <c r="N30" s="126">
        <f>Calc!P90</f>
        <v>6000</v>
      </c>
    </row>
    <row r="31" spans="1:14" x14ac:dyDescent="0.25">
      <c r="A31" s="123" t="s">
        <v>315</v>
      </c>
      <c r="C31" s="126">
        <f>Calc!E91</f>
        <v>352100</v>
      </c>
      <c r="D31" s="126">
        <f>Calc!F91</f>
        <v>353100</v>
      </c>
      <c r="E31" s="126">
        <f>Calc!G91</f>
        <v>354200</v>
      </c>
      <c r="F31" s="126">
        <f>Calc!H91</f>
        <v>355200</v>
      </c>
      <c r="G31" s="126">
        <f>Calc!I91</f>
        <v>356300</v>
      </c>
      <c r="H31" s="126">
        <f>Calc!J91</f>
        <v>357300</v>
      </c>
      <c r="I31" s="126">
        <f>Calc!K91</f>
        <v>358400</v>
      </c>
      <c r="J31" s="126">
        <f>Calc!L91</f>
        <v>359500</v>
      </c>
      <c r="K31" s="126">
        <f>Calc!M91</f>
        <v>360500</v>
      </c>
      <c r="L31" s="126">
        <f>Calc!N91</f>
        <v>361600</v>
      </c>
      <c r="M31" s="126">
        <f>Calc!O91</f>
        <v>362600</v>
      </c>
      <c r="N31" s="126">
        <f>Calc!P91</f>
        <v>363700</v>
      </c>
    </row>
    <row r="32" spans="1:14" x14ac:dyDescent="0.25">
      <c r="A32" s="123" t="s">
        <v>319</v>
      </c>
      <c r="C32" s="126">
        <f>Calc!E92</f>
        <v>75500</v>
      </c>
      <c r="D32" s="126">
        <f>Calc!F92</f>
        <v>75700</v>
      </c>
      <c r="E32" s="126">
        <f>Calc!G92</f>
        <v>76000</v>
      </c>
      <c r="F32" s="126">
        <f>Calc!H92</f>
        <v>76200</v>
      </c>
      <c r="G32" s="126">
        <f>Calc!I92</f>
        <v>76400</v>
      </c>
      <c r="H32" s="126">
        <f>Calc!J92</f>
        <v>76600</v>
      </c>
      <c r="I32" s="126">
        <f>Calc!K92</f>
        <v>76900</v>
      </c>
      <c r="J32" s="126">
        <f>Calc!L92</f>
        <v>77100</v>
      </c>
      <c r="K32" s="126">
        <f>Calc!M92</f>
        <v>77300</v>
      </c>
      <c r="L32" s="126">
        <f>Calc!N92</f>
        <v>77500</v>
      </c>
      <c r="M32" s="126">
        <f>Calc!O92</f>
        <v>77800</v>
      </c>
      <c r="N32" s="126">
        <f>Calc!P92</f>
        <v>78000</v>
      </c>
    </row>
    <row r="33" spans="1:14" x14ac:dyDescent="0.25">
      <c r="A33" s="123" t="s">
        <v>322</v>
      </c>
      <c r="C33" s="126">
        <f>Calc!E93</f>
        <v>65100</v>
      </c>
      <c r="D33" s="126">
        <f>Calc!F93</f>
        <v>65300</v>
      </c>
      <c r="E33" s="126">
        <f>Calc!G93</f>
        <v>65500</v>
      </c>
      <c r="F33" s="126">
        <f>Calc!H93</f>
        <v>65700</v>
      </c>
      <c r="G33" s="126">
        <f>Calc!I93</f>
        <v>65900</v>
      </c>
      <c r="H33" s="126">
        <f>Calc!J93</f>
        <v>66100</v>
      </c>
      <c r="I33" s="126">
        <f>Calc!K93</f>
        <v>66300</v>
      </c>
      <c r="J33" s="126">
        <f>Calc!L93</f>
        <v>66400</v>
      </c>
      <c r="K33" s="126">
        <f>Calc!M93</f>
        <v>66600</v>
      </c>
      <c r="L33" s="126">
        <f>Calc!N93</f>
        <v>66800</v>
      </c>
      <c r="M33" s="126">
        <f>Calc!O93</f>
        <v>67000</v>
      </c>
      <c r="N33" s="126">
        <f>Calc!P93</f>
        <v>67200</v>
      </c>
    </row>
    <row r="34" spans="1:14" x14ac:dyDescent="0.25">
      <c r="A34" s="123" t="s">
        <v>325</v>
      </c>
      <c r="C34" s="126">
        <f>Calc!E94</f>
        <v>23200</v>
      </c>
      <c r="D34" s="126">
        <f>Calc!F94</f>
        <v>23200</v>
      </c>
      <c r="E34" s="126">
        <f>Calc!G94</f>
        <v>23300</v>
      </c>
      <c r="F34" s="126">
        <f>Calc!H94</f>
        <v>23400</v>
      </c>
      <c r="G34" s="126">
        <f>Calc!I94</f>
        <v>23500</v>
      </c>
      <c r="H34" s="126">
        <f>Calc!J94</f>
        <v>23500</v>
      </c>
      <c r="I34" s="126">
        <f>Calc!K94</f>
        <v>23600</v>
      </c>
      <c r="J34" s="126">
        <f>Calc!L94</f>
        <v>23700</v>
      </c>
      <c r="K34" s="126">
        <f>Calc!M94</f>
        <v>23700</v>
      </c>
      <c r="L34" s="126">
        <f>Calc!N94</f>
        <v>23800</v>
      </c>
      <c r="M34" s="126">
        <f>Calc!O94</f>
        <v>23900</v>
      </c>
      <c r="N34" s="126">
        <f>Calc!P94</f>
        <v>23900</v>
      </c>
    </row>
    <row r="35" spans="1:14" x14ac:dyDescent="0.25">
      <c r="A35" s="123" t="s">
        <v>329</v>
      </c>
      <c r="C35" s="126">
        <f>Calc!E95</f>
        <v>30300</v>
      </c>
      <c r="D35" s="126">
        <f>Calc!F95</f>
        <v>30400</v>
      </c>
      <c r="E35" s="126">
        <f>Calc!G95</f>
        <v>30500</v>
      </c>
      <c r="F35" s="126">
        <f>Calc!H95</f>
        <v>30600</v>
      </c>
      <c r="G35" s="126">
        <f>Calc!I95</f>
        <v>30600</v>
      </c>
      <c r="H35" s="126">
        <f>Calc!J95</f>
        <v>30700</v>
      </c>
      <c r="I35" s="126">
        <f>Calc!K95</f>
        <v>30800</v>
      </c>
      <c r="J35" s="126">
        <f>Calc!L95</f>
        <v>30900</v>
      </c>
      <c r="K35" s="126">
        <f>Calc!M95</f>
        <v>31000</v>
      </c>
      <c r="L35" s="126">
        <f>Calc!N95</f>
        <v>31100</v>
      </c>
      <c r="M35" s="126">
        <f>Calc!O95</f>
        <v>31200</v>
      </c>
      <c r="N35" s="126">
        <f>Calc!P95</f>
        <v>31300</v>
      </c>
    </row>
    <row r="36" spans="1:14" x14ac:dyDescent="0.25">
      <c r="A36" s="123" t="s">
        <v>333</v>
      </c>
      <c r="C36" s="126">
        <f>Calc!E96</f>
        <v>24400</v>
      </c>
      <c r="D36" s="126">
        <f>Calc!F96</f>
        <v>24500</v>
      </c>
      <c r="E36" s="126">
        <f>Calc!G96</f>
        <v>24500</v>
      </c>
      <c r="F36" s="126">
        <f>Calc!H96</f>
        <v>24600</v>
      </c>
      <c r="G36" s="126">
        <f>Calc!I96</f>
        <v>24700</v>
      </c>
      <c r="H36" s="126">
        <f>Calc!J96</f>
        <v>24700</v>
      </c>
      <c r="I36" s="126">
        <f>Calc!K96</f>
        <v>24800</v>
      </c>
      <c r="J36" s="126">
        <f>Calc!L96</f>
        <v>24900</v>
      </c>
      <c r="K36" s="126">
        <f>Calc!M96</f>
        <v>25000</v>
      </c>
      <c r="L36" s="126">
        <f>Calc!N96</f>
        <v>25000</v>
      </c>
      <c r="M36" s="126">
        <f>Calc!O96</f>
        <v>25100</v>
      </c>
      <c r="N36" s="126">
        <f>Calc!P96</f>
        <v>25200</v>
      </c>
    </row>
    <row r="37" spans="1:14" x14ac:dyDescent="0.25">
      <c r="A37" s="123" t="s">
        <v>335</v>
      </c>
      <c r="C37" s="126">
        <f>Calc!E97</f>
        <v>9700</v>
      </c>
      <c r="D37" s="126">
        <f>Calc!F97</f>
        <v>9700</v>
      </c>
      <c r="E37" s="126">
        <f>Calc!G97</f>
        <v>9700</v>
      </c>
      <c r="F37" s="126">
        <f>Calc!H97</f>
        <v>9800</v>
      </c>
      <c r="G37" s="126">
        <f>Calc!I97</f>
        <v>9800</v>
      </c>
      <c r="H37" s="126">
        <f>Calc!J97</f>
        <v>9800</v>
      </c>
      <c r="I37" s="126">
        <f>Calc!K97</f>
        <v>9900</v>
      </c>
      <c r="J37" s="126">
        <f>Calc!L97</f>
        <v>9900</v>
      </c>
      <c r="K37" s="126">
        <f>Calc!M97</f>
        <v>9900</v>
      </c>
      <c r="L37" s="126">
        <f>Calc!N97</f>
        <v>9900</v>
      </c>
      <c r="M37" s="126">
        <f>Calc!O97</f>
        <v>10000</v>
      </c>
      <c r="N37" s="126">
        <f>Calc!P97</f>
        <v>10000</v>
      </c>
    </row>
    <row r="38" spans="1:14" x14ac:dyDescent="0.25">
      <c r="A38" s="123" t="s">
        <v>336</v>
      </c>
      <c r="C38" s="126">
        <f>Calc!E98</f>
        <v>17500</v>
      </c>
      <c r="D38" s="126">
        <f>Calc!F98</f>
        <v>17600</v>
      </c>
      <c r="E38" s="126">
        <f>Calc!G98</f>
        <v>17600</v>
      </c>
      <c r="F38" s="126">
        <f>Calc!H98</f>
        <v>17700</v>
      </c>
      <c r="G38" s="126">
        <f>Calc!I98</f>
        <v>17700</v>
      </c>
      <c r="H38" s="126">
        <f>Calc!J98</f>
        <v>17800</v>
      </c>
      <c r="I38" s="126">
        <f>Calc!K98</f>
        <v>17800</v>
      </c>
      <c r="J38" s="126">
        <f>Calc!L98</f>
        <v>17900</v>
      </c>
      <c r="K38" s="126">
        <f>Calc!M98</f>
        <v>17900</v>
      </c>
      <c r="L38" s="126">
        <f>Calc!N98</f>
        <v>18000</v>
      </c>
      <c r="M38" s="126">
        <f>Calc!O98</f>
        <v>18000</v>
      </c>
      <c r="N38" s="126">
        <f>Calc!P98</f>
        <v>18100</v>
      </c>
    </row>
    <row r="39" spans="1:14" x14ac:dyDescent="0.25">
      <c r="A39" s="123" t="s">
        <v>337</v>
      </c>
      <c r="C39" s="126">
        <f>Calc!E99</f>
        <v>7400</v>
      </c>
      <c r="D39" s="126">
        <f>Calc!F99</f>
        <v>7400</v>
      </c>
      <c r="E39" s="126">
        <f>Calc!G99</f>
        <v>7400</v>
      </c>
      <c r="F39" s="126">
        <f>Calc!H99</f>
        <v>7400</v>
      </c>
      <c r="G39" s="126">
        <f>Calc!I99</f>
        <v>7500</v>
      </c>
      <c r="H39" s="126">
        <f>Calc!J99</f>
        <v>7500</v>
      </c>
      <c r="I39" s="126">
        <f>Calc!K99</f>
        <v>7500</v>
      </c>
      <c r="J39" s="126">
        <f>Calc!L99</f>
        <v>7500</v>
      </c>
      <c r="K39" s="126">
        <f>Calc!M99</f>
        <v>7500</v>
      </c>
      <c r="L39" s="126">
        <f>Calc!N99</f>
        <v>7600</v>
      </c>
      <c r="M39" s="126">
        <f>Calc!O99</f>
        <v>7600</v>
      </c>
      <c r="N39" s="126">
        <f>Calc!P99</f>
        <v>7600</v>
      </c>
    </row>
    <row r="40" spans="1:14" x14ac:dyDescent="0.25">
      <c r="A40" s="123" t="s">
        <v>339</v>
      </c>
      <c r="C40" s="126">
        <f>Calc!E100</f>
        <v>28200</v>
      </c>
      <c r="D40" s="126">
        <f>Calc!F100</f>
        <v>28300</v>
      </c>
      <c r="E40" s="126">
        <f>Calc!G100</f>
        <v>28400</v>
      </c>
      <c r="F40" s="126">
        <f>Calc!H100</f>
        <v>28500</v>
      </c>
      <c r="G40" s="126">
        <f>Calc!I100</f>
        <v>28600</v>
      </c>
      <c r="H40" s="126">
        <f>Calc!J100</f>
        <v>28700</v>
      </c>
      <c r="I40" s="126">
        <f>Calc!K100</f>
        <v>28800</v>
      </c>
      <c r="J40" s="126">
        <f>Calc!L100</f>
        <v>28800</v>
      </c>
      <c r="K40" s="126">
        <f>Calc!M100</f>
        <v>28900</v>
      </c>
      <c r="L40" s="126">
        <f>Calc!N100</f>
        <v>29000</v>
      </c>
      <c r="M40" s="126">
        <f>Calc!O100</f>
        <v>29100</v>
      </c>
      <c r="N40" s="126">
        <f>Calc!P100</f>
        <v>29200</v>
      </c>
    </row>
    <row r="41" spans="1:14" x14ac:dyDescent="0.25">
      <c r="A41" s="123" t="s">
        <v>25</v>
      </c>
      <c r="C41" s="126">
        <f>Calc!E101</f>
        <v>40800</v>
      </c>
      <c r="D41" s="126">
        <f>Calc!F101</f>
        <v>40800</v>
      </c>
      <c r="E41" s="126">
        <f>Calc!G101</f>
        <v>40800</v>
      </c>
      <c r="F41" s="126">
        <f>Calc!H101</f>
        <v>40800</v>
      </c>
      <c r="G41" s="126">
        <f>Calc!I101</f>
        <v>45000</v>
      </c>
      <c r="H41" s="126">
        <f>Calc!J101</f>
        <v>45000</v>
      </c>
      <c r="I41" s="126">
        <f>Calc!K101</f>
        <v>45000</v>
      </c>
      <c r="J41" s="126">
        <f>Calc!L101</f>
        <v>45000</v>
      </c>
      <c r="K41" s="126">
        <f>Calc!M101</f>
        <v>47000</v>
      </c>
      <c r="L41" s="126">
        <f>Calc!N101</f>
        <v>47000</v>
      </c>
      <c r="M41" s="126">
        <f>Calc!O101</f>
        <v>47000</v>
      </c>
      <c r="N41" s="126">
        <f>Calc!P101</f>
        <v>47000</v>
      </c>
    </row>
    <row r="42" spans="1:14" x14ac:dyDescent="0.25">
      <c r="A42" s="123" t="s">
        <v>27</v>
      </c>
      <c r="C42" s="126">
        <f>Calc!E102</f>
        <v>1400</v>
      </c>
      <c r="D42" s="126">
        <f>Calc!F102</f>
        <v>1400</v>
      </c>
      <c r="E42" s="126">
        <f>Calc!G102</f>
        <v>1400</v>
      </c>
      <c r="F42" s="126">
        <f>Calc!H102</f>
        <v>1400</v>
      </c>
      <c r="G42" s="126">
        <f>Calc!I102</f>
        <v>1400</v>
      </c>
      <c r="H42" s="126">
        <f>Calc!J102</f>
        <v>1400</v>
      </c>
      <c r="I42" s="126">
        <f>Calc!K102</f>
        <v>1400</v>
      </c>
      <c r="J42" s="126">
        <f>Calc!L102</f>
        <v>1400</v>
      </c>
      <c r="K42" s="126">
        <f>Calc!M102</f>
        <v>1400</v>
      </c>
      <c r="L42" s="126">
        <f>Calc!N102</f>
        <v>1400</v>
      </c>
      <c r="M42" s="126">
        <f>Calc!O102</f>
        <v>1400</v>
      </c>
      <c r="N42" s="126">
        <f>Calc!P102</f>
        <v>1400</v>
      </c>
    </row>
    <row r="43" spans="1:14" x14ac:dyDescent="0.25">
      <c r="A43" s="123" t="s">
        <v>28</v>
      </c>
      <c r="C43" s="126">
        <f>Calc!E103</f>
        <v>13200</v>
      </c>
      <c r="D43" s="126">
        <f>Calc!F103</f>
        <v>13000</v>
      </c>
      <c r="E43" s="126">
        <f>Calc!G103</f>
        <v>12700</v>
      </c>
      <c r="F43" s="126">
        <f>Calc!H103</f>
        <v>12500</v>
      </c>
      <c r="G43" s="126">
        <f>Calc!I103</f>
        <v>12300</v>
      </c>
      <c r="H43" s="126">
        <f>Calc!J103</f>
        <v>12000</v>
      </c>
      <c r="I43" s="126">
        <f>Calc!K103</f>
        <v>11800</v>
      </c>
      <c r="J43" s="126">
        <f>Calc!L103</f>
        <v>11500</v>
      </c>
      <c r="K43" s="126">
        <f>Calc!M103</f>
        <v>11300</v>
      </c>
      <c r="L43" s="126">
        <f>Calc!N103</f>
        <v>11100</v>
      </c>
      <c r="M43" s="126">
        <f>Calc!O103</f>
        <v>10800</v>
      </c>
      <c r="N43" s="126">
        <f>Calc!P103</f>
        <v>10600</v>
      </c>
    </row>
    <row r="44" spans="1:14" x14ac:dyDescent="0.25">
      <c r="A44" s="123" t="s">
        <v>30</v>
      </c>
      <c r="C44" s="126">
        <f>Calc!E104</f>
        <v>32300</v>
      </c>
      <c r="D44" s="126">
        <f>Calc!F104</f>
        <v>28200</v>
      </c>
      <c r="E44" s="126">
        <f>Calc!G104</f>
        <v>46300</v>
      </c>
      <c r="F44" s="126">
        <f>Calc!H104</f>
        <v>51200</v>
      </c>
      <c r="G44" s="126">
        <f>Calc!I104</f>
        <v>55100</v>
      </c>
      <c r="H44" s="126">
        <f>Calc!J104</f>
        <v>57800</v>
      </c>
      <c r="I44" s="126">
        <f>Calc!K104</f>
        <v>51600</v>
      </c>
      <c r="J44" s="126">
        <f>Calc!L104</f>
        <v>54300</v>
      </c>
      <c r="K44" s="126">
        <f>Calc!M104</f>
        <v>61100</v>
      </c>
      <c r="L44" s="126">
        <f>Calc!N104</f>
        <v>70700</v>
      </c>
      <c r="M44" s="126">
        <f>Calc!O104</f>
        <v>84900</v>
      </c>
      <c r="N44" s="126">
        <f>Calc!P104</f>
        <v>99300</v>
      </c>
    </row>
    <row r="45" spans="1:14" x14ac:dyDescent="0.25">
      <c r="A45" s="123" t="s">
        <v>9</v>
      </c>
      <c r="C45" s="126">
        <f t="shared" ref="C45:N45" si="1">C10-C11</f>
        <v>786159</v>
      </c>
      <c r="D45" s="126">
        <f t="shared" si="1"/>
        <v>776461</v>
      </c>
      <c r="E45" s="126">
        <f t="shared" si="1"/>
        <v>843360</v>
      </c>
      <c r="F45" s="126">
        <f t="shared" si="1"/>
        <v>866249</v>
      </c>
      <c r="G45" s="126">
        <f t="shared" si="1"/>
        <v>891004</v>
      </c>
      <c r="H45" s="126">
        <f t="shared" si="1"/>
        <v>881807</v>
      </c>
      <c r="I45" s="126">
        <f t="shared" si="1"/>
        <v>881035</v>
      </c>
      <c r="J45" s="126">
        <f t="shared" si="1"/>
        <v>907626</v>
      </c>
      <c r="K45" s="126">
        <f t="shared" si="1"/>
        <v>944436</v>
      </c>
      <c r="L45" s="126">
        <f t="shared" si="1"/>
        <v>982712</v>
      </c>
      <c r="M45" s="126">
        <f t="shared" si="1"/>
        <v>0</v>
      </c>
      <c r="N45" s="126">
        <f t="shared" si="1"/>
        <v>0</v>
      </c>
    </row>
    <row r="46" spans="1:14" x14ac:dyDescent="0.25">
      <c r="A46" s="123" t="s">
        <v>12</v>
      </c>
      <c r="C46" s="126">
        <f t="shared" ref="C46:N46" si="2">SUM(C13:C22)</f>
        <v>640109</v>
      </c>
      <c r="D46" s="126">
        <f t="shared" si="2"/>
        <v>652584</v>
      </c>
      <c r="E46" s="126">
        <f t="shared" si="2"/>
        <v>659667</v>
      </c>
      <c r="F46" s="126">
        <f t="shared" si="2"/>
        <v>655715</v>
      </c>
      <c r="G46" s="126">
        <f t="shared" si="2"/>
        <v>647729</v>
      </c>
      <c r="H46" s="126">
        <f t="shared" si="2"/>
        <v>657955</v>
      </c>
      <c r="I46" s="126">
        <f t="shared" si="2"/>
        <v>645249</v>
      </c>
      <c r="J46" s="126">
        <f t="shared" si="2"/>
        <v>658085</v>
      </c>
      <c r="K46" s="126">
        <f t="shared" si="2"/>
        <v>675118</v>
      </c>
      <c r="L46" s="126">
        <f t="shared" si="2"/>
        <v>641590</v>
      </c>
      <c r="M46" s="126">
        <f t="shared" si="2"/>
        <v>0</v>
      </c>
      <c r="N46" s="126">
        <f t="shared" si="2"/>
        <v>0</v>
      </c>
    </row>
    <row r="47" spans="1:14" x14ac:dyDescent="0.25">
      <c r="A47" s="123" t="s">
        <v>24</v>
      </c>
      <c r="C47" s="126">
        <f t="shared" ref="C47:N47" si="3">C45+C12-C46</f>
        <v>153472</v>
      </c>
      <c r="D47" s="126">
        <f t="shared" si="3"/>
        <v>129725</v>
      </c>
      <c r="E47" s="126">
        <f t="shared" si="3"/>
        <v>190437</v>
      </c>
      <c r="F47" s="126">
        <f t="shared" si="3"/>
        <v>216019</v>
      </c>
      <c r="G47" s="126">
        <f t="shared" si="3"/>
        <v>248477</v>
      </c>
      <c r="H47" s="126">
        <f t="shared" si="3"/>
        <v>229585</v>
      </c>
      <c r="I47" s="126">
        <f t="shared" si="3"/>
        <v>240765</v>
      </c>
      <c r="J47" s="126">
        <f t="shared" si="3"/>
        <v>255286</v>
      </c>
      <c r="K47" s="126">
        <f t="shared" si="3"/>
        <v>275318</v>
      </c>
      <c r="L47" s="126">
        <f t="shared" si="3"/>
        <v>346961</v>
      </c>
      <c r="M47" s="126">
        <f t="shared" si="3"/>
        <v>0</v>
      </c>
      <c r="N47" s="126">
        <f t="shared" si="3"/>
        <v>0</v>
      </c>
    </row>
    <row r="48" spans="1:14" x14ac:dyDescent="0.25">
      <c r="A48" s="123" t="s">
        <v>431</v>
      </c>
      <c r="C48" s="126">
        <f t="shared" ref="C48:N48" si="4">C47-C23</f>
        <v>112722</v>
      </c>
      <c r="D48" s="126">
        <f t="shared" si="4"/>
        <v>88975</v>
      </c>
      <c r="E48" s="126">
        <f t="shared" si="4"/>
        <v>149687</v>
      </c>
      <c r="F48" s="126">
        <f t="shared" si="4"/>
        <v>175269</v>
      </c>
      <c r="G48" s="126">
        <f t="shared" si="4"/>
        <v>203352</v>
      </c>
      <c r="H48" s="126">
        <f t="shared" si="4"/>
        <v>184460</v>
      </c>
      <c r="I48" s="126">
        <f t="shared" si="4"/>
        <v>195640</v>
      </c>
      <c r="J48" s="126">
        <f t="shared" si="4"/>
        <v>210161</v>
      </c>
      <c r="K48" s="126">
        <f t="shared" si="4"/>
        <v>228474</v>
      </c>
      <c r="L48" s="126">
        <f t="shared" si="4"/>
        <v>300117</v>
      </c>
      <c r="M48" s="126">
        <f t="shared" si="4"/>
        <v>0</v>
      </c>
      <c r="N48" s="126">
        <f t="shared" si="4"/>
        <v>0</v>
      </c>
    </row>
    <row r="49" spans="1:14" x14ac:dyDescent="0.25">
      <c r="A49" s="123" t="s">
        <v>420</v>
      </c>
      <c r="C49" s="126">
        <f t="shared" ref="C49:N49" si="5">C48+C24-C25-C26</f>
        <v>75668</v>
      </c>
      <c r="D49" s="126">
        <f t="shared" si="5"/>
        <v>58116</v>
      </c>
      <c r="E49" s="126">
        <f t="shared" si="5"/>
        <v>103908</v>
      </c>
      <c r="F49" s="126">
        <f t="shared" si="5"/>
        <v>123354</v>
      </c>
      <c r="G49" s="126">
        <f t="shared" si="5"/>
        <v>144674</v>
      </c>
      <c r="H49" s="126">
        <f t="shared" si="5"/>
        <v>129377</v>
      </c>
      <c r="I49" s="126">
        <f t="shared" si="5"/>
        <v>139408</v>
      </c>
      <c r="J49" s="126">
        <f t="shared" si="5"/>
        <v>150558</v>
      </c>
      <c r="K49" s="126">
        <f t="shared" si="5"/>
        <v>164550</v>
      </c>
      <c r="L49" s="126">
        <f t="shared" si="5"/>
        <v>218543</v>
      </c>
      <c r="M49" s="126">
        <f t="shared" si="5"/>
        <v>0</v>
      </c>
      <c r="N49" s="126">
        <f t="shared" si="5"/>
        <v>0</v>
      </c>
    </row>
    <row r="50" spans="1:14" x14ac:dyDescent="0.25">
      <c r="A50" s="123" t="s">
        <v>9</v>
      </c>
      <c r="C50" s="126">
        <f t="shared" ref="C50:N50" si="6">C28-C29</f>
        <v>808900</v>
      </c>
      <c r="D50" s="126">
        <f t="shared" si="6"/>
        <v>794500</v>
      </c>
      <c r="E50" s="126">
        <f t="shared" si="6"/>
        <v>868600</v>
      </c>
      <c r="F50" s="126">
        <f t="shared" si="6"/>
        <v>889800</v>
      </c>
      <c r="G50" s="126">
        <f t="shared" si="6"/>
        <v>911100</v>
      </c>
      <c r="H50" s="126">
        <f t="shared" si="6"/>
        <v>923800</v>
      </c>
      <c r="I50" s="126">
        <f t="shared" si="6"/>
        <v>900300</v>
      </c>
      <c r="J50" s="126">
        <f t="shared" si="6"/>
        <v>912900</v>
      </c>
      <c r="K50" s="126">
        <f t="shared" si="6"/>
        <v>943600</v>
      </c>
      <c r="L50" s="126">
        <f t="shared" si="6"/>
        <v>983800</v>
      </c>
      <c r="M50" s="126">
        <f t="shared" si="6"/>
        <v>1042500</v>
      </c>
      <c r="N50" s="126">
        <f t="shared" si="6"/>
        <v>1101500</v>
      </c>
    </row>
    <row r="51" spans="1:14" x14ac:dyDescent="0.25">
      <c r="A51" s="123" t="s">
        <v>12</v>
      </c>
      <c r="C51" s="126">
        <f t="shared" ref="C51:N51" si="7">SUM(C31:C40)</f>
        <v>633400</v>
      </c>
      <c r="D51" s="126">
        <f t="shared" si="7"/>
        <v>635200</v>
      </c>
      <c r="E51" s="126">
        <f t="shared" si="7"/>
        <v>637100</v>
      </c>
      <c r="F51" s="126">
        <f t="shared" si="7"/>
        <v>639100</v>
      </c>
      <c r="G51" s="126">
        <f t="shared" si="7"/>
        <v>641000</v>
      </c>
      <c r="H51" s="126">
        <f t="shared" si="7"/>
        <v>642700</v>
      </c>
      <c r="I51" s="126">
        <f t="shared" si="7"/>
        <v>644800</v>
      </c>
      <c r="J51" s="126">
        <f t="shared" si="7"/>
        <v>646600</v>
      </c>
      <c r="K51" s="126">
        <f t="shared" si="7"/>
        <v>648300</v>
      </c>
      <c r="L51" s="126">
        <f t="shared" si="7"/>
        <v>650300</v>
      </c>
      <c r="M51" s="126">
        <f t="shared" si="7"/>
        <v>652300</v>
      </c>
      <c r="N51" s="126">
        <f t="shared" si="7"/>
        <v>654200</v>
      </c>
    </row>
    <row r="52" spans="1:14" x14ac:dyDescent="0.25">
      <c r="A52" s="123" t="s">
        <v>24</v>
      </c>
      <c r="C52" s="126">
        <f t="shared" ref="C52:N52" si="8">C50+C30-C51</f>
        <v>181500</v>
      </c>
      <c r="D52" s="126">
        <f t="shared" si="8"/>
        <v>165300</v>
      </c>
      <c r="E52" s="126">
        <f t="shared" si="8"/>
        <v>237500</v>
      </c>
      <c r="F52" s="126">
        <f t="shared" si="8"/>
        <v>256700</v>
      </c>
      <c r="G52" s="126">
        <f t="shared" si="8"/>
        <v>276100</v>
      </c>
      <c r="H52" s="126">
        <f t="shared" si="8"/>
        <v>287100</v>
      </c>
      <c r="I52" s="126">
        <f t="shared" si="8"/>
        <v>261500</v>
      </c>
      <c r="J52" s="126">
        <f t="shared" si="8"/>
        <v>272300</v>
      </c>
      <c r="K52" s="126">
        <f t="shared" si="8"/>
        <v>301300</v>
      </c>
      <c r="L52" s="126">
        <f t="shared" si="8"/>
        <v>339500</v>
      </c>
      <c r="M52" s="126">
        <f t="shared" si="8"/>
        <v>396200</v>
      </c>
      <c r="N52" s="126">
        <f t="shared" si="8"/>
        <v>453300</v>
      </c>
    </row>
    <row r="53" spans="1:14" x14ac:dyDescent="0.25">
      <c r="A53" s="123" t="s">
        <v>431</v>
      </c>
      <c r="C53" s="126">
        <f t="shared" ref="C53:N53" si="9">C52-C41</f>
        <v>140700</v>
      </c>
      <c r="D53" s="126">
        <f t="shared" si="9"/>
        <v>124500</v>
      </c>
      <c r="E53" s="126">
        <f t="shared" si="9"/>
        <v>196700</v>
      </c>
      <c r="F53" s="126">
        <f t="shared" si="9"/>
        <v>215900</v>
      </c>
      <c r="G53" s="126">
        <f t="shared" si="9"/>
        <v>231100</v>
      </c>
      <c r="H53" s="126">
        <f t="shared" si="9"/>
        <v>242100</v>
      </c>
      <c r="I53" s="126">
        <f t="shared" si="9"/>
        <v>216500</v>
      </c>
      <c r="J53" s="126">
        <f t="shared" si="9"/>
        <v>227300</v>
      </c>
      <c r="K53" s="126">
        <f t="shared" si="9"/>
        <v>254300</v>
      </c>
      <c r="L53" s="126">
        <f t="shared" si="9"/>
        <v>292500</v>
      </c>
      <c r="M53" s="126">
        <f t="shared" si="9"/>
        <v>349200</v>
      </c>
      <c r="N53" s="126">
        <f t="shared" si="9"/>
        <v>406300</v>
      </c>
    </row>
    <row r="54" spans="1:14" x14ac:dyDescent="0.25">
      <c r="A54" s="123" t="s">
        <v>420</v>
      </c>
      <c r="C54" s="126">
        <f t="shared" ref="C54:N54" si="10">C53+C42-C43-C44</f>
        <v>96600</v>
      </c>
      <c r="D54" s="126">
        <f t="shared" si="10"/>
        <v>84700</v>
      </c>
      <c r="E54" s="126">
        <f t="shared" si="10"/>
        <v>139100</v>
      </c>
      <c r="F54" s="126">
        <f t="shared" si="10"/>
        <v>153600</v>
      </c>
      <c r="G54" s="126">
        <f t="shared" si="10"/>
        <v>165100</v>
      </c>
      <c r="H54" s="126">
        <f t="shared" si="10"/>
        <v>173700</v>
      </c>
      <c r="I54" s="126">
        <f t="shared" si="10"/>
        <v>154500</v>
      </c>
      <c r="J54" s="126">
        <f t="shared" si="10"/>
        <v>162900</v>
      </c>
      <c r="K54" s="126">
        <f t="shared" si="10"/>
        <v>183300</v>
      </c>
      <c r="L54" s="126">
        <f t="shared" si="10"/>
        <v>212100</v>
      </c>
      <c r="M54" s="126">
        <f t="shared" si="10"/>
        <v>254900</v>
      </c>
      <c r="N54" s="126">
        <f t="shared" si="10"/>
        <v>297800</v>
      </c>
    </row>
    <row r="55" spans="1:14" x14ac:dyDescent="0.25">
      <c r="A55" s="125" t="s">
        <v>432</v>
      </c>
    </row>
    <row r="56" spans="1:14" x14ac:dyDescent="0.25">
      <c r="A56" s="123" t="s">
        <v>433</v>
      </c>
      <c r="C56" s="126">
        <f>Calc!E43*C$8</f>
        <v>2884733</v>
      </c>
      <c r="D56" s="126">
        <f>Calc!F43*D$8</f>
        <v>2823115</v>
      </c>
      <c r="E56" s="126">
        <f>Calc!G43*E$8</f>
        <v>2716806</v>
      </c>
      <c r="F56" s="126">
        <f>Calc!H43*F$8</f>
        <v>2070781</v>
      </c>
      <c r="G56" s="126">
        <f>Calc!I43*G$8</f>
        <v>1960492</v>
      </c>
      <c r="H56" s="126">
        <f>Calc!J43*H$8</f>
        <v>1928069</v>
      </c>
      <c r="I56" s="126">
        <f>Calc!K43*I$8</f>
        <v>1976056</v>
      </c>
      <c r="J56" s="126">
        <f>Calc!L43*J$8</f>
        <v>1899026</v>
      </c>
      <c r="K56" s="126">
        <f>Calc!M43*K$8</f>
        <v>1811757</v>
      </c>
      <c r="L56" s="126">
        <f>Calc!N43*L$8</f>
        <v>1922964</v>
      </c>
      <c r="M56" s="126">
        <f>Calc!O43*M$8</f>
        <v>0</v>
      </c>
      <c r="N56" s="126">
        <f>Calc!P43*N$8</f>
        <v>0</v>
      </c>
    </row>
    <row r="57" spans="1:14" x14ac:dyDescent="0.25">
      <c r="A57" s="123" t="s">
        <v>434</v>
      </c>
      <c r="C57" s="126">
        <f>-(Calc!E33+Calc!E40)*C$8</f>
        <v>2280000</v>
      </c>
      <c r="D57" s="126">
        <f>-(Calc!F33+Calc!F40)*D$8</f>
        <v>2220000</v>
      </c>
      <c r="E57" s="126">
        <f>-(Calc!G33+Calc!G40)*E$8</f>
        <v>2160000</v>
      </c>
      <c r="F57" s="126">
        <f>-(Calc!H33+Calc!H40)*F$8</f>
        <v>2100000</v>
      </c>
      <c r="G57" s="126">
        <f>-(Calc!I33+Calc!I40)*G$8</f>
        <v>2040000</v>
      </c>
      <c r="H57" s="126">
        <f>-(Calc!J33+Calc!J40)*H$8</f>
        <v>1980000</v>
      </c>
      <c r="I57" s="126">
        <f>-(Calc!K33+Calc!K40)*I$8</f>
        <v>1920000</v>
      </c>
      <c r="J57" s="126">
        <f>-(Calc!L33+Calc!L40)*J$8</f>
        <v>1860000</v>
      </c>
      <c r="K57" s="126">
        <f>-(Calc!M33+Calc!M40)*K$8</f>
        <v>1800000</v>
      </c>
      <c r="L57" s="126">
        <f>-(Calc!N33+Calc!N40)*L$8</f>
        <v>1740000</v>
      </c>
      <c r="M57" s="126">
        <f>-(Calc!O33+Calc!O40)*M$8</f>
        <v>0</v>
      </c>
      <c r="N57" s="126">
        <f>-(Calc!P33+Calc!P40)*N$8</f>
        <v>0</v>
      </c>
    </row>
    <row r="58" spans="1:14" x14ac:dyDescent="0.25">
      <c r="A58" s="123" t="s">
        <v>435</v>
      </c>
      <c r="C58" s="126">
        <f t="shared" ref="C58:N58" si="11">C57-C56</f>
        <v>-604733</v>
      </c>
      <c r="D58" s="126">
        <f t="shared" si="11"/>
        <v>-603115</v>
      </c>
      <c r="E58" s="126">
        <f t="shared" si="11"/>
        <v>-556806</v>
      </c>
      <c r="F58" s="126">
        <f t="shared" si="11"/>
        <v>29219</v>
      </c>
      <c r="G58" s="126">
        <f t="shared" si="11"/>
        <v>79508</v>
      </c>
      <c r="H58" s="126">
        <f t="shared" si="11"/>
        <v>51931</v>
      </c>
      <c r="I58" s="126">
        <f t="shared" si="11"/>
        <v>-56056</v>
      </c>
      <c r="J58" s="126">
        <f t="shared" si="11"/>
        <v>-39026</v>
      </c>
      <c r="K58" s="126">
        <f t="shared" si="11"/>
        <v>-11757</v>
      </c>
      <c r="L58" s="126">
        <f t="shared" si="11"/>
        <v>-182964</v>
      </c>
      <c r="M58" s="126">
        <f t="shared" si="11"/>
        <v>0</v>
      </c>
      <c r="N58" s="126">
        <f t="shared" si="11"/>
        <v>0</v>
      </c>
    </row>
    <row r="59" spans="1:14" x14ac:dyDescent="0.25">
      <c r="A59" s="123" t="s">
        <v>264</v>
      </c>
      <c r="C59" s="126">
        <f>Calc!E27*C$8</f>
        <v>1989110</v>
      </c>
      <c r="D59" s="126">
        <f>Calc!F27*D$8</f>
        <v>2004471</v>
      </c>
      <c r="E59" s="126">
        <f>Calc!G27*E$8</f>
        <v>2140768</v>
      </c>
      <c r="F59" s="126">
        <f>Calc!H27*F$8</f>
        <v>2251950</v>
      </c>
      <c r="G59" s="126">
        <f>Calc!I27*G$8</f>
        <v>2335809</v>
      </c>
      <c r="H59" s="126">
        <f>Calc!J27*H$8</f>
        <v>2358468</v>
      </c>
      <c r="I59" s="126">
        <f>Calc!K27*I$8</f>
        <v>2370629</v>
      </c>
      <c r="J59" s="126">
        <f>Calc!L27*J$8</f>
        <v>2441093</v>
      </c>
      <c r="K59" s="126">
        <f>Calc!M27*K$8</f>
        <v>2554294</v>
      </c>
      <c r="L59" s="126">
        <f>Calc!N27*L$8</f>
        <v>2680556</v>
      </c>
      <c r="M59" s="126">
        <f>Calc!O27*M$8</f>
        <v>0</v>
      </c>
      <c r="N59" s="126">
        <f>Calc!P27*N$8</f>
        <v>0</v>
      </c>
    </row>
    <row r="60" spans="1:14" x14ac:dyDescent="0.25">
      <c r="A60" s="123" t="s">
        <v>274</v>
      </c>
      <c r="C60" s="126">
        <f>Calc!E26*C$8</f>
        <v>1113216</v>
      </c>
      <c r="D60" s="126">
        <f>Calc!F26*D$8</f>
        <v>1228261</v>
      </c>
      <c r="E60" s="126">
        <f>Calc!G26*E$8</f>
        <v>1281382</v>
      </c>
      <c r="F60" s="126">
        <f>Calc!H26*F$8</f>
        <v>1338500</v>
      </c>
      <c r="G60" s="126">
        <f>Calc!I26*G$8</f>
        <v>1345114</v>
      </c>
      <c r="H60" s="126">
        <f>Calc!J26*H$8</f>
        <v>1364495</v>
      </c>
      <c r="I60" s="126">
        <f>Calc!K26*I$8</f>
        <v>1427001</v>
      </c>
      <c r="J60" s="126">
        <f>Calc!L26*J$8</f>
        <v>1507227</v>
      </c>
      <c r="K60" s="126">
        <f>Calc!M26*K$8</f>
        <v>1591730</v>
      </c>
      <c r="L60" s="126">
        <f>Calc!N26*L$8</f>
        <v>1688315</v>
      </c>
      <c r="M60" s="126">
        <f>Calc!O26*M$8</f>
        <v>0</v>
      </c>
      <c r="N60" s="126">
        <f>Calc!P26*N$8</f>
        <v>0</v>
      </c>
    </row>
    <row r="61" spans="1:14" x14ac:dyDescent="0.25">
      <c r="A61" s="123" t="s">
        <v>284</v>
      </c>
      <c r="C61" s="126">
        <f>-Calc!E35*C$8</f>
        <v>876861</v>
      </c>
      <c r="D61" s="126">
        <f>-Calc!F35*D$8</f>
        <v>869498</v>
      </c>
      <c r="E61" s="126">
        <f>-Calc!G35*E$8</f>
        <v>948181</v>
      </c>
      <c r="F61" s="126">
        <f>-Calc!H35*F$8</f>
        <v>977795</v>
      </c>
      <c r="G61" s="126">
        <f>-Calc!I35*G$8</f>
        <v>1009747</v>
      </c>
      <c r="H61" s="126">
        <f>-Calc!J35*H$8</f>
        <v>1003307</v>
      </c>
      <c r="I61" s="126">
        <f>-Calc!K35*I$8</f>
        <v>1006424</v>
      </c>
      <c r="J61" s="126">
        <f>-Calc!L35*J$8</f>
        <v>1040927</v>
      </c>
      <c r="K61" s="126">
        <f>-Calc!M35*K$8</f>
        <v>1087460</v>
      </c>
      <c r="L61" s="126">
        <f>-Calc!N35*L$8</f>
        <v>1136039</v>
      </c>
      <c r="M61" s="126">
        <f>-Calc!O35*M$8</f>
        <v>0</v>
      </c>
      <c r="N61" s="126">
        <f>-Calc!P35*N$8</f>
        <v>0</v>
      </c>
    </row>
    <row r="62" spans="1:14" x14ac:dyDescent="0.25">
      <c r="A62" s="123" t="s">
        <v>436</v>
      </c>
      <c r="C62" s="126">
        <f>SUM(Calc!E23:E29)*C$8</f>
        <v>8740309</v>
      </c>
      <c r="D62" s="126">
        <f>SUM(Calc!F23:F29)*D$8</f>
        <v>8773396</v>
      </c>
      <c r="E62" s="126">
        <f>SUM(Calc!G23:G29)*E$8</f>
        <v>8816162</v>
      </c>
      <c r="F62" s="126">
        <f>SUM(Calc!H23:H29)*F$8</f>
        <v>8713078</v>
      </c>
      <c r="G62" s="126">
        <f>SUM(Calc!I23:I29)*G$8</f>
        <v>8642749</v>
      </c>
      <c r="H62" s="126">
        <f>SUM(Calc!J23:J29)*H$8</f>
        <v>8606028</v>
      </c>
      <c r="I62" s="126">
        <f>SUM(Calc!K23:K29)*I$8</f>
        <v>8687635</v>
      </c>
      <c r="J62" s="126">
        <f>SUM(Calc!L23:L29)*J$8</f>
        <v>8886788</v>
      </c>
      <c r="K62" s="126">
        <f>SUM(Calc!M23:M29)*K$8</f>
        <v>8952373</v>
      </c>
      <c r="L62" s="126">
        <f>SUM(Calc!N23:N29)*L$8</f>
        <v>9236120</v>
      </c>
      <c r="M62" s="126">
        <f>SUM(Calc!O23:O29)*M$8</f>
        <v>0</v>
      </c>
      <c r="N62" s="126">
        <f>SUM(Calc!P23:P29)*N$8</f>
        <v>0</v>
      </c>
    </row>
    <row r="63" spans="1:14" x14ac:dyDescent="0.25">
      <c r="A63" s="123" t="s">
        <v>46</v>
      </c>
      <c r="C63" s="126">
        <f>SUM(Calc!E26:E29)*C$8</f>
        <v>6126059</v>
      </c>
      <c r="D63" s="126">
        <f>SUM(Calc!F26:F29)*D$8</f>
        <v>6199896</v>
      </c>
      <c r="E63" s="126">
        <f>SUM(Calc!G26:G29)*E$8</f>
        <v>6283412</v>
      </c>
      <c r="F63" s="126">
        <f>SUM(Calc!H26:H29)*F$8</f>
        <v>5801078</v>
      </c>
      <c r="G63" s="126">
        <f>SUM(Calc!I26:I29)*G$8</f>
        <v>5775874</v>
      </c>
      <c r="H63" s="126">
        <f>SUM(Calc!J26:J29)*H$8</f>
        <v>5784278</v>
      </c>
      <c r="I63" s="126">
        <f>SUM(Calc!K26:K29)*I$8</f>
        <v>5911010</v>
      </c>
      <c r="J63" s="126">
        <f>SUM(Calc!L26:L29)*J$8</f>
        <v>5990288</v>
      </c>
      <c r="K63" s="126">
        <f>SUM(Calc!M26:M29)*K$8</f>
        <v>6102717</v>
      </c>
      <c r="L63" s="126">
        <f>SUM(Calc!N26:N29)*L$8</f>
        <v>6433308</v>
      </c>
      <c r="M63" s="126">
        <f>SUM(Calc!O26:O29)*M$8</f>
        <v>0</v>
      </c>
      <c r="N63" s="126">
        <f>SUM(Calc!P26:P29)*N$8</f>
        <v>0</v>
      </c>
    </row>
    <row r="64" spans="1:14" x14ac:dyDescent="0.25">
      <c r="A64" s="123" t="s">
        <v>64</v>
      </c>
      <c r="C64" s="126">
        <f>-SUM(Calc!E35:E41)*C$8</f>
        <v>1860941</v>
      </c>
      <c r="D64" s="126">
        <f>-SUM(Calc!F35:F41)*D$8</f>
        <v>1865912</v>
      </c>
      <c r="E64" s="126">
        <f>-SUM(Calc!G35:G41)*E$8</f>
        <v>1834770</v>
      </c>
      <c r="F64" s="126">
        <f>-SUM(Calc!H35:H41)*F$8</f>
        <v>1638332</v>
      </c>
      <c r="G64" s="126">
        <f>-SUM(Calc!I35:I41)*G$8</f>
        <v>1713329</v>
      </c>
      <c r="H64" s="126">
        <f>-SUM(Calc!J35:J41)*H$8</f>
        <v>1577231</v>
      </c>
      <c r="I64" s="126">
        <f>-SUM(Calc!K35:K41)*I$8</f>
        <v>1599430</v>
      </c>
      <c r="J64" s="126">
        <f>-SUM(Calc!L35:L41)*J$8</f>
        <v>1678025</v>
      </c>
      <c r="K64" s="126">
        <f>-SUM(Calc!M35:M41)*K$8</f>
        <v>1609060</v>
      </c>
      <c r="L64" s="126">
        <f>-SUM(Calc!N35:N41)*L$8</f>
        <v>1704264</v>
      </c>
      <c r="M64" s="126">
        <f>-SUM(Calc!O35:O41)*M$8</f>
        <v>0</v>
      </c>
      <c r="N64" s="126">
        <f>-SUM(Calc!P35:P41)*N$8</f>
        <v>0</v>
      </c>
    </row>
    <row r="65" spans="1:14" x14ac:dyDescent="0.25">
      <c r="A65" s="123" t="s">
        <v>59</v>
      </c>
      <c r="C65" s="126">
        <f>(-SUM(Calc!E30:E32)+Calc!E42)*C$8</f>
        <v>4479368</v>
      </c>
      <c r="D65" s="126">
        <f>(-SUM(Calc!F30:F32)+Calc!F42)*D$8</f>
        <v>4537484</v>
      </c>
      <c r="E65" s="126">
        <f>(-SUM(Calc!G30:G32)+Calc!G42)*E$8</f>
        <v>4641392</v>
      </c>
      <c r="F65" s="126">
        <f>(-SUM(Calc!H30:H32)+Calc!H42)*F$8</f>
        <v>4764746</v>
      </c>
      <c r="G65" s="126">
        <f>(-SUM(Calc!I30:I32)+Calc!I42)*G$8</f>
        <v>4649420</v>
      </c>
      <c r="H65" s="126">
        <f>(-SUM(Calc!J30:J32)+Calc!J42)*H$8</f>
        <v>4778797</v>
      </c>
      <c r="I65" s="126">
        <f>(-SUM(Calc!K30:K32)+Calc!K42)*I$8</f>
        <v>4918205</v>
      </c>
      <c r="J65" s="126">
        <f>(-SUM(Calc!L30:L32)+Calc!L42)*J$8</f>
        <v>5068763</v>
      </c>
      <c r="K65" s="126">
        <f>(-SUM(Calc!M30:M32)+Calc!M42)*K$8</f>
        <v>5233313</v>
      </c>
      <c r="L65" s="126">
        <f>(-SUM(Calc!N30:N32)+Calc!N42)*L$8</f>
        <v>5451856</v>
      </c>
      <c r="M65" s="126">
        <f>(-SUM(Calc!O30:O32)+Calc!O42)*M$8</f>
        <v>0</v>
      </c>
      <c r="N65" s="126">
        <f>(-SUM(Calc!P30:P32)+Calc!P42)*N$8</f>
        <v>0</v>
      </c>
    </row>
    <row r="66" spans="1:14" x14ac:dyDescent="0.25">
      <c r="A66" s="123" t="s">
        <v>60</v>
      </c>
      <c r="C66" s="126">
        <f>-SUM(Calc!E33:E34)*C$8</f>
        <v>2400000</v>
      </c>
      <c r="D66" s="126">
        <f>-SUM(Calc!F33:F34)*D$8</f>
        <v>2370000</v>
      </c>
      <c r="E66" s="126">
        <f>-SUM(Calc!G33:G34)*E$8</f>
        <v>2340000</v>
      </c>
      <c r="F66" s="126">
        <f>-SUM(Calc!H33:H34)*F$8</f>
        <v>2310000</v>
      </c>
      <c r="G66" s="126">
        <f>-SUM(Calc!I33:I34)*G$8</f>
        <v>2280000</v>
      </c>
      <c r="H66" s="126">
        <f>-SUM(Calc!J33:J34)*H$8</f>
        <v>2250000</v>
      </c>
      <c r="I66" s="126">
        <f>-SUM(Calc!K33:K34)*I$8</f>
        <v>2170000</v>
      </c>
      <c r="J66" s="126">
        <f>-SUM(Calc!L33:L34)*J$8</f>
        <v>2140000</v>
      </c>
      <c r="K66" s="126">
        <f>-SUM(Calc!M33:M34)*K$8</f>
        <v>2110000</v>
      </c>
      <c r="L66" s="126">
        <f>-SUM(Calc!N33:N34)*L$8</f>
        <v>2080000</v>
      </c>
      <c r="M66" s="126">
        <f>-SUM(Calc!O33:O34)*M$8</f>
        <v>0</v>
      </c>
      <c r="N66" s="126">
        <f>-SUM(Calc!P33:P34)*N$8</f>
        <v>0</v>
      </c>
    </row>
    <row r="67" spans="1:14" x14ac:dyDescent="0.25">
      <c r="A67" s="123" t="s">
        <v>437</v>
      </c>
      <c r="C67" s="126">
        <f>(C49+C23+(SUM(Calc!E131:E133)+SUM(Calc!E140:E144))*C$8)</f>
        <v>372233</v>
      </c>
      <c r="D67" s="126">
        <f>(D49+D23+(SUM(Calc!F131:F133)+SUM(Calc!F140:F144))*D$8)</f>
        <v>-1618</v>
      </c>
      <c r="E67" s="126">
        <f>(E49+E23+(SUM(Calc!G131:G133)+SUM(Calc!G140:G144))*E$8)</f>
        <v>-46309</v>
      </c>
      <c r="F67" s="126">
        <f>(F49+F23+(SUM(Calc!H131:H133)+SUM(Calc!H140:H144))*F$8)</f>
        <v>-166025</v>
      </c>
      <c r="G67" s="126">
        <f>(G49+G23+(SUM(Calc!I131:I133)+SUM(Calc!I140:I144))*G$8)</f>
        <v>209711</v>
      </c>
      <c r="H67" s="126">
        <f>(H49+H23+(SUM(Calc!J131:J133)+SUM(Calc!J140:J144))*H$8)</f>
        <v>27577</v>
      </c>
      <c r="I67" s="126">
        <f>(I49+I23+(SUM(Calc!K131:K133)+SUM(Calc!K140:K144))*I$8)</f>
        <v>157987</v>
      </c>
      <c r="J67" s="126">
        <f>(J49+J23+(SUM(Calc!L131:L133)+SUM(Calc!L140:L144))*J$8)</f>
        <v>147970</v>
      </c>
      <c r="K67" s="126">
        <f>(K49+K23+(SUM(Calc!M131:M133)+SUM(Calc!M140:M144))*K$8)</f>
        <v>-27269</v>
      </c>
      <c r="L67" s="126">
        <f>(L49+L23+(SUM(Calc!N131:N133)+SUM(Calc!N140:N144))*L$8)</f>
        <v>171207</v>
      </c>
      <c r="M67" s="126">
        <f>(M49+M23+(SUM(Calc!O131:O133)+SUM(Calc!O140:O144))*M$8)</f>
        <v>0</v>
      </c>
      <c r="N67" s="126">
        <f>(N49+N23+(SUM(Calc!P131:P133)+SUM(Calc!P140:P144))*N$8)</f>
        <v>0</v>
      </c>
    </row>
    <row r="68" spans="1:14" x14ac:dyDescent="0.25">
      <c r="A68" s="123" t="s">
        <v>438</v>
      </c>
      <c r="C68" s="126">
        <f>SUM(Calc!E128:E130)*C$8-C23</f>
        <v>0</v>
      </c>
      <c r="D68" s="126">
        <f>SUM(Calc!F128:F130)*D$8-D23</f>
        <v>0</v>
      </c>
      <c r="E68" s="126">
        <f>SUM(Calc!G128:G130)*E$8-E23</f>
        <v>0</v>
      </c>
      <c r="F68" s="126">
        <f>SUM(Calc!H128:H130)*F$8-F23</f>
        <v>-420000</v>
      </c>
      <c r="G68" s="126">
        <f>SUM(Calc!I128:I130)*G$8-G23</f>
        <v>0</v>
      </c>
      <c r="H68" s="126">
        <f>SUM(Calc!J128:J130)*H$8-H23</f>
        <v>0</v>
      </c>
      <c r="I68" s="126">
        <f>SUM(Calc!K128:K130)*I$8-I23</f>
        <v>0</v>
      </c>
      <c r="J68" s="126">
        <f>SUM(Calc!L128:L130)*J$8-J23</f>
        <v>-165000</v>
      </c>
      <c r="K68" s="126">
        <f>SUM(Calc!M128:M130)*K$8-K23</f>
        <v>0</v>
      </c>
      <c r="L68" s="126">
        <f>SUM(Calc!N128:N130)*L$8-L23</f>
        <v>0</v>
      </c>
      <c r="M68" s="126">
        <f>SUM(Calc!O128:O130)*M$8-M23</f>
        <v>0</v>
      </c>
      <c r="N68" s="126">
        <f>SUM(Calc!P128:P130)*N$8-N23</f>
        <v>0</v>
      </c>
    </row>
    <row r="69" spans="1:14" x14ac:dyDescent="0.25">
      <c r="A69" s="123" t="s">
        <v>439</v>
      </c>
      <c r="C69" s="126">
        <f>(Calc!E145+SUM(Calc!E135:E139))*C$8</f>
        <v>-60000</v>
      </c>
      <c r="D69" s="126">
        <f>(Calc!F145+SUM(Calc!F135:F139))*D$8</f>
        <v>-60000</v>
      </c>
      <c r="E69" s="126">
        <f>(Calc!G145+SUM(Calc!G135:G139))*E$8</f>
        <v>-60000</v>
      </c>
      <c r="F69" s="126">
        <f>(Calc!H145+SUM(Calc!H135:H139))*F$8</f>
        <v>-60000</v>
      </c>
      <c r="G69" s="126">
        <f>(Calc!I145+SUM(Calc!I135:I139))*G$8</f>
        <v>-320000</v>
      </c>
      <c r="H69" s="126">
        <f>(Calc!J145+SUM(Calc!J135:J139))*H$8</f>
        <v>-60000</v>
      </c>
      <c r="I69" s="126">
        <f>(Calc!K145+SUM(Calc!K135:K139))*I$8</f>
        <v>-110000</v>
      </c>
      <c r="J69" s="126">
        <f>(Calc!L145+SUM(Calc!L135:L139))*J$8</f>
        <v>-60000</v>
      </c>
      <c r="K69" s="126">
        <f>(Calc!M145+SUM(Calc!M135:M139))*K$8</f>
        <v>-60000</v>
      </c>
      <c r="L69" s="126">
        <f>(Calc!N145+SUM(Calc!N135:N139))*L$8</f>
        <v>-60000</v>
      </c>
      <c r="M69" s="126">
        <f>(Calc!O145+SUM(Calc!O135:O139))*M$8</f>
        <v>0</v>
      </c>
      <c r="N69" s="126">
        <f>(Calc!P145+SUM(Calc!P135:P139))*N$8</f>
        <v>0</v>
      </c>
    </row>
    <row r="70" spans="1:14" x14ac:dyDescent="0.25">
      <c r="A70" s="123" t="s">
        <v>440</v>
      </c>
      <c r="C70" s="126">
        <f>Setup!$B$24-Setup!$B$15+1</f>
        <v>31</v>
      </c>
      <c r="D70" s="126">
        <f>Setup!$B$25-Setup!$B$15+1</f>
        <v>59</v>
      </c>
      <c r="E70" s="126">
        <f>Setup!$B$26-Setup!$B$15+1</f>
        <v>90</v>
      </c>
      <c r="F70" s="126">
        <f>Setup!$B$27-Setup!$B$15+1</f>
        <v>120</v>
      </c>
      <c r="G70" s="126">
        <f>Setup!$B$28-Setup!$B$15+1</f>
        <v>151</v>
      </c>
      <c r="H70" s="126">
        <f>Setup!$B$29-Setup!$B$15+1</f>
        <v>181</v>
      </c>
      <c r="I70" s="126">
        <f>Setup!$B$30-Setup!$B$15+1</f>
        <v>212</v>
      </c>
      <c r="J70" s="126">
        <f>Setup!$B$31-Setup!$B$15+1</f>
        <v>243</v>
      </c>
      <c r="K70" s="126">
        <f>Setup!$B$32-Setup!$B$15+1</f>
        <v>273</v>
      </c>
      <c r="L70" s="126">
        <f>Setup!$B$33-Setup!$B$15+1</f>
        <v>304</v>
      </c>
      <c r="M70" s="126">
        <f>Setup!$B$34-Setup!$B$15+1</f>
        <v>334</v>
      </c>
      <c r="N70" s="126">
        <f>Setup!$B$35-Setup!$B$15+1</f>
        <v>365</v>
      </c>
    </row>
    <row r="71" spans="1:14" x14ac:dyDescent="0.25">
      <c r="A71" s="123" t="s">
        <v>139</v>
      </c>
      <c r="C71" s="127">
        <f>IFERROR(C59/(Calc!E48*(1+Setup!$B$20))*C70,0)</f>
        <v>38.743791402431476</v>
      </c>
      <c r="D71" s="127">
        <f>IFERROR(D59/(Calc!F48*(1+Setup!$B$20))*D70,0)</f>
        <v>37.349486958416627</v>
      </c>
      <c r="E71" s="127">
        <f>IFERROR(E59/(Calc!G48*(1+Setup!$B$20))*E70,0)</f>
        <v>39.479831834450742</v>
      </c>
      <c r="F71" s="127">
        <f>IFERROR(F59/(Calc!H48*(1+Setup!$B$20))*F70,0)</f>
        <v>40.67458331483239</v>
      </c>
      <c r="G71" s="127">
        <f>IFERROR(G59/(Calc!I48*(1+Setup!$B$20))*G70,0)</f>
        <v>41.68499441571872</v>
      </c>
      <c r="H71" s="127">
        <f>IFERROR(H59/(Calc!J48*(1+Setup!$B$20))*H70,0)</f>
        <v>41.592949587673331</v>
      </c>
      <c r="I71" s="127">
        <f>IFERROR(I59/(Calc!K48*(1+Setup!$B$20))*I70,0)</f>
        <v>41.647614979948251</v>
      </c>
      <c r="J71" s="127">
        <f>IFERROR(J59/(Calc!L48*(1+Setup!$B$20))*J70,0)</f>
        <v>42.585789727486684</v>
      </c>
      <c r="K71" s="127">
        <f>IFERROR(K59/(Calc!M48*(1+Setup!$B$20))*K70,0)</f>
        <v>43.938787214769313</v>
      </c>
      <c r="L71" s="127">
        <f>IFERROR(L59/(Calc!N48*(1+Setup!$B$20))*L70,0)</f>
        <v>45.539895559166084</v>
      </c>
      <c r="M71" s="127">
        <f>IFERROR(M59/(Calc!O48*(1+Setup!$B$20))*M70,0)</f>
        <v>0</v>
      </c>
      <c r="N71" s="127">
        <f>IFERROR(N59/(Calc!P48*(1+Setup!$B$20))*N70,0)</f>
        <v>0</v>
      </c>
    </row>
    <row r="72" spans="1:14" x14ac:dyDescent="0.25">
      <c r="A72" s="123" t="s">
        <v>141</v>
      </c>
      <c r="C72" s="127">
        <f>IFERROR(C60/Calc!E49*C70,0)</f>
        <v>42.848747926454962</v>
      </c>
      <c r="D72" s="127">
        <f>IFERROR(D60/Calc!F49*D70,0)</f>
        <v>45.18509218787996</v>
      </c>
      <c r="E72" s="127">
        <f>IFERROR(E60/Calc!G49*E70,0)</f>
        <v>46.610567975002937</v>
      </c>
      <c r="F72" s="127">
        <f>IFERROR(F60/Calc!H49*F70,0)</f>
        <v>47.63944220744245</v>
      </c>
      <c r="G72" s="127">
        <f>IFERROR(G60/Calc!I49*G70,0)</f>
        <v>47.257191863131304</v>
      </c>
      <c r="H72" s="127">
        <f>IFERROR(H60/Calc!J49*H70,0)</f>
        <v>47.328335476111675</v>
      </c>
      <c r="I72" s="127">
        <f>IFERROR(I60/Calc!K49*I70,0)</f>
        <v>49.261392596857654</v>
      </c>
      <c r="J72" s="127">
        <f>IFERROR(J60/Calc!L49*J70,0)</f>
        <v>51.61816322762769</v>
      </c>
      <c r="K72" s="127">
        <f>IFERROR(K60/Calc!M49*K70,0)</f>
        <v>53.699072251897668</v>
      </c>
      <c r="L72" s="127">
        <f>IFERROR(L60/Calc!N49*L70,0)</f>
        <v>56.196384364143213</v>
      </c>
      <c r="M72" s="127">
        <f>IFERROR(M60/Calc!O49*M70,0)</f>
        <v>0</v>
      </c>
      <c r="N72" s="127">
        <f>IFERROR(N60/Calc!P49*N70,0)</f>
        <v>0</v>
      </c>
    </row>
    <row r="73" spans="1:14" x14ac:dyDescent="0.25">
      <c r="A73" s="123" t="s">
        <v>441</v>
      </c>
      <c r="C73" s="127">
        <f>IFERROR(C61/(Calc!E49*(1+Setup!$B$20))*C70,0)</f>
        <v>33.75121805250663</v>
      </c>
      <c r="D73" s="127">
        <f>IFERROR(D61/(Calc!F49*(1+Setup!$B$20))*D70,0)</f>
        <v>31.986969615722757</v>
      </c>
      <c r="E73" s="127">
        <f>IFERROR(E61/(Calc!G49*(1+Setup!$B$20))*E70,0)</f>
        <v>34.490304181817962</v>
      </c>
      <c r="F73" s="127">
        <f>IFERROR(F61/(Calc!H49*(1+Setup!$B$20))*F70,0)</f>
        <v>34.801351059563835</v>
      </c>
      <c r="G73" s="127">
        <f>IFERROR(G61/(Calc!I49*(1+Setup!$B$20))*G70,0)</f>
        <v>35.474917153654815</v>
      </c>
      <c r="H73" s="127">
        <f>IFERROR(H61/(Calc!J49*(1+Setup!$B$20))*H70,0)</f>
        <v>34.800310943998461</v>
      </c>
      <c r="I73" s="127">
        <f>IFERROR(I61/(Calc!K49*(1+Setup!$B$20))*I70,0)</f>
        <v>34.74268608284077</v>
      </c>
      <c r="J73" s="127">
        <f>IFERROR(J61/(Calc!L49*(1+Setup!$B$20))*J70,0)</f>
        <v>35.648737578377251</v>
      </c>
      <c r="K73" s="127">
        <f>IFERROR(K61/(Calc!M49*(1+Setup!$B$20))*K70,0)</f>
        <v>36.68687095867304</v>
      </c>
      <c r="L73" s="127">
        <f>IFERROR(L61/(Calc!N49*(1+Setup!$B$20))*L70,0)</f>
        <v>37.813609602862556</v>
      </c>
      <c r="M73" s="127">
        <f>IFERROR(M61/(Calc!O49*(1+Setup!$B$20))*M70,0)</f>
        <v>0</v>
      </c>
      <c r="N73" s="127">
        <f>IFERROR(N61/(Calc!P49*(1+Setup!$B$20))*N70,0)</f>
        <v>0</v>
      </c>
    </row>
    <row r="74" spans="1:14" x14ac:dyDescent="0.25">
      <c r="A74" s="123" t="s">
        <v>442</v>
      </c>
      <c r="C74" s="127">
        <f t="shared" ref="C74:N74" si="12">C71+C72-C73</f>
        <v>47.841321276379801</v>
      </c>
      <c r="D74" s="127">
        <f t="shared" si="12"/>
        <v>50.547609530573823</v>
      </c>
      <c r="E74" s="127">
        <f t="shared" si="12"/>
        <v>51.600095627635724</v>
      </c>
      <c r="F74" s="127">
        <f t="shared" si="12"/>
        <v>53.512674462711011</v>
      </c>
      <c r="G74" s="127">
        <f t="shared" si="12"/>
        <v>53.467269125195202</v>
      </c>
      <c r="H74" s="127">
        <f t="shared" si="12"/>
        <v>54.120974119786545</v>
      </c>
      <c r="I74" s="127">
        <f t="shared" si="12"/>
        <v>56.166321493965135</v>
      </c>
      <c r="J74" s="127">
        <f t="shared" si="12"/>
        <v>58.555215376737124</v>
      </c>
      <c r="K74" s="127">
        <f t="shared" si="12"/>
        <v>60.950988507993941</v>
      </c>
      <c r="L74" s="127">
        <f t="shared" si="12"/>
        <v>63.922670320446741</v>
      </c>
      <c r="M74" s="127">
        <f t="shared" si="12"/>
        <v>0</v>
      </c>
      <c r="N74" s="127">
        <f t="shared" si="12"/>
        <v>0</v>
      </c>
    </row>
    <row r="75" spans="1:14" x14ac:dyDescent="0.25">
      <c r="A75" s="123" t="s">
        <v>130</v>
      </c>
      <c r="C75" s="128">
        <f t="shared" ref="C75:N75" si="13">IFERROR(C63/C64,0)</f>
        <v>3.2919146818733105</v>
      </c>
      <c r="D75" s="128">
        <f t="shared" si="13"/>
        <v>3.322716183828605</v>
      </c>
      <c r="E75" s="128">
        <f t="shared" si="13"/>
        <v>3.4246319702197008</v>
      </c>
      <c r="F75" s="128">
        <f t="shared" si="13"/>
        <v>3.540843980340981</v>
      </c>
      <c r="G75" s="128">
        <f t="shared" si="13"/>
        <v>3.3711412110575378</v>
      </c>
      <c r="H75" s="128">
        <f t="shared" si="13"/>
        <v>3.6673626120714089</v>
      </c>
      <c r="I75" s="128">
        <f t="shared" si="13"/>
        <v>3.6956978423563394</v>
      </c>
      <c r="J75" s="128">
        <f t="shared" si="13"/>
        <v>3.5698443110203959</v>
      </c>
      <c r="K75" s="128">
        <f t="shared" si="13"/>
        <v>3.7927218375946206</v>
      </c>
      <c r="L75" s="128">
        <f t="shared" si="13"/>
        <v>3.7748306600385857</v>
      </c>
      <c r="M75" s="128">
        <f t="shared" si="13"/>
        <v>0</v>
      </c>
      <c r="N75" s="128">
        <f t="shared" si="13"/>
        <v>0</v>
      </c>
    </row>
    <row r="76" spans="1:14" x14ac:dyDescent="0.25">
      <c r="A76" s="123" t="s">
        <v>160</v>
      </c>
      <c r="C76" s="129">
        <f t="shared" ref="C76:N76" si="14">IFERROR(C45/C10,0)</f>
        <v>0.49396026371891932</v>
      </c>
      <c r="D76" s="129">
        <f t="shared" si="14"/>
        <v>0.4930327449873545</v>
      </c>
      <c r="E76" s="129">
        <f t="shared" si="14"/>
        <v>0.49210488387956219</v>
      </c>
      <c r="F76" s="129">
        <f t="shared" si="14"/>
        <v>0.49117834174598296</v>
      </c>
      <c r="G76" s="129">
        <f t="shared" si="14"/>
        <v>0.49025087416675606</v>
      </c>
      <c r="H76" s="129">
        <f t="shared" si="14"/>
        <v>0.4893238029335889</v>
      </c>
      <c r="I76" s="129">
        <f t="shared" si="14"/>
        <v>0.48839620052828953</v>
      </c>
      <c r="J76" s="129">
        <f t="shared" si="14"/>
        <v>0.48746960787104449</v>
      </c>
      <c r="K76" s="129">
        <f t="shared" si="14"/>
        <v>0.48654153965672414</v>
      </c>
      <c r="L76" s="129">
        <f t="shared" si="14"/>
        <v>0.48561433886443633</v>
      </c>
      <c r="M76" s="129">
        <f t="shared" si="14"/>
        <v>0</v>
      </c>
      <c r="N76" s="129">
        <f t="shared" si="14"/>
        <v>0</v>
      </c>
    </row>
    <row r="77" spans="1:14" x14ac:dyDescent="0.25">
      <c r="A77" s="123" t="s">
        <v>123</v>
      </c>
      <c r="C77" s="129">
        <f t="shared" ref="C77:N77" si="15">IFERROR(C47/C10,0)</f>
        <v>9.6429691186477526E-2</v>
      </c>
      <c r="D77" s="129">
        <f t="shared" si="15"/>
        <v>8.2372035225831766E-2</v>
      </c>
      <c r="E77" s="129">
        <f t="shared" si="15"/>
        <v>0.11112096586436657</v>
      </c>
      <c r="F77" s="129">
        <f t="shared" si="15"/>
        <v>0.12248655318000425</v>
      </c>
      <c r="G77" s="129">
        <f t="shared" si="15"/>
        <v>0.13671775487016113</v>
      </c>
      <c r="H77" s="129">
        <f t="shared" si="15"/>
        <v>0.1273990853968136</v>
      </c>
      <c r="I77" s="129">
        <f t="shared" si="15"/>
        <v>0.13346656060223899</v>
      </c>
      <c r="J77" s="129">
        <f t="shared" si="15"/>
        <v>0.13710952122897258</v>
      </c>
      <c r="K77" s="129">
        <f t="shared" si="15"/>
        <v>0.1418345378778551</v>
      </c>
      <c r="L77" s="129">
        <f t="shared" si="15"/>
        <v>0.17145332165145402</v>
      </c>
      <c r="M77" s="129">
        <f t="shared" si="15"/>
        <v>0</v>
      </c>
      <c r="N77" s="129">
        <f t="shared" si="15"/>
        <v>0</v>
      </c>
    </row>
    <row r="78" spans="1:14" x14ac:dyDescent="0.25">
      <c r="A78" s="123" t="s">
        <v>443</v>
      </c>
      <c r="C78" s="129">
        <f t="shared" ref="C78:N78" si="16">IFERROR(C49/C10,0)</f>
        <v>4.7543798690955881E-2</v>
      </c>
      <c r="D78" s="129">
        <f t="shared" si="16"/>
        <v>3.690216380176866E-2</v>
      </c>
      <c r="E78" s="129">
        <f t="shared" si="16"/>
        <v>6.0630850732969963E-2</v>
      </c>
      <c r="F78" s="129">
        <f t="shared" si="16"/>
        <v>6.9943876607919869E-2</v>
      </c>
      <c r="G78" s="129">
        <f t="shared" si="16"/>
        <v>7.9602959099174947E-2</v>
      </c>
      <c r="H78" s="129">
        <f t="shared" si="16"/>
        <v>7.1792632233741549E-2</v>
      </c>
      <c r="I78" s="129">
        <f t="shared" si="16"/>
        <v>7.7279946339529976E-2</v>
      </c>
      <c r="J78" s="129">
        <f t="shared" si="16"/>
        <v>8.086199516303931E-2</v>
      </c>
      <c r="K78" s="129">
        <f t="shared" si="16"/>
        <v>8.4770604202417055E-2</v>
      </c>
      <c r="L78" s="129">
        <f t="shared" si="16"/>
        <v>0.10799462554487023</v>
      </c>
      <c r="M78" s="129">
        <f t="shared" si="16"/>
        <v>0</v>
      </c>
      <c r="N78" s="129">
        <f t="shared" si="16"/>
        <v>0</v>
      </c>
    </row>
    <row r="79" spans="1:14" x14ac:dyDescent="0.25">
      <c r="A79" s="123" t="s">
        <v>444</v>
      </c>
      <c r="C79" s="129">
        <f t="shared" ref="C79:N79" si="17">IFERROR(C46/C10,0)</f>
        <v>0.40219397151066605</v>
      </c>
      <c r="D79" s="129">
        <f t="shared" si="17"/>
        <v>0.41437403920458044</v>
      </c>
      <c r="E79" s="129">
        <f t="shared" si="17"/>
        <v>0.38491907659146646</v>
      </c>
      <c r="F79" s="129">
        <f t="shared" si="17"/>
        <v>0.37180187954960664</v>
      </c>
      <c r="G79" s="129">
        <f t="shared" si="17"/>
        <v>0.35639537922743192</v>
      </c>
      <c r="H79" s="129">
        <f t="shared" si="17"/>
        <v>0.36510601839083778</v>
      </c>
      <c r="I79" s="129">
        <f t="shared" si="17"/>
        <v>0.35768971720156212</v>
      </c>
      <c r="J79" s="129">
        <f t="shared" si="17"/>
        <v>0.35344562286207787</v>
      </c>
      <c r="K79" s="129">
        <f t="shared" si="17"/>
        <v>0.34779799919737098</v>
      </c>
      <c r="L79" s="129">
        <f t="shared" si="17"/>
        <v>0.31704640186751937</v>
      </c>
      <c r="M79" s="129">
        <f t="shared" si="17"/>
        <v>0</v>
      </c>
      <c r="N79" s="129">
        <f t="shared" si="17"/>
        <v>0</v>
      </c>
    </row>
    <row r="80" spans="1:14" x14ac:dyDescent="0.25">
      <c r="A80" s="123" t="s">
        <v>445</v>
      </c>
      <c r="C80" s="129">
        <f t="shared" ref="C80:N80" si="18">IFERROR(C50/C28,0)</f>
        <v>0.49395456765999024</v>
      </c>
      <c r="D80" s="129">
        <f t="shared" si="18"/>
        <v>0.49396916190002488</v>
      </c>
      <c r="E80" s="129">
        <f t="shared" si="18"/>
        <v>0.49397179253867152</v>
      </c>
      <c r="F80" s="129">
        <f t="shared" si="18"/>
        <v>0.4939491506605973</v>
      </c>
      <c r="G80" s="129">
        <f t="shared" si="18"/>
        <v>0.49392822292095845</v>
      </c>
      <c r="H80" s="129">
        <f t="shared" si="18"/>
        <v>0.49398427891556601</v>
      </c>
      <c r="I80" s="129">
        <f t="shared" si="18"/>
        <v>0.49393756515060078</v>
      </c>
      <c r="J80" s="129">
        <f t="shared" si="18"/>
        <v>0.49396677668957306</v>
      </c>
      <c r="K80" s="129">
        <f t="shared" si="18"/>
        <v>0.49392797319932996</v>
      </c>
      <c r="L80" s="129">
        <f t="shared" si="18"/>
        <v>0.49397469371359709</v>
      </c>
      <c r="M80" s="129">
        <f t="shared" si="18"/>
        <v>0.49398218347232753</v>
      </c>
      <c r="N80" s="129">
        <f t="shared" si="18"/>
        <v>0.49394618834080717</v>
      </c>
    </row>
    <row r="81" spans="1:14" x14ac:dyDescent="0.25">
      <c r="A81" s="123" t="s">
        <v>446</v>
      </c>
      <c r="C81" s="129">
        <f t="shared" ref="C81:N81" si="19">IFERROR(C52/C28,0)</f>
        <v>0.11083292623351246</v>
      </c>
      <c r="D81" s="129">
        <f t="shared" si="19"/>
        <v>0.10277294205421537</v>
      </c>
      <c r="E81" s="129">
        <f t="shared" si="19"/>
        <v>0.13506596906278434</v>
      </c>
      <c r="F81" s="129">
        <f t="shared" si="19"/>
        <v>0.14250027756189632</v>
      </c>
      <c r="G81" s="129">
        <f t="shared" si="19"/>
        <v>0.14968014745744335</v>
      </c>
      <c r="H81" s="129">
        <f t="shared" si="19"/>
        <v>0.15352120207475536</v>
      </c>
      <c r="I81" s="129">
        <f t="shared" si="19"/>
        <v>0.14346848082514951</v>
      </c>
      <c r="J81" s="129">
        <f t="shared" si="19"/>
        <v>0.14734051187706293</v>
      </c>
      <c r="K81" s="129">
        <f t="shared" si="19"/>
        <v>0.15771566164154105</v>
      </c>
      <c r="L81" s="129">
        <f t="shared" si="19"/>
        <v>0.17046595701948183</v>
      </c>
      <c r="M81" s="129">
        <f t="shared" si="19"/>
        <v>0.18773692191053828</v>
      </c>
      <c r="N81" s="129">
        <f t="shared" si="19"/>
        <v>0.20327354260089686</v>
      </c>
    </row>
    <row r="82" spans="1:14" x14ac:dyDescent="0.25">
      <c r="A82" s="125" t="s">
        <v>447</v>
      </c>
    </row>
    <row r="83" spans="1:14" x14ac:dyDescent="0.25">
      <c r="A83" s="123" t="s">
        <v>448</v>
      </c>
      <c r="C83" s="129">
        <f t="shared" ref="C83:N83" si="20">IF(C$8=1,C76,NA())</f>
        <v>0.49396026371891932</v>
      </c>
      <c r="D83" s="129">
        <f t="shared" si="20"/>
        <v>0.4930327449873545</v>
      </c>
      <c r="E83" s="129">
        <f t="shared" si="20"/>
        <v>0.49210488387956219</v>
      </c>
      <c r="F83" s="129">
        <f t="shared" si="20"/>
        <v>0.49117834174598296</v>
      </c>
      <c r="G83" s="129">
        <f t="shared" si="20"/>
        <v>0.49025087416675606</v>
      </c>
      <c r="H83" s="129">
        <f t="shared" si="20"/>
        <v>0.4893238029335889</v>
      </c>
      <c r="I83" s="129">
        <f t="shared" si="20"/>
        <v>0.48839620052828953</v>
      </c>
      <c r="J83" s="129">
        <f t="shared" si="20"/>
        <v>0.48746960787104449</v>
      </c>
      <c r="K83" s="129">
        <f t="shared" si="20"/>
        <v>0.48654153965672414</v>
      </c>
      <c r="L83" s="129">
        <f t="shared" si="20"/>
        <v>0.48561433886443633</v>
      </c>
      <c r="M83" s="129" t="e">
        <f t="shared" si="20"/>
        <v>#N/A</v>
      </c>
      <c r="N83" s="129" t="e">
        <f t="shared" si="20"/>
        <v>#N/A</v>
      </c>
    </row>
    <row r="84" spans="1:14" x14ac:dyDescent="0.25">
      <c r="A84" s="123" t="s">
        <v>449</v>
      </c>
      <c r="C84" s="129">
        <f t="shared" ref="C84:N84" si="21">IF(C$8=1,C77,NA())</f>
        <v>9.6429691186477526E-2</v>
      </c>
      <c r="D84" s="129">
        <f t="shared" si="21"/>
        <v>8.2372035225831766E-2</v>
      </c>
      <c r="E84" s="129">
        <f t="shared" si="21"/>
        <v>0.11112096586436657</v>
      </c>
      <c r="F84" s="129">
        <f t="shared" si="21"/>
        <v>0.12248655318000425</v>
      </c>
      <c r="G84" s="129">
        <f t="shared" si="21"/>
        <v>0.13671775487016113</v>
      </c>
      <c r="H84" s="129">
        <f t="shared" si="21"/>
        <v>0.1273990853968136</v>
      </c>
      <c r="I84" s="129">
        <f t="shared" si="21"/>
        <v>0.13346656060223899</v>
      </c>
      <c r="J84" s="129">
        <f t="shared" si="21"/>
        <v>0.13710952122897258</v>
      </c>
      <c r="K84" s="129">
        <f t="shared" si="21"/>
        <v>0.1418345378778551</v>
      </c>
      <c r="L84" s="129">
        <f t="shared" si="21"/>
        <v>0.17145332165145402</v>
      </c>
      <c r="M84" s="129" t="e">
        <f t="shared" si="21"/>
        <v>#N/A</v>
      </c>
      <c r="N84" s="129" t="e">
        <f t="shared" si="21"/>
        <v>#N/A</v>
      </c>
    </row>
    <row r="85" spans="1:14" x14ac:dyDescent="0.25">
      <c r="A85" s="123" t="s">
        <v>450</v>
      </c>
      <c r="C85" s="127">
        <f t="shared" ref="C85:N85" si="22">IF(C$8=1,C71,NA())</f>
        <v>38.743791402431476</v>
      </c>
      <c r="D85" s="127">
        <f t="shared" si="22"/>
        <v>37.349486958416627</v>
      </c>
      <c r="E85" s="127">
        <f t="shared" si="22"/>
        <v>39.479831834450742</v>
      </c>
      <c r="F85" s="127">
        <f t="shared" si="22"/>
        <v>40.67458331483239</v>
      </c>
      <c r="G85" s="127">
        <f t="shared" si="22"/>
        <v>41.68499441571872</v>
      </c>
      <c r="H85" s="127">
        <f t="shared" si="22"/>
        <v>41.592949587673331</v>
      </c>
      <c r="I85" s="127">
        <f t="shared" si="22"/>
        <v>41.647614979948251</v>
      </c>
      <c r="J85" s="127">
        <f t="shared" si="22"/>
        <v>42.585789727486684</v>
      </c>
      <c r="K85" s="127">
        <f t="shared" si="22"/>
        <v>43.938787214769313</v>
      </c>
      <c r="L85" s="127">
        <f t="shared" si="22"/>
        <v>45.539895559166084</v>
      </c>
      <c r="M85" s="127" t="e">
        <f t="shared" si="22"/>
        <v>#N/A</v>
      </c>
      <c r="N85" s="127" t="e">
        <f t="shared" si="22"/>
        <v>#N/A</v>
      </c>
    </row>
    <row r="86" spans="1:14" x14ac:dyDescent="0.25">
      <c r="A86" s="123" t="s">
        <v>451</v>
      </c>
      <c r="C86" s="127">
        <f t="shared" ref="C86:N86" si="23">IF(C$8=1,C72,NA())</f>
        <v>42.848747926454962</v>
      </c>
      <c r="D86" s="127">
        <f t="shared" si="23"/>
        <v>45.18509218787996</v>
      </c>
      <c r="E86" s="127">
        <f t="shared" si="23"/>
        <v>46.610567975002937</v>
      </c>
      <c r="F86" s="127">
        <f t="shared" si="23"/>
        <v>47.63944220744245</v>
      </c>
      <c r="G86" s="127">
        <f t="shared" si="23"/>
        <v>47.257191863131304</v>
      </c>
      <c r="H86" s="127">
        <f t="shared" si="23"/>
        <v>47.328335476111675</v>
      </c>
      <c r="I86" s="127">
        <f t="shared" si="23"/>
        <v>49.261392596857654</v>
      </c>
      <c r="J86" s="127">
        <f t="shared" si="23"/>
        <v>51.61816322762769</v>
      </c>
      <c r="K86" s="127">
        <f t="shared" si="23"/>
        <v>53.699072251897668</v>
      </c>
      <c r="L86" s="127">
        <f t="shared" si="23"/>
        <v>56.196384364143213</v>
      </c>
      <c r="M86" s="127" t="e">
        <f t="shared" si="23"/>
        <v>#N/A</v>
      </c>
      <c r="N86" s="127" t="e">
        <f t="shared" si="23"/>
        <v>#N/A</v>
      </c>
    </row>
    <row r="87" spans="1:14" x14ac:dyDescent="0.25">
      <c r="A87" s="123" t="s">
        <v>452</v>
      </c>
      <c r="C87" s="127">
        <f t="shared" ref="C87:N87" si="24">IF(C$8=1,C73,NA())</f>
        <v>33.75121805250663</v>
      </c>
      <c r="D87" s="127">
        <f t="shared" si="24"/>
        <v>31.986969615722757</v>
      </c>
      <c r="E87" s="127">
        <f t="shared" si="24"/>
        <v>34.490304181817962</v>
      </c>
      <c r="F87" s="127">
        <f t="shared" si="24"/>
        <v>34.801351059563835</v>
      </c>
      <c r="G87" s="127">
        <f t="shared" si="24"/>
        <v>35.474917153654815</v>
      </c>
      <c r="H87" s="127">
        <f t="shared" si="24"/>
        <v>34.800310943998461</v>
      </c>
      <c r="I87" s="127">
        <f t="shared" si="24"/>
        <v>34.74268608284077</v>
      </c>
      <c r="J87" s="127">
        <f t="shared" si="24"/>
        <v>35.648737578377251</v>
      </c>
      <c r="K87" s="127">
        <f t="shared" si="24"/>
        <v>36.68687095867304</v>
      </c>
      <c r="L87" s="127">
        <f t="shared" si="24"/>
        <v>37.813609602862556</v>
      </c>
      <c r="M87" s="127" t="e">
        <f t="shared" si="24"/>
        <v>#N/A</v>
      </c>
      <c r="N87" s="127" t="e">
        <f t="shared" si="24"/>
        <v>#N/A</v>
      </c>
    </row>
    <row r="88" spans="1:14" x14ac:dyDescent="0.25">
      <c r="A88" s="123" t="s">
        <v>453</v>
      </c>
      <c r="C88" s="127">
        <f t="shared" ref="C88:N88" si="25">IF(C$8=1,C74,NA())</f>
        <v>47.841321276379801</v>
      </c>
      <c r="D88" s="127">
        <f t="shared" si="25"/>
        <v>50.547609530573823</v>
      </c>
      <c r="E88" s="127">
        <f t="shared" si="25"/>
        <v>51.600095627635724</v>
      </c>
      <c r="F88" s="127">
        <f t="shared" si="25"/>
        <v>53.512674462711011</v>
      </c>
      <c r="G88" s="127">
        <f t="shared" si="25"/>
        <v>53.467269125195202</v>
      </c>
      <c r="H88" s="127">
        <f t="shared" si="25"/>
        <v>54.120974119786545</v>
      </c>
      <c r="I88" s="127">
        <f t="shared" si="25"/>
        <v>56.166321493965135</v>
      </c>
      <c r="J88" s="127">
        <f t="shared" si="25"/>
        <v>58.555215376737124</v>
      </c>
      <c r="K88" s="127">
        <f t="shared" si="25"/>
        <v>60.950988507993941</v>
      </c>
      <c r="L88" s="127">
        <f t="shared" si="25"/>
        <v>63.922670320446741</v>
      </c>
      <c r="M88" s="127" t="e">
        <f t="shared" si="25"/>
        <v>#N/A</v>
      </c>
      <c r="N88" s="127" t="e">
        <f t="shared" si="25"/>
        <v>#N/A</v>
      </c>
    </row>
    <row r="89" spans="1:14" x14ac:dyDescent="0.25">
      <c r="A89" s="123" t="s">
        <v>454</v>
      </c>
      <c r="C89" s="126">
        <f t="shared" ref="C89:N89" si="26">IF(C$8=1,C56,NA())</f>
        <v>2884733</v>
      </c>
      <c r="D89" s="126">
        <f t="shared" si="26"/>
        <v>2823115</v>
      </c>
      <c r="E89" s="126">
        <f t="shared" si="26"/>
        <v>2716806</v>
      </c>
      <c r="F89" s="126">
        <f t="shared" si="26"/>
        <v>2070781</v>
      </c>
      <c r="G89" s="126">
        <f t="shared" si="26"/>
        <v>1960492</v>
      </c>
      <c r="H89" s="126">
        <f t="shared" si="26"/>
        <v>1928069</v>
      </c>
      <c r="I89" s="126">
        <f t="shared" si="26"/>
        <v>1976056</v>
      </c>
      <c r="J89" s="126">
        <f t="shared" si="26"/>
        <v>1899026</v>
      </c>
      <c r="K89" s="126">
        <f t="shared" si="26"/>
        <v>1811757</v>
      </c>
      <c r="L89" s="126">
        <f t="shared" si="26"/>
        <v>1922964</v>
      </c>
      <c r="M89" s="126" t="e">
        <f t="shared" si="26"/>
        <v>#N/A</v>
      </c>
      <c r="N89" s="126" t="e">
        <f t="shared" si="26"/>
        <v>#N/A</v>
      </c>
    </row>
    <row r="90" spans="1:14" x14ac:dyDescent="0.25">
      <c r="A90" s="123" t="s">
        <v>455</v>
      </c>
      <c r="C90" s="126">
        <f t="shared" ref="C90:N90" si="27">IF(C$8=1,C58,NA())</f>
        <v>-604733</v>
      </c>
      <c r="D90" s="126">
        <f t="shared" si="27"/>
        <v>-603115</v>
      </c>
      <c r="E90" s="126">
        <f t="shared" si="27"/>
        <v>-556806</v>
      </c>
      <c r="F90" s="126">
        <f t="shared" si="27"/>
        <v>29219</v>
      </c>
      <c r="G90" s="126">
        <f t="shared" si="27"/>
        <v>79508</v>
      </c>
      <c r="H90" s="126">
        <f t="shared" si="27"/>
        <v>51931</v>
      </c>
      <c r="I90" s="126">
        <f t="shared" si="27"/>
        <v>-56056</v>
      </c>
      <c r="J90" s="126">
        <f t="shared" si="27"/>
        <v>-39026</v>
      </c>
      <c r="K90" s="126">
        <f t="shared" si="27"/>
        <v>-11757</v>
      </c>
      <c r="L90" s="126">
        <f t="shared" si="27"/>
        <v>-182964</v>
      </c>
      <c r="M90" s="126" t="e">
        <f t="shared" si="27"/>
        <v>#N/A</v>
      </c>
      <c r="N90" s="126" t="e">
        <f t="shared" si="27"/>
        <v>#N/A</v>
      </c>
    </row>
    <row r="91" spans="1:14" x14ac:dyDescent="0.25">
      <c r="A91" s="123" t="s">
        <v>456</v>
      </c>
      <c r="C91" s="126">
        <f t="shared" ref="C91:N91" si="28">CHOOSE(metIdx,C10,C45,C47,C49,C46)</f>
        <v>1591543</v>
      </c>
      <c r="D91" s="126">
        <f t="shared" si="28"/>
        <v>1574867</v>
      </c>
      <c r="E91" s="126">
        <f t="shared" si="28"/>
        <v>1713781</v>
      </c>
      <c r="F91" s="126">
        <f t="shared" si="28"/>
        <v>1763614</v>
      </c>
      <c r="G91" s="126">
        <f t="shared" si="28"/>
        <v>1817445</v>
      </c>
      <c r="H91" s="126">
        <f t="shared" si="28"/>
        <v>1802093</v>
      </c>
      <c r="I91" s="126">
        <f t="shared" si="28"/>
        <v>1803935</v>
      </c>
      <c r="J91" s="126">
        <f t="shared" si="28"/>
        <v>1861913</v>
      </c>
      <c r="K91" s="126">
        <f t="shared" si="28"/>
        <v>1941121</v>
      </c>
      <c r="L91" s="126">
        <f t="shared" si="28"/>
        <v>2023647</v>
      </c>
      <c r="M91" s="126">
        <f t="shared" si="28"/>
        <v>0</v>
      </c>
      <c r="N91" s="126">
        <f t="shared" si="28"/>
        <v>0</v>
      </c>
    </row>
    <row r="92" spans="1:14" x14ac:dyDescent="0.25">
      <c r="A92" s="123" t="s">
        <v>457</v>
      </c>
      <c r="C92" s="126">
        <f t="shared" ref="C92:N92" si="29">CHOOSE(metIdx,C28,C50,C52,C54,C51)</f>
        <v>1637600</v>
      </c>
      <c r="D92" s="126">
        <f t="shared" si="29"/>
        <v>1608400</v>
      </c>
      <c r="E92" s="126">
        <f t="shared" si="29"/>
        <v>1758400</v>
      </c>
      <c r="F92" s="126">
        <f t="shared" si="29"/>
        <v>1801400</v>
      </c>
      <c r="G92" s="126">
        <f t="shared" si="29"/>
        <v>1844600</v>
      </c>
      <c r="H92" s="126">
        <f t="shared" si="29"/>
        <v>1870100</v>
      </c>
      <c r="I92" s="126">
        <f t="shared" si="29"/>
        <v>1822700</v>
      </c>
      <c r="J92" s="126">
        <f t="shared" si="29"/>
        <v>1848100</v>
      </c>
      <c r="K92" s="126">
        <f t="shared" si="29"/>
        <v>1910400</v>
      </c>
      <c r="L92" s="126">
        <f t="shared" si="29"/>
        <v>1991600</v>
      </c>
      <c r="M92" s="126">
        <f t="shared" si="29"/>
        <v>2110400</v>
      </c>
      <c r="N92" s="126">
        <f t="shared" si="29"/>
        <v>2230000</v>
      </c>
    </row>
    <row r="93" spans="1:14" x14ac:dyDescent="0.25">
      <c r="A93" s="123" t="s">
        <v>458</v>
      </c>
      <c r="C93" s="126">
        <f>IF(C$8=1,SUM($C10:C10),NA())</f>
        <v>1591543</v>
      </c>
      <c r="D93" s="126">
        <f>IF(D$8=1,SUM($C10:D10),NA())</f>
        <v>3166410</v>
      </c>
      <c r="E93" s="126">
        <f>IF(E$8=1,SUM($C10:E10),NA())</f>
        <v>4880191</v>
      </c>
      <c r="F93" s="126">
        <f>IF(F$8=1,SUM($C10:F10),NA())</f>
        <v>6643805</v>
      </c>
      <c r="G93" s="126">
        <f>IF(G$8=1,SUM($C10:G10),NA())</f>
        <v>8461250</v>
      </c>
      <c r="H93" s="126">
        <f>IF(H$8=1,SUM($C10:H10),NA())</f>
        <v>10263343</v>
      </c>
      <c r="I93" s="126">
        <f>IF(I$8=1,SUM($C10:I10),NA())</f>
        <v>12067278</v>
      </c>
      <c r="J93" s="126">
        <f>IF(J$8=1,SUM($C10:J10),NA())</f>
        <v>13929191</v>
      </c>
      <c r="K93" s="126">
        <f>IF(K$8=1,SUM($C10:K10),NA())</f>
        <v>15870312</v>
      </c>
      <c r="L93" s="126">
        <f>IF(L$8=1,SUM($C10:L10),NA())</f>
        <v>17893959</v>
      </c>
      <c r="M93" s="126" t="e">
        <f>IF(M$8=1,SUM($C10:M10),NA())</f>
        <v>#N/A</v>
      </c>
      <c r="N93" s="126" t="e">
        <f>IF(N$8=1,SUM($C10:N10),NA())</f>
        <v>#N/A</v>
      </c>
    </row>
    <row r="94" spans="1:14" x14ac:dyDescent="0.25">
      <c r="A94" s="123" t="s">
        <v>459</v>
      </c>
      <c r="C94" s="126">
        <f>SUM($C28:C28)</f>
        <v>1637600</v>
      </c>
      <c r="D94" s="126">
        <f>SUM($C28:D28)</f>
        <v>3246000</v>
      </c>
      <c r="E94" s="126">
        <f>SUM($C28:E28)</f>
        <v>5004400</v>
      </c>
      <c r="F94" s="126">
        <f>SUM($C28:F28)</f>
        <v>6805800</v>
      </c>
      <c r="G94" s="126">
        <f>SUM($C28:G28)</f>
        <v>8650400</v>
      </c>
      <c r="H94" s="126">
        <f>SUM($C28:H28)</f>
        <v>10520500</v>
      </c>
      <c r="I94" s="126">
        <f>SUM($C28:I28)</f>
        <v>12343200</v>
      </c>
      <c r="J94" s="126">
        <f>SUM($C28:J28)</f>
        <v>14191300</v>
      </c>
      <c r="K94" s="126">
        <f>SUM($C28:K28)</f>
        <v>16101700</v>
      </c>
      <c r="L94" s="126">
        <f>SUM($C28:L28)</f>
        <v>18093300</v>
      </c>
      <c r="M94" s="126">
        <f>SUM($C28:M28)</f>
        <v>20203700</v>
      </c>
      <c r="N94" s="126">
        <f>SUM($C28:N28)</f>
        <v>22433700</v>
      </c>
    </row>
    <row r="95" spans="1:14" x14ac:dyDescent="0.25">
      <c r="A95" s="123" t="s">
        <v>460</v>
      </c>
      <c r="C95" s="126">
        <f>SUMPRODUCT(tblCost[Vis],C13:C22)</f>
        <v>640109</v>
      </c>
      <c r="D95" s="126">
        <f>SUMPRODUCT(tblCost[Vis],D13:D22)</f>
        <v>652584</v>
      </c>
      <c r="E95" s="126">
        <f>SUMPRODUCT(tblCost[Vis],E13:E22)</f>
        <v>659667</v>
      </c>
      <c r="F95" s="126">
        <f>SUMPRODUCT(tblCost[Vis],F13:F22)</f>
        <v>655715</v>
      </c>
      <c r="G95" s="126">
        <f>SUMPRODUCT(tblCost[Vis],G13:G22)</f>
        <v>647729</v>
      </c>
      <c r="H95" s="126">
        <f>SUMPRODUCT(tblCost[Vis],H13:H22)</f>
        <v>657955</v>
      </c>
      <c r="I95" s="126">
        <f>SUMPRODUCT(tblCost[Vis],I13:I22)</f>
        <v>645249</v>
      </c>
      <c r="J95" s="126">
        <f>SUMPRODUCT(tblCost[Vis],J13:J22)</f>
        <v>658085</v>
      </c>
      <c r="K95" s="126">
        <f>SUMPRODUCT(tblCost[Vis],K13:K22)</f>
        <v>675118</v>
      </c>
      <c r="L95" s="126">
        <f>SUMPRODUCT(tblCost[Vis],L13:L22)</f>
        <v>641590</v>
      </c>
      <c r="M95" s="126">
        <f>SUMPRODUCT(tblCost[Vis],M13:M22)</f>
        <v>0</v>
      </c>
      <c r="N95" s="126">
        <f>SUMPRODUCT(tblCost[Vis],N13:N22)</f>
        <v>0</v>
      </c>
    </row>
    <row r="96" spans="1:14" x14ac:dyDescent="0.25">
      <c r="A96" s="123" t="s">
        <v>461</v>
      </c>
      <c r="C96" s="126">
        <f>SUMPRODUCT(tblCost[Vis],C31:C40)</f>
        <v>633400</v>
      </c>
      <c r="D96" s="126">
        <f>SUMPRODUCT(tblCost[Vis],D31:D40)</f>
        <v>635200</v>
      </c>
      <c r="E96" s="126">
        <f>SUMPRODUCT(tblCost[Vis],E31:E40)</f>
        <v>637100</v>
      </c>
      <c r="F96" s="126">
        <f>SUMPRODUCT(tblCost[Vis],F31:F40)</f>
        <v>639100</v>
      </c>
      <c r="G96" s="126">
        <f>SUMPRODUCT(tblCost[Vis],G31:G40)</f>
        <v>641000</v>
      </c>
      <c r="H96" s="126">
        <f>SUMPRODUCT(tblCost[Vis],H31:H40)</f>
        <v>642700</v>
      </c>
      <c r="I96" s="126">
        <f>SUMPRODUCT(tblCost[Vis],I31:I40)</f>
        <v>644800</v>
      </c>
      <c r="J96" s="126">
        <f>SUMPRODUCT(tblCost[Vis],J31:J40)</f>
        <v>646600</v>
      </c>
      <c r="K96" s="126">
        <f>SUMPRODUCT(tblCost[Vis],K31:K40)</f>
        <v>648300</v>
      </c>
      <c r="L96" s="126">
        <f>SUMPRODUCT(tblCost[Vis],L31:L40)</f>
        <v>650300</v>
      </c>
      <c r="M96" s="126">
        <f>SUMPRODUCT(tblCost[Vis],M31:M40)</f>
        <v>652300</v>
      </c>
      <c r="N96" s="126">
        <f>SUMPRODUCT(tblCost[Vis],N31:N40)</f>
        <v>654200</v>
      </c>
    </row>
    <row r="98" spans="1:16" x14ac:dyDescent="0.25">
      <c r="A98" s="125" t="s">
        <v>462</v>
      </c>
    </row>
    <row r="99" spans="1:16" x14ac:dyDescent="0.25">
      <c r="A99" s="124" t="s">
        <v>421</v>
      </c>
      <c r="B99" s="124" t="s">
        <v>3</v>
      </c>
      <c r="C99" s="124" t="s">
        <v>4</v>
      </c>
      <c r="D99" s="124" t="s">
        <v>463</v>
      </c>
      <c r="E99" s="124" t="s">
        <v>464</v>
      </c>
    </row>
    <row r="100" spans="1:16" x14ac:dyDescent="0.25">
      <c r="A100" s="123" t="s">
        <v>315</v>
      </c>
      <c r="B100" s="126">
        <f>CHOOSE(viewIdx,'Income Statement'!$D$14,'Income Statement'!$H$14)*E100</f>
        <v>3549704</v>
      </c>
      <c r="C100" s="126">
        <f>CHOOSE(viewIdx,'Income Statement'!$E$14,'Income Statement'!$I$14)*E100</f>
        <v>3568200</v>
      </c>
      <c r="D100" s="126">
        <f t="shared" ref="D100:D109" si="30">C100-B100</f>
        <v>18496</v>
      </c>
      <c r="E100" s="123">
        <f>INDEX(tblCost[Vis],1)</f>
        <v>1</v>
      </c>
    </row>
    <row r="101" spans="1:16" x14ac:dyDescent="0.25">
      <c r="A101" s="123" t="s">
        <v>319</v>
      </c>
      <c r="B101" s="126">
        <f>CHOOSE(viewIdx,'Income Statement'!$D$15,'Income Statement'!$H$15)*E101</f>
        <v>765192</v>
      </c>
      <c r="C101" s="126">
        <f>CHOOSE(viewIdx,'Income Statement'!$E$15,'Income Statement'!$I$15)*E101</f>
        <v>765200</v>
      </c>
      <c r="D101" s="126">
        <f t="shared" si="30"/>
        <v>8</v>
      </c>
      <c r="E101" s="123">
        <f>INDEX(tblCost[Vis],2)</f>
        <v>1</v>
      </c>
    </row>
    <row r="102" spans="1:16" x14ac:dyDescent="0.25">
      <c r="A102" s="123" t="s">
        <v>322</v>
      </c>
      <c r="B102" s="126">
        <f>CHOOSE(viewIdx,'Income Statement'!$D$16,'Income Statement'!$H$16)*E102</f>
        <v>767972</v>
      </c>
      <c r="C102" s="126">
        <f>CHOOSE(viewIdx,'Income Statement'!$E$16,'Income Statement'!$I$16)*E102</f>
        <v>659700</v>
      </c>
      <c r="D102" s="126">
        <f t="shared" si="30"/>
        <v>-108272</v>
      </c>
      <c r="E102" s="123">
        <f>INDEX(tblCost[Vis],3)</f>
        <v>1</v>
      </c>
    </row>
    <row r="103" spans="1:16" x14ac:dyDescent="0.25">
      <c r="A103" s="123" t="s">
        <v>325</v>
      </c>
      <c r="B103" s="126">
        <f>CHOOSE(viewIdx,'Income Statement'!$D$17,'Income Statement'!$H$17)*E103</f>
        <v>242188</v>
      </c>
      <c r="C103" s="126">
        <f>CHOOSE(viewIdx,'Income Statement'!$E$17,'Income Statement'!$I$17)*E103</f>
        <v>234900</v>
      </c>
      <c r="D103" s="126">
        <f t="shared" si="30"/>
        <v>-7288</v>
      </c>
      <c r="E103" s="123">
        <f>INDEX(tblCost[Vis],4)</f>
        <v>1</v>
      </c>
    </row>
    <row r="104" spans="1:16" x14ac:dyDescent="0.25">
      <c r="A104" s="123" t="s">
        <v>329</v>
      </c>
      <c r="B104" s="126">
        <f>CHOOSE(viewIdx,'Income Statement'!$D$18,'Income Statement'!$H$18)*E104</f>
        <v>309656</v>
      </c>
      <c r="C104" s="126">
        <f>CHOOSE(viewIdx,'Income Statement'!$E$18,'Income Statement'!$I$18)*E104</f>
        <v>306900</v>
      </c>
      <c r="D104" s="126">
        <f t="shared" si="30"/>
        <v>-2756</v>
      </c>
      <c r="E104" s="123">
        <f>INDEX(tblCost[Vis],5)</f>
        <v>1</v>
      </c>
    </row>
    <row r="105" spans="1:16" x14ac:dyDescent="0.25">
      <c r="A105" s="123" t="s">
        <v>333</v>
      </c>
      <c r="B105" s="126">
        <f>CHOOSE(viewIdx,'Income Statement'!$D$19,'Income Statement'!$H$19)*E105</f>
        <v>253357</v>
      </c>
      <c r="C105" s="126">
        <f>CHOOSE(viewIdx,'Income Statement'!$E$19,'Income Statement'!$I$19)*E105</f>
        <v>247100</v>
      </c>
      <c r="D105" s="126">
        <f t="shared" si="30"/>
        <v>-6257</v>
      </c>
      <c r="E105" s="123">
        <f>INDEX(tblCost[Vis],6)</f>
        <v>1</v>
      </c>
    </row>
    <row r="106" spans="1:16" x14ac:dyDescent="0.25">
      <c r="A106" s="123" t="s">
        <v>335</v>
      </c>
      <c r="B106" s="126">
        <f>CHOOSE(viewIdx,'Income Statement'!$D$20,'Income Statement'!$H$20)*E106</f>
        <v>111866</v>
      </c>
      <c r="C106" s="126">
        <f>CHOOSE(viewIdx,'Income Statement'!$E$20,'Income Statement'!$I$20)*E106</f>
        <v>98100</v>
      </c>
      <c r="D106" s="126">
        <f t="shared" si="30"/>
        <v>-13766</v>
      </c>
      <c r="E106" s="123">
        <f>INDEX(tblCost[Vis],7)</f>
        <v>1</v>
      </c>
    </row>
    <row r="107" spans="1:16" x14ac:dyDescent="0.25">
      <c r="A107" s="123" t="s">
        <v>336</v>
      </c>
      <c r="B107" s="126">
        <f>CHOOSE(viewIdx,'Income Statement'!$D$21,'Income Statement'!$H$21)*E107</f>
        <v>177362</v>
      </c>
      <c r="C107" s="126">
        <f>CHOOSE(viewIdx,'Income Statement'!$E$21,'Income Statement'!$I$21)*E107</f>
        <v>177500</v>
      </c>
      <c r="D107" s="126">
        <f t="shared" si="30"/>
        <v>138</v>
      </c>
      <c r="E107" s="123">
        <f>INDEX(tblCost[Vis],8)</f>
        <v>1</v>
      </c>
    </row>
    <row r="108" spans="1:16" x14ac:dyDescent="0.25">
      <c r="A108" s="123" t="s">
        <v>337</v>
      </c>
      <c r="B108" s="126">
        <f>CHOOSE(viewIdx,'Income Statement'!$D$22,'Income Statement'!$H$22)*E108</f>
        <v>77220</v>
      </c>
      <c r="C108" s="126">
        <f>CHOOSE(viewIdx,'Income Statement'!$E$22,'Income Statement'!$I$22)*E108</f>
        <v>74700</v>
      </c>
      <c r="D108" s="126">
        <f t="shared" si="30"/>
        <v>-2520</v>
      </c>
      <c r="E108" s="123">
        <f>INDEX(tblCost[Vis],9)</f>
        <v>1</v>
      </c>
    </row>
    <row r="109" spans="1:16" x14ac:dyDescent="0.25">
      <c r="A109" s="123" t="s">
        <v>339</v>
      </c>
      <c r="B109" s="126">
        <f>CHOOSE(viewIdx,'Income Statement'!$D$23,'Income Statement'!$H$23)*E109</f>
        <v>279284</v>
      </c>
      <c r="C109" s="126">
        <f>CHOOSE(viewIdx,'Income Statement'!$E$23,'Income Statement'!$I$23)*E109</f>
        <v>286200</v>
      </c>
      <c r="D109" s="126">
        <f t="shared" si="30"/>
        <v>6916</v>
      </c>
      <c r="E109" s="123">
        <f>INDEX(tblCost[Vis],10)</f>
        <v>1</v>
      </c>
    </row>
    <row r="111" spans="1:16" x14ac:dyDescent="0.25">
      <c r="A111" s="125" t="s">
        <v>465</v>
      </c>
    </row>
    <row r="112" spans="1:16" x14ac:dyDescent="0.25">
      <c r="A112" s="124" t="s">
        <v>466</v>
      </c>
      <c r="B112" s="124" t="s">
        <v>358</v>
      </c>
      <c r="C112" s="124" t="s">
        <v>260</v>
      </c>
      <c r="D112" s="124" t="s">
        <v>467</v>
      </c>
      <c r="E112" s="124" t="s">
        <v>468</v>
      </c>
      <c r="F112" s="124" t="s">
        <v>469</v>
      </c>
      <c r="G112" s="124" t="s">
        <v>470</v>
      </c>
      <c r="H112" s="124" t="s">
        <v>471</v>
      </c>
      <c r="I112" s="124" t="s">
        <v>472</v>
      </c>
      <c r="J112" s="124" t="s">
        <v>473</v>
      </c>
      <c r="K112" s="124" t="s">
        <v>474</v>
      </c>
      <c r="L112" s="124" t="s">
        <v>475</v>
      </c>
      <c r="M112" s="124" t="s">
        <v>476</v>
      </c>
      <c r="N112" s="124" t="s">
        <v>477</v>
      </c>
      <c r="O112" s="124" t="s">
        <v>478</v>
      </c>
      <c r="P112" s="124" t="s">
        <v>479</v>
      </c>
    </row>
    <row r="113" spans="1:16" x14ac:dyDescent="0.25">
      <c r="A113" s="123" t="s">
        <v>4</v>
      </c>
      <c r="B113" s="126">
        <f>CHOOSE(viewIdx,'Income Statement'!$E$25,'Income Statement'!$I$25)</f>
        <v>2578800</v>
      </c>
      <c r="C113" s="123" t="s">
        <v>480</v>
      </c>
      <c r="D113" s="126">
        <f>0</f>
        <v>0</v>
      </c>
      <c r="E113" s="126">
        <f>B113</f>
        <v>2578800</v>
      </c>
      <c r="F113" s="126">
        <f>MAX(0,MIN(0,(E113-$P$113)))</f>
        <v>0</v>
      </c>
      <c r="G113" s="126">
        <f>(MAX(0,MAX(0,(E113-$P$113)))-MAX(0,MIN(0,(E113-$P$113))))</f>
        <v>731887.5</v>
      </c>
      <c r="H113" s="126">
        <f>0</f>
        <v>0</v>
      </c>
      <c r="I113" s="126">
        <f>0</f>
        <v>0</v>
      </c>
      <c r="J113" s="126">
        <f>MIN(0,MAX(0,(E113-$P$113)))</f>
        <v>0</v>
      </c>
      <c r="K113" s="126">
        <f>(MIN(0,MIN(0,(E113-$P$113)))-MIN(0,MAX(0,(E113-$P$113))))</f>
        <v>0</v>
      </c>
      <c r="L113" s="126">
        <f>0</f>
        <v>0</v>
      </c>
      <c r="M113" s="126">
        <f>0</f>
        <v>0</v>
      </c>
      <c r="N113" s="126">
        <f>MAX(0,(E113-$P$113))</f>
        <v>731887.5</v>
      </c>
      <c r="O113" s="123" t="str">
        <f>FIXED(B113/1000,0)</f>
        <v>2,579</v>
      </c>
      <c r="P113" s="126">
        <f>IF(MIN(E113:E120)&gt;0,MAX(0,MIN(E113:E120)-1.5*(MAX(E113:E120)-MIN(E113:E120))),0)</f>
        <v>1846912.5</v>
      </c>
    </row>
    <row r="114" spans="1:16" x14ac:dyDescent="0.25">
      <c r="A114" s="123" t="s">
        <v>7</v>
      </c>
      <c r="B114" s="126">
        <f>CHOOSE(viewIdx,'Income Statement'!$F$8,'Income Statement'!$J$8)</f>
        <v>-199341</v>
      </c>
      <c r="C114" s="123" t="s">
        <v>481</v>
      </c>
      <c r="D114" s="126">
        <f t="shared" ref="D114:D119" si="31">E113</f>
        <v>2578800</v>
      </c>
      <c r="E114" s="126">
        <f t="shared" ref="E114:E119" si="32">D114+B114</f>
        <v>2379459</v>
      </c>
      <c r="F114" s="126">
        <f t="shared" ref="F114:F119" si="33">MAX(0,MIN((D114-$P$113),(E114-$P$113)))</f>
        <v>532546.5</v>
      </c>
      <c r="G114" s="126">
        <f>0</f>
        <v>0</v>
      </c>
      <c r="H114" s="126">
        <f t="shared" ref="H114:H119" si="34">IF(B114&gt;=0,(MAX(0,MAX((D114-$P$113),(E114-$P$113)))-MAX(0,MIN((D114-$P$113),(E114-$P$113)))),0)</f>
        <v>0</v>
      </c>
      <c r="I114" s="126">
        <f t="shared" ref="I114:I119" si="35">IF(B114&lt;0,(MAX(0,MAX((D114-$P$113),(E114-$P$113)))-MAX(0,MIN((D114-$P$113),(E114-$P$113)))),0)</f>
        <v>199341</v>
      </c>
      <c r="J114" s="126">
        <f t="shared" ref="J114:J119" si="36">MIN(0,MAX((D114-$P$113),(E114-$P$113)))</f>
        <v>0</v>
      </c>
      <c r="K114" s="126">
        <f>0</f>
        <v>0</v>
      </c>
      <c r="L114" s="126">
        <f t="shared" ref="L114:L119" si="37">IF(B114&gt;=0,(MIN(0,MIN((D114-$P$113),(E114-$P$113)))-MIN(0,MAX((D114-$P$113),(E114-$P$113)))),0)</f>
        <v>0</v>
      </c>
      <c r="M114" s="126">
        <f t="shared" ref="M114:M119" si="38">IF(B114&lt;0,(MIN(0,MIN((D114-$P$113),(E114-$P$113)))-MIN(0,MAX((D114-$P$113),(E114-$P$113)))),0)</f>
        <v>0</v>
      </c>
      <c r="N114" s="126">
        <f t="shared" ref="N114:N119" si="39">MAX((D114-$P$113),(E114-$P$113))</f>
        <v>731887.5</v>
      </c>
      <c r="O114" s="123" t="str">
        <f t="shared" ref="O114:O119" si="40">IF(B114&gt;=0,"+","-")&amp;FIXED(ABS(B114)/1000,0)</f>
        <v>-199</v>
      </c>
    </row>
    <row r="115" spans="1:16" x14ac:dyDescent="0.25">
      <c r="A115" s="123" t="s">
        <v>8</v>
      </c>
      <c r="B115" s="126">
        <f>CHOOSE(viewIdx,'Income Statement'!$F$9,'Income Statement'!$J$9)</f>
        <v>22890</v>
      </c>
      <c r="C115" s="123" t="s">
        <v>481</v>
      </c>
      <c r="D115" s="126">
        <f t="shared" si="31"/>
        <v>2379459</v>
      </c>
      <c r="E115" s="126">
        <f t="shared" si="32"/>
        <v>2402349</v>
      </c>
      <c r="F115" s="126">
        <f t="shared" si="33"/>
        <v>532546.5</v>
      </c>
      <c r="G115" s="126">
        <f>0</f>
        <v>0</v>
      </c>
      <c r="H115" s="126">
        <f t="shared" si="34"/>
        <v>22890</v>
      </c>
      <c r="I115" s="126">
        <f t="shared" si="35"/>
        <v>0</v>
      </c>
      <c r="J115" s="126">
        <f t="shared" si="36"/>
        <v>0</v>
      </c>
      <c r="K115" s="126">
        <f>0</f>
        <v>0</v>
      </c>
      <c r="L115" s="126">
        <f t="shared" si="37"/>
        <v>0</v>
      </c>
      <c r="M115" s="126">
        <f t="shared" si="38"/>
        <v>0</v>
      </c>
      <c r="N115" s="126">
        <f t="shared" si="39"/>
        <v>555436.5</v>
      </c>
      <c r="O115" s="123" t="str">
        <f t="shared" si="40"/>
        <v>+23</v>
      </c>
    </row>
    <row r="116" spans="1:16" x14ac:dyDescent="0.25">
      <c r="A116" s="123" t="s">
        <v>11</v>
      </c>
      <c r="B116" s="126">
        <f>CHOOSE(viewIdx,'Income Statement'!$F$12,'Income Statement'!$J$12)</f>
        <v>-1003</v>
      </c>
      <c r="C116" s="123" t="s">
        <v>481</v>
      </c>
      <c r="D116" s="126">
        <f t="shared" si="31"/>
        <v>2402349</v>
      </c>
      <c r="E116" s="126">
        <f t="shared" si="32"/>
        <v>2401346</v>
      </c>
      <c r="F116" s="126">
        <f t="shared" si="33"/>
        <v>554433.5</v>
      </c>
      <c r="G116" s="126">
        <f>0</f>
        <v>0</v>
      </c>
      <c r="H116" s="126">
        <f t="shared" si="34"/>
        <v>0</v>
      </c>
      <c r="I116" s="126">
        <f t="shared" si="35"/>
        <v>1003</v>
      </c>
      <c r="J116" s="126">
        <f t="shared" si="36"/>
        <v>0</v>
      </c>
      <c r="K116" s="126">
        <f>0</f>
        <v>0</v>
      </c>
      <c r="L116" s="126">
        <f t="shared" si="37"/>
        <v>0</v>
      </c>
      <c r="M116" s="126">
        <f t="shared" si="38"/>
        <v>0</v>
      </c>
      <c r="N116" s="126">
        <f t="shared" si="39"/>
        <v>555436.5</v>
      </c>
      <c r="O116" s="123" t="str">
        <f t="shared" si="40"/>
        <v>-1</v>
      </c>
    </row>
    <row r="117" spans="1:16" x14ac:dyDescent="0.25">
      <c r="A117" s="123" t="s">
        <v>482</v>
      </c>
      <c r="B117" s="126">
        <f>CHOOSE(viewIdx,'Income Statement'!$F$14,'Income Statement'!$J$14)</f>
        <v>18496</v>
      </c>
      <c r="C117" s="123" t="s">
        <v>481</v>
      </c>
      <c r="D117" s="126">
        <f t="shared" si="31"/>
        <v>2401346</v>
      </c>
      <c r="E117" s="126">
        <f t="shared" si="32"/>
        <v>2419842</v>
      </c>
      <c r="F117" s="126">
        <f t="shared" si="33"/>
        <v>554433.5</v>
      </c>
      <c r="G117" s="126">
        <f>0</f>
        <v>0</v>
      </c>
      <c r="H117" s="126">
        <f t="shared" si="34"/>
        <v>18496</v>
      </c>
      <c r="I117" s="126">
        <f t="shared" si="35"/>
        <v>0</v>
      </c>
      <c r="J117" s="126">
        <f t="shared" si="36"/>
        <v>0</v>
      </c>
      <c r="K117" s="126">
        <f>0</f>
        <v>0</v>
      </c>
      <c r="L117" s="126">
        <f t="shared" si="37"/>
        <v>0</v>
      </c>
      <c r="M117" s="126">
        <f t="shared" si="38"/>
        <v>0</v>
      </c>
      <c r="N117" s="126">
        <f t="shared" si="39"/>
        <v>572929.5</v>
      </c>
      <c r="O117" s="123" t="str">
        <f t="shared" si="40"/>
        <v>+18</v>
      </c>
    </row>
    <row r="118" spans="1:16" x14ac:dyDescent="0.25">
      <c r="A118" s="123" t="s">
        <v>483</v>
      </c>
      <c r="B118" s="126">
        <f>CHOOSE(viewIdx,'Income Statement'!$F$16,'Income Statement'!$J$16)</f>
        <v>-108272</v>
      </c>
      <c r="C118" s="123" t="s">
        <v>481</v>
      </c>
      <c r="D118" s="126">
        <f t="shared" si="31"/>
        <v>2419842</v>
      </c>
      <c r="E118" s="126">
        <f t="shared" si="32"/>
        <v>2311570</v>
      </c>
      <c r="F118" s="126">
        <f t="shared" si="33"/>
        <v>464657.5</v>
      </c>
      <c r="G118" s="126">
        <f>0</f>
        <v>0</v>
      </c>
      <c r="H118" s="126">
        <f t="shared" si="34"/>
        <v>0</v>
      </c>
      <c r="I118" s="126">
        <f t="shared" si="35"/>
        <v>108272</v>
      </c>
      <c r="J118" s="126">
        <f t="shared" si="36"/>
        <v>0</v>
      </c>
      <c r="K118" s="126">
        <f>0</f>
        <v>0</v>
      </c>
      <c r="L118" s="126">
        <f t="shared" si="37"/>
        <v>0</v>
      </c>
      <c r="M118" s="126">
        <f t="shared" si="38"/>
        <v>0</v>
      </c>
      <c r="N118" s="126">
        <f t="shared" si="39"/>
        <v>572929.5</v>
      </c>
      <c r="O118" s="123" t="str">
        <f t="shared" si="40"/>
        <v>-108</v>
      </c>
    </row>
    <row r="119" spans="1:16" x14ac:dyDescent="0.25">
      <c r="A119" s="123" t="s">
        <v>484</v>
      </c>
      <c r="B119" s="126">
        <f>CHOOSE(viewIdx,'Income Statement'!$F$24,'Income Statement'!$J$24)-CHOOSE(viewIdx,'Income Statement'!$F$14,'Income Statement'!$J$14)-CHOOSE(viewIdx,'Income Statement'!$F$16,'Income Statement'!$J$16)</f>
        <v>-25525</v>
      </c>
      <c r="C119" s="123" t="s">
        <v>481</v>
      </c>
      <c r="D119" s="126">
        <f t="shared" si="31"/>
        <v>2311570</v>
      </c>
      <c r="E119" s="126">
        <f t="shared" si="32"/>
        <v>2286045</v>
      </c>
      <c r="F119" s="126">
        <f t="shared" si="33"/>
        <v>439132.5</v>
      </c>
      <c r="G119" s="126">
        <f>0</f>
        <v>0</v>
      </c>
      <c r="H119" s="126">
        <f t="shared" si="34"/>
        <v>0</v>
      </c>
      <c r="I119" s="126">
        <f t="shared" si="35"/>
        <v>25525</v>
      </c>
      <c r="J119" s="126">
        <f t="shared" si="36"/>
        <v>0</v>
      </c>
      <c r="K119" s="126">
        <f>0</f>
        <v>0</v>
      </c>
      <c r="L119" s="126">
        <f t="shared" si="37"/>
        <v>0</v>
      </c>
      <c r="M119" s="126">
        <f t="shared" si="38"/>
        <v>0</v>
      </c>
      <c r="N119" s="126">
        <f t="shared" si="39"/>
        <v>464657.5</v>
      </c>
      <c r="O119" s="123" t="str">
        <f t="shared" si="40"/>
        <v>-26</v>
      </c>
    </row>
    <row r="120" spans="1:16" x14ac:dyDescent="0.25">
      <c r="A120" s="123" t="s">
        <v>3</v>
      </c>
      <c r="B120" s="126">
        <f>CHOOSE(viewIdx,'Income Statement'!$D$25,'Income Statement'!$H$25)</f>
        <v>2286045</v>
      </c>
      <c r="C120" s="123" t="s">
        <v>480</v>
      </c>
      <c r="D120" s="126">
        <f>0</f>
        <v>0</v>
      </c>
      <c r="E120" s="126">
        <f>B120</f>
        <v>2286045</v>
      </c>
      <c r="F120" s="126">
        <f>MAX(0,MIN(0,(E120-$P$113)))</f>
        <v>0</v>
      </c>
      <c r="G120" s="126">
        <f>(MAX(0,MAX(0,(E120-$P$113)))-MAX(0,MIN(0,(E120-$P$113))))</f>
        <v>439132.5</v>
      </c>
      <c r="H120" s="126">
        <f>0</f>
        <v>0</v>
      </c>
      <c r="I120" s="126">
        <f>0</f>
        <v>0</v>
      </c>
      <c r="J120" s="126">
        <f>MIN(0,MAX(0,(E120-$P$113)))</f>
        <v>0</v>
      </c>
      <c r="K120" s="126">
        <f>(MIN(0,MIN(0,(E120-$P$113)))-MIN(0,MAX(0,(E120-$P$113))))</f>
        <v>0</v>
      </c>
      <c r="L120" s="126">
        <f>0</f>
        <v>0</v>
      </c>
      <c r="M120" s="126">
        <f>0</f>
        <v>0</v>
      </c>
      <c r="N120" s="126">
        <f>MAX(0,(E120-$P$113))</f>
        <v>439132.5</v>
      </c>
      <c r="O120" s="123" t="str">
        <f>FIXED(B120/1000,0)</f>
        <v>2,286</v>
      </c>
    </row>
    <row r="122" spans="1:16" x14ac:dyDescent="0.25">
      <c r="A122" s="125" t="s">
        <v>485</v>
      </c>
    </row>
    <row r="123" spans="1:16" x14ac:dyDescent="0.25">
      <c r="A123" s="124" t="s">
        <v>466</v>
      </c>
      <c r="B123" s="124" t="s">
        <v>358</v>
      </c>
      <c r="C123" s="124" t="s">
        <v>260</v>
      </c>
      <c r="D123" s="124" t="s">
        <v>467</v>
      </c>
      <c r="E123" s="124" t="s">
        <v>468</v>
      </c>
      <c r="F123" s="124" t="s">
        <v>469</v>
      </c>
      <c r="G123" s="124" t="s">
        <v>470</v>
      </c>
      <c r="H123" s="124" t="s">
        <v>471</v>
      </c>
      <c r="I123" s="124" t="s">
        <v>472</v>
      </c>
      <c r="J123" s="124" t="s">
        <v>473</v>
      </c>
      <c r="K123" s="124" t="s">
        <v>474</v>
      </c>
      <c r="L123" s="124" t="s">
        <v>475</v>
      </c>
      <c r="M123" s="124" t="s">
        <v>476</v>
      </c>
      <c r="N123" s="124" t="s">
        <v>477</v>
      </c>
      <c r="O123" s="124" t="s">
        <v>478</v>
      </c>
      <c r="P123" s="124" t="s">
        <v>479</v>
      </c>
    </row>
    <row r="124" spans="1:16" x14ac:dyDescent="0.25">
      <c r="A124" s="123" t="s">
        <v>486</v>
      </c>
      <c r="B124" s="126">
        <f>CHOOSE(viewIdx,'Cash Flow'!$D$33,'Cash Flow'!$E$33)</f>
        <v>2572500</v>
      </c>
      <c r="C124" s="123" t="s">
        <v>480</v>
      </c>
      <c r="D124" s="126">
        <f>0</f>
        <v>0</v>
      </c>
      <c r="E124" s="126">
        <f>B124</f>
        <v>2572500</v>
      </c>
      <c r="F124" s="126">
        <f>MAX(0,MIN(0,(E124-$P$124)))</f>
        <v>0</v>
      </c>
      <c r="G124" s="126">
        <f>(MAX(0,MAX(0,(E124-$P$124)))-MAX(0,MIN(0,(E124-$P$124))))</f>
        <v>2572500</v>
      </c>
      <c r="H124" s="126">
        <f>0</f>
        <v>0</v>
      </c>
      <c r="I124" s="126">
        <f>0</f>
        <v>0</v>
      </c>
      <c r="J124" s="126">
        <f>MIN(0,MAX(0,(E124-$P$124)))</f>
        <v>0</v>
      </c>
      <c r="K124" s="126">
        <f>(MIN(0,MIN(0,(E124-$P$124)))-MIN(0,MAX(0,(E124-$P$124))))</f>
        <v>0</v>
      </c>
      <c r="L124" s="126">
        <f>0</f>
        <v>0</v>
      </c>
      <c r="M124" s="126">
        <f>0</f>
        <v>0</v>
      </c>
      <c r="N124" s="126">
        <f>MAX(0,(E124-$P$124))</f>
        <v>2572500</v>
      </c>
      <c r="O124" s="123" t="str">
        <f>FIXED(B124/1000,0)</f>
        <v>2,573</v>
      </c>
      <c r="P124" s="126">
        <f>IF(MIN(E124:E130)&gt;0,MAX(0,MIN(E124:E130)-1.5*(MAX(E124:E130)-MIN(E124:E130))),0)</f>
        <v>0</v>
      </c>
    </row>
    <row r="125" spans="1:16" x14ac:dyDescent="0.25">
      <c r="A125" s="123" t="s">
        <v>487</v>
      </c>
      <c r="B125" s="126">
        <f>CHOOSE(viewIdx,'Cash Flow'!$D$8,'Cash Flow'!$E$8)</f>
        <v>1308156</v>
      </c>
      <c r="C125" s="123" t="s">
        <v>481</v>
      </c>
      <c r="D125" s="126">
        <f>E124</f>
        <v>2572500</v>
      </c>
      <c r="E125" s="126">
        <f>D125+B125</f>
        <v>3880656</v>
      </c>
      <c r="F125" s="126">
        <f>MAX(0,MIN((D125-$P$124),(E125-$P$124)))</f>
        <v>2572500</v>
      </c>
      <c r="G125" s="126">
        <f>0</f>
        <v>0</v>
      </c>
      <c r="H125" s="126">
        <f>IF(B125&gt;=0,(MAX(0,MAX((D125-$P$124),(E125-$P$124)))-MAX(0,MIN((D125-$P$124),(E125-$P$124)))),0)</f>
        <v>1308156</v>
      </c>
      <c r="I125" s="126">
        <f>IF(B125&lt;0,(MAX(0,MAX((D125-$P$124),(E125-$P$124)))-MAX(0,MIN((D125-$P$124),(E125-$P$124)))),0)</f>
        <v>0</v>
      </c>
      <c r="J125" s="126">
        <f>MIN(0,MAX((D125-$P$124),(E125-$P$124)))</f>
        <v>0</v>
      </c>
      <c r="K125" s="126">
        <f>0</f>
        <v>0</v>
      </c>
      <c r="L125" s="126">
        <f>IF(B125&gt;=0,(MIN(0,MIN((D125-$P$124),(E125-$P$124)))-MIN(0,MAX((D125-$P$124),(E125-$P$124)))),0)</f>
        <v>0</v>
      </c>
      <c r="M125" s="126">
        <f>IF(B125&lt;0,(MIN(0,MIN((D125-$P$124),(E125-$P$124)))-MIN(0,MAX((D125-$P$124),(E125-$P$124)))),0)</f>
        <v>0</v>
      </c>
      <c r="N125" s="126">
        <f>MAX((D125-$P$124),(E125-$P$124))</f>
        <v>3880656</v>
      </c>
      <c r="O125" s="123" t="str">
        <f>IF(B125&gt;=0,"+","-")&amp;FIXED(ABS(B125)/1000,0)</f>
        <v>+1,308</v>
      </c>
    </row>
    <row r="126" spans="1:16" x14ac:dyDescent="0.25">
      <c r="A126" s="123" t="s">
        <v>488</v>
      </c>
      <c r="B126" s="126">
        <f>CHOOSE(viewIdx,'Cash Flow'!$D$9,'Cash Flow'!$E$9)</f>
        <v>437188</v>
      </c>
      <c r="C126" s="123" t="s">
        <v>481</v>
      </c>
      <c r="D126" s="126">
        <f>E125</f>
        <v>3880656</v>
      </c>
      <c r="E126" s="126">
        <f>D126+B126</f>
        <v>4317844</v>
      </c>
      <c r="F126" s="126">
        <f>MAX(0,MIN((D126-$P$124),(E126-$P$124)))</f>
        <v>3880656</v>
      </c>
      <c r="G126" s="126">
        <f>0</f>
        <v>0</v>
      </c>
      <c r="H126" s="126">
        <f>IF(B126&gt;=0,(MAX(0,MAX((D126-$P$124),(E126-$P$124)))-MAX(0,MIN((D126-$P$124),(E126-$P$124)))),0)</f>
        <v>437188</v>
      </c>
      <c r="I126" s="126">
        <f>IF(B126&lt;0,(MAX(0,MAX((D126-$P$124),(E126-$P$124)))-MAX(0,MIN((D126-$P$124),(E126-$P$124)))),0)</f>
        <v>0</v>
      </c>
      <c r="J126" s="126">
        <f>MIN(0,MAX((D126-$P$124),(E126-$P$124)))</f>
        <v>0</v>
      </c>
      <c r="K126" s="126">
        <f>0</f>
        <v>0</v>
      </c>
      <c r="L126" s="126">
        <f>IF(B126&gt;=0,(MIN(0,MIN((D126-$P$124),(E126-$P$124)))-MIN(0,MAX((D126-$P$124),(E126-$P$124)))),0)</f>
        <v>0</v>
      </c>
      <c r="M126" s="126">
        <f>IF(B126&lt;0,(MIN(0,MIN((D126-$P$124),(E126-$P$124)))-MIN(0,MAX((D126-$P$124),(E126-$P$124)))),0)</f>
        <v>0</v>
      </c>
      <c r="N126" s="126">
        <f>MAX((D126-$P$124),(E126-$P$124))</f>
        <v>4317844</v>
      </c>
      <c r="O126" s="123" t="str">
        <f>IF(B126&gt;=0,"+","-")&amp;FIXED(ABS(B126)/1000,0)</f>
        <v>+437</v>
      </c>
    </row>
    <row r="127" spans="1:16" x14ac:dyDescent="0.25">
      <c r="A127" s="123" t="s">
        <v>489</v>
      </c>
      <c r="B127" s="126">
        <f>CHOOSE(viewIdx,'Cash Flow'!$D$18,'Cash Flow'!$E$18)-CHOOSE(viewIdx,'Cash Flow'!$D$8,'Cash Flow'!$E$8)-CHOOSE(viewIdx,'Cash Flow'!$D$9,'Cash Flow'!$E$9)</f>
        <v>-899880</v>
      </c>
      <c r="C127" s="123" t="s">
        <v>481</v>
      </c>
      <c r="D127" s="126">
        <f>E126</f>
        <v>4317844</v>
      </c>
      <c r="E127" s="126">
        <f>D127+B127</f>
        <v>3417964</v>
      </c>
      <c r="F127" s="126">
        <f>MAX(0,MIN((D127-$P$124),(E127-$P$124)))</f>
        <v>3417964</v>
      </c>
      <c r="G127" s="126">
        <f>0</f>
        <v>0</v>
      </c>
      <c r="H127" s="126">
        <f>IF(B127&gt;=0,(MAX(0,MAX((D127-$P$124),(E127-$P$124)))-MAX(0,MIN((D127-$P$124),(E127-$P$124)))),0)</f>
        <v>0</v>
      </c>
      <c r="I127" s="126">
        <f>IF(B127&lt;0,(MAX(0,MAX((D127-$P$124),(E127-$P$124)))-MAX(0,MIN((D127-$P$124),(E127-$P$124)))),0)</f>
        <v>899880</v>
      </c>
      <c r="J127" s="126">
        <f>MIN(0,MAX((D127-$P$124),(E127-$P$124)))</f>
        <v>0</v>
      </c>
      <c r="K127" s="126">
        <f>0</f>
        <v>0</v>
      </c>
      <c r="L127" s="126">
        <f>IF(B127&gt;=0,(MIN(0,MIN((D127-$P$124),(E127-$P$124)))-MIN(0,MAX((D127-$P$124),(E127-$P$124)))),0)</f>
        <v>0</v>
      </c>
      <c r="M127" s="126">
        <f>IF(B127&lt;0,(MIN(0,MIN((D127-$P$124),(E127-$P$124)))-MIN(0,MAX((D127-$P$124),(E127-$P$124)))),0)</f>
        <v>0</v>
      </c>
      <c r="N127" s="126">
        <f>MAX((D127-$P$124),(E127-$P$124))</f>
        <v>4317844</v>
      </c>
      <c r="O127" s="123" t="str">
        <f>IF(B127&gt;=0,"+","-")&amp;FIXED(ABS(B127)/1000,0)</f>
        <v>-900</v>
      </c>
    </row>
    <row r="128" spans="1:16" x14ac:dyDescent="0.25">
      <c r="A128" s="123" t="s">
        <v>490</v>
      </c>
      <c r="B128" s="126">
        <f>CHOOSE(viewIdx,'Cash Flow'!$D$22,'Cash Flow'!$E$22)</f>
        <v>-585000</v>
      </c>
      <c r="C128" s="123" t="s">
        <v>481</v>
      </c>
      <c r="D128" s="126">
        <f>E127</f>
        <v>3417964</v>
      </c>
      <c r="E128" s="126">
        <f>D128+B128</f>
        <v>2832964</v>
      </c>
      <c r="F128" s="126">
        <f>MAX(0,MIN((D128-$P$124),(E128-$P$124)))</f>
        <v>2832964</v>
      </c>
      <c r="G128" s="126">
        <f>0</f>
        <v>0</v>
      </c>
      <c r="H128" s="126">
        <f>IF(B128&gt;=0,(MAX(0,MAX((D128-$P$124),(E128-$P$124)))-MAX(0,MIN((D128-$P$124),(E128-$P$124)))),0)</f>
        <v>0</v>
      </c>
      <c r="I128" s="126">
        <f>IF(B128&lt;0,(MAX(0,MAX((D128-$P$124),(E128-$P$124)))-MAX(0,MIN((D128-$P$124),(E128-$P$124)))),0)</f>
        <v>585000</v>
      </c>
      <c r="J128" s="126">
        <f>MIN(0,MAX((D128-$P$124),(E128-$P$124)))</f>
        <v>0</v>
      </c>
      <c r="K128" s="126">
        <f>0</f>
        <v>0</v>
      </c>
      <c r="L128" s="126">
        <f>IF(B128&gt;=0,(MIN(0,MIN((D128-$P$124),(E128-$P$124)))-MIN(0,MAX((D128-$P$124),(E128-$P$124)))),0)</f>
        <v>0</v>
      </c>
      <c r="M128" s="126">
        <f>IF(B128&lt;0,(MIN(0,MIN((D128-$P$124),(E128-$P$124)))-MIN(0,MAX((D128-$P$124),(E128-$P$124)))),0)</f>
        <v>0</v>
      </c>
      <c r="N128" s="126">
        <f>MAX((D128-$P$124),(E128-$P$124))</f>
        <v>3417964</v>
      </c>
      <c r="O128" s="123" t="str">
        <f>IF(B128&gt;=0,"+","-")&amp;FIXED(ABS(B128)/1000,0)</f>
        <v>-585</v>
      </c>
    </row>
    <row r="129" spans="1:15" x14ac:dyDescent="0.25">
      <c r="A129" s="123" t="s">
        <v>491</v>
      </c>
      <c r="B129" s="126">
        <f>CHOOSE(viewIdx,'Cash Flow'!$D$30,'Cash Flow'!$E$30)</f>
        <v>-910000</v>
      </c>
      <c r="C129" s="123" t="s">
        <v>481</v>
      </c>
      <c r="D129" s="126">
        <f>E128</f>
        <v>2832964</v>
      </c>
      <c r="E129" s="126">
        <f>D129+B129</f>
        <v>1922964</v>
      </c>
      <c r="F129" s="126">
        <f>MAX(0,MIN((D129-$P$124),(E129-$P$124)))</f>
        <v>1922964</v>
      </c>
      <c r="G129" s="126">
        <f>0</f>
        <v>0</v>
      </c>
      <c r="H129" s="126">
        <f>IF(B129&gt;=0,(MAX(0,MAX((D129-$P$124),(E129-$P$124)))-MAX(0,MIN((D129-$P$124),(E129-$P$124)))),0)</f>
        <v>0</v>
      </c>
      <c r="I129" s="126">
        <f>IF(B129&lt;0,(MAX(0,MAX((D129-$P$124),(E129-$P$124)))-MAX(0,MIN((D129-$P$124),(E129-$P$124)))),0)</f>
        <v>910000</v>
      </c>
      <c r="J129" s="126">
        <f>MIN(0,MAX((D129-$P$124),(E129-$P$124)))</f>
        <v>0</v>
      </c>
      <c r="K129" s="126">
        <f>0</f>
        <v>0</v>
      </c>
      <c r="L129" s="126">
        <f>IF(B129&gt;=0,(MIN(0,MIN((D129-$P$124),(E129-$P$124)))-MIN(0,MAX((D129-$P$124),(E129-$P$124)))),0)</f>
        <v>0</v>
      </c>
      <c r="M129" s="126">
        <f>IF(B129&lt;0,(MIN(0,MIN((D129-$P$124),(E129-$P$124)))-MIN(0,MAX((D129-$P$124),(E129-$P$124)))),0)</f>
        <v>0</v>
      </c>
      <c r="N129" s="126">
        <f>MAX((D129-$P$124),(E129-$P$124))</f>
        <v>2832964</v>
      </c>
      <c r="O129" s="123" t="str">
        <f>IF(B129&gt;=0,"+","-")&amp;FIXED(ABS(B129)/1000,0)</f>
        <v>-910</v>
      </c>
    </row>
    <row r="130" spans="1:15" x14ac:dyDescent="0.25">
      <c r="A130" s="123" t="s">
        <v>492</v>
      </c>
      <c r="B130" s="126">
        <f>CHOOSE(viewIdx,'Cash Flow'!$D$34,'Cash Flow'!$E$34)</f>
        <v>1922964</v>
      </c>
      <c r="C130" s="123" t="s">
        <v>480</v>
      </c>
      <c r="D130" s="126">
        <f>0</f>
        <v>0</v>
      </c>
      <c r="E130" s="126">
        <f>B130</f>
        <v>1922964</v>
      </c>
      <c r="F130" s="126">
        <f>MAX(0,MIN(0,(E130-$P$124)))</f>
        <v>0</v>
      </c>
      <c r="G130" s="126">
        <f>(MAX(0,MAX(0,(E130-$P$124)))-MAX(0,MIN(0,(E130-$P$124))))</f>
        <v>1922964</v>
      </c>
      <c r="H130" s="126">
        <f>0</f>
        <v>0</v>
      </c>
      <c r="I130" s="126">
        <f>0</f>
        <v>0</v>
      </c>
      <c r="J130" s="126">
        <f>MIN(0,MAX(0,(E130-$P$124)))</f>
        <v>0</v>
      </c>
      <c r="K130" s="126">
        <f>(MIN(0,MIN(0,(E130-$P$124)))-MIN(0,MAX(0,(E130-$P$124))))</f>
        <v>0</v>
      </c>
      <c r="L130" s="126">
        <f>0</f>
        <v>0</v>
      </c>
      <c r="M130" s="126">
        <f>0</f>
        <v>0</v>
      </c>
      <c r="N130" s="126">
        <f>MAX(0,(E130-$P$124))</f>
        <v>1922964</v>
      </c>
      <c r="O130" s="123" t="str">
        <f>FIXED(B130/1000,0)</f>
        <v>1,923</v>
      </c>
    </row>
    <row r="132" spans="1:15" x14ac:dyDescent="0.25">
      <c r="A132" s="125" t="s">
        <v>493</v>
      </c>
    </row>
    <row r="133" spans="1:15" x14ac:dyDescent="0.25">
      <c r="A133" s="124" t="s">
        <v>494</v>
      </c>
      <c r="B133" s="124" t="s">
        <v>495</v>
      </c>
      <c r="C133" s="124" t="s">
        <v>496</v>
      </c>
      <c r="D133" s="124" t="s">
        <v>497</v>
      </c>
    </row>
    <row r="134" spans="1:15" x14ac:dyDescent="0.25">
      <c r="A134" s="123" t="s">
        <v>4</v>
      </c>
      <c r="B134" s="126">
        <f>SUM(C52:N52)</f>
        <v>3428300</v>
      </c>
      <c r="C134" s="126">
        <f>0</f>
        <v>0</v>
      </c>
      <c r="D134" s="126">
        <f>B134+C134</f>
        <v>3428300</v>
      </c>
    </row>
    <row r="135" spans="1:15" x14ac:dyDescent="0.25">
      <c r="A135" s="123" t="s">
        <v>498</v>
      </c>
      <c r="B135" s="126">
        <f>SUM(C47:N47)</f>
        <v>2286045</v>
      </c>
      <c r="C135" s="126">
        <f>SUMIF($C$2:$N$2,"&gt;"&amp;mSel,C52:N52)</f>
        <v>849500</v>
      </c>
      <c r="D135" s="126">
        <f>B135+C135</f>
        <v>3135545</v>
      </c>
    </row>
    <row r="137" spans="1:15" x14ac:dyDescent="0.25">
      <c r="A137" s="125" t="s">
        <v>499</v>
      </c>
    </row>
    <row r="138" spans="1:15" x14ac:dyDescent="0.25">
      <c r="A138" s="123" t="s">
        <v>500</v>
      </c>
      <c r="B138" s="123" t="str">
        <f>IF(CHOOSE(viewIdx,'Income Statement'!$D$8,'Income Statement'!$H$8)&lt;0,"-","")&amp;"$"&amp;FIXED(ABS(CHOOSE(viewIdx,'Income Statement'!$D$8,'Income Statement'!$H$8))/1000000,2)&amp;"m"</f>
        <v>$17.89m</v>
      </c>
    </row>
    <row r="139" spans="1:15" x14ac:dyDescent="0.25">
      <c r="A139" s="123" t="s">
        <v>501</v>
      </c>
      <c r="B139" s="123" t="str">
        <f>IF(IFERROR(CHOOSE(viewIdx,'Income Statement'!$F$8,'Income Statement'!$J$8)/ABS(CHOOSE(viewIdx,'Income Statement'!$E$8,'Income Statement'!$I$8)),0)&gt;=0,IF(IFERROR(CHOOSE(viewIdx,'Income Statement'!$F$8,'Income Statement'!$J$8)/ABS(CHOOSE(viewIdx,'Income Statement'!$E$8,'Income Statement'!$I$8)),0)&gt;=0,"▲ "&amp;FIXED(ABS(IFERROR(CHOOSE(viewIdx,'Income Statement'!$F$8,'Income Statement'!$J$8)/ABS(CHOOSE(viewIdx,'Income Statement'!$E$8,'Income Statement'!$I$8)),0))*100,1)&amp;"%"&amp;" vs budget","▼ "&amp;FIXED(ABS(IFERROR(CHOOSE(viewIdx,'Income Statement'!$F$8,'Income Statement'!$J$8)/ABS(CHOOSE(viewIdx,'Income Statement'!$E$8,'Income Statement'!$I$8)),0))*100,1)&amp;"%"&amp;" vs budget"),"")</f>
        <v/>
      </c>
    </row>
    <row r="140" spans="1:15" x14ac:dyDescent="0.25">
      <c r="A140" s="123" t="s">
        <v>502</v>
      </c>
      <c r="B140" s="123" t="str">
        <f>IF(IFERROR(CHOOSE(viewIdx,'Income Statement'!$F$8,'Income Statement'!$J$8)/ABS(CHOOSE(viewIdx,'Income Statement'!$E$8,'Income Statement'!$I$8)),0)&lt;0,IF(IFERROR(CHOOSE(viewIdx,'Income Statement'!$F$8,'Income Statement'!$J$8)/ABS(CHOOSE(viewIdx,'Income Statement'!$E$8,'Income Statement'!$I$8)),0)&gt;=0,"▲ "&amp;FIXED(ABS(IFERROR(CHOOSE(viewIdx,'Income Statement'!$F$8,'Income Statement'!$J$8)/ABS(CHOOSE(viewIdx,'Income Statement'!$E$8,'Income Statement'!$I$8)),0))*100,1)&amp;"%"&amp;" vs budget","▼ "&amp;FIXED(ABS(IFERROR(CHOOSE(viewIdx,'Income Statement'!$F$8,'Income Statement'!$J$8)/ABS(CHOOSE(viewIdx,'Income Statement'!$E$8,'Income Statement'!$I$8)),0))*100,1)&amp;"%"&amp;" vs budget"),"")</f>
        <v>▼ 1.1% vs budget</v>
      </c>
    </row>
    <row r="141" spans="1:15" x14ac:dyDescent="0.25">
      <c r="A141" s="123" t="s">
        <v>503</v>
      </c>
      <c r="B141" s="123" t="str">
        <f>FIXED(CHOOSE(viewIdx,'Income Statement'!$D$11,'Income Statement'!$H$11)*100,1)&amp;"%"</f>
        <v>49.0%</v>
      </c>
    </row>
    <row r="142" spans="1:15" x14ac:dyDescent="0.25">
      <c r="A142" s="123" t="s">
        <v>504</v>
      </c>
      <c r="B142" s="123" t="str">
        <f>IF((CHOOSE(viewIdx,'Income Statement'!$D$11,'Income Statement'!$H$11)-CHOOSE(viewIdx,'Income Statement'!$E$11,'Income Statement'!$I$11))&gt;=0,IF((CHOOSE(viewIdx,'Income Statement'!$D$11,'Income Statement'!$H$11)-CHOOSE(viewIdx,'Income Statement'!$E$11,'Income Statement'!$I$11))&gt;=0,"▲ "&amp;FIXED(ABS((CHOOSE(viewIdx,'Income Statement'!$D$11,'Income Statement'!$H$11)-CHOOSE(viewIdx,'Income Statement'!$E$11,'Income Statement'!$I$11)))*100,1)&amp;"pp"&amp;" vs budget","▼ "&amp;FIXED(ABS((CHOOSE(viewIdx,'Income Statement'!$D$11,'Income Statement'!$H$11)-CHOOSE(viewIdx,'Income Statement'!$E$11,'Income Statement'!$I$11)))*100,1)&amp;"pp"&amp;" vs budget"),"")</f>
        <v/>
      </c>
    </row>
    <row r="143" spans="1:15" x14ac:dyDescent="0.25">
      <c r="A143" s="123" t="s">
        <v>505</v>
      </c>
      <c r="B143" s="123" t="str">
        <f>IF((CHOOSE(viewIdx,'Income Statement'!$D$11,'Income Statement'!$H$11)-CHOOSE(viewIdx,'Income Statement'!$E$11,'Income Statement'!$I$11))&lt;0,IF((CHOOSE(viewIdx,'Income Statement'!$D$11,'Income Statement'!$H$11)-CHOOSE(viewIdx,'Income Statement'!$E$11,'Income Statement'!$I$11))&gt;=0,"▲ "&amp;FIXED(ABS((CHOOSE(viewIdx,'Income Statement'!$D$11,'Income Statement'!$H$11)-CHOOSE(viewIdx,'Income Statement'!$E$11,'Income Statement'!$I$11)))*100,1)&amp;"pp"&amp;" vs budget","▼ "&amp;FIXED(ABS((CHOOSE(viewIdx,'Income Statement'!$D$11,'Income Statement'!$H$11)-CHOOSE(viewIdx,'Income Statement'!$E$11,'Income Statement'!$I$11)))*100,1)&amp;"pp"&amp;" vs budget"),"")</f>
        <v>▼ 0.4pp vs budget</v>
      </c>
    </row>
    <row r="144" spans="1:15" x14ac:dyDescent="0.25">
      <c r="A144" s="123" t="s">
        <v>506</v>
      </c>
      <c r="B144" s="123" t="str">
        <f>IF(CHOOSE(viewIdx,'Income Statement'!$D$25,'Income Statement'!$H$25)&lt;0,"-","")&amp;"$"&amp;FIXED(ABS(CHOOSE(viewIdx,'Income Statement'!$D$25,'Income Statement'!$H$25))/1000000,2)&amp;"m"</f>
        <v>$2.29m</v>
      </c>
    </row>
    <row r="145" spans="1:2" x14ac:dyDescent="0.25">
      <c r="A145" s="123" t="s">
        <v>507</v>
      </c>
      <c r="B145" s="123" t="str">
        <f>IF(IFERROR(CHOOSE(viewIdx,'Income Statement'!$F$25,'Income Statement'!$J$25)/ABS(CHOOSE(viewIdx,'Income Statement'!$E$25,'Income Statement'!$I$25)),0)&gt;=0,IF(IFERROR(CHOOSE(viewIdx,'Income Statement'!$F$25,'Income Statement'!$J$25)/ABS(CHOOSE(viewIdx,'Income Statement'!$E$25,'Income Statement'!$I$25)),0)&gt;=0,"▲ "&amp;FIXED(ABS(IFERROR(CHOOSE(viewIdx,'Income Statement'!$F$25,'Income Statement'!$J$25)/ABS(CHOOSE(viewIdx,'Income Statement'!$E$25,'Income Statement'!$I$25)),0))*100,1)&amp;"%"&amp;" vs budget","▼ "&amp;FIXED(ABS(IFERROR(CHOOSE(viewIdx,'Income Statement'!$F$25,'Income Statement'!$J$25)/ABS(CHOOSE(viewIdx,'Income Statement'!$E$25,'Income Statement'!$I$25)),0))*100,1)&amp;"%"&amp;" vs budget"),"")</f>
        <v/>
      </c>
    </row>
    <row r="146" spans="1:2" x14ac:dyDescent="0.25">
      <c r="A146" s="123" t="s">
        <v>508</v>
      </c>
      <c r="B146" s="123" t="str">
        <f>IF(IFERROR(CHOOSE(viewIdx,'Income Statement'!$F$25,'Income Statement'!$J$25)/ABS(CHOOSE(viewIdx,'Income Statement'!$E$25,'Income Statement'!$I$25)),0)&lt;0,IF(IFERROR(CHOOSE(viewIdx,'Income Statement'!$F$25,'Income Statement'!$J$25)/ABS(CHOOSE(viewIdx,'Income Statement'!$E$25,'Income Statement'!$I$25)),0)&gt;=0,"▲ "&amp;FIXED(ABS(IFERROR(CHOOSE(viewIdx,'Income Statement'!$F$25,'Income Statement'!$J$25)/ABS(CHOOSE(viewIdx,'Income Statement'!$E$25,'Income Statement'!$I$25)),0))*100,1)&amp;"%"&amp;" vs budget","▼ "&amp;FIXED(ABS(IFERROR(CHOOSE(viewIdx,'Income Statement'!$F$25,'Income Statement'!$J$25)/ABS(CHOOSE(viewIdx,'Income Statement'!$E$25,'Income Statement'!$I$25)),0))*100,1)&amp;"%"&amp;" vs budget"),"")</f>
        <v>▼ 11.4% vs budget</v>
      </c>
    </row>
    <row r="147" spans="1:2" x14ac:dyDescent="0.25">
      <c r="A147" s="123" t="s">
        <v>509</v>
      </c>
      <c r="B147" s="123" t="str">
        <f>IF(CHOOSE(viewIdx,'Income Statement'!$D$32,'Income Statement'!$H$32)&lt;0,"-","")&amp;"$"&amp;FIXED(ABS(CHOOSE(viewIdx,'Income Statement'!$D$32,'Income Statement'!$H$32))/1000000,2)&amp;"m"</f>
        <v>$1.31m</v>
      </c>
    </row>
    <row r="148" spans="1:2" x14ac:dyDescent="0.25">
      <c r="A148" s="123" t="s">
        <v>510</v>
      </c>
      <c r="B148" s="123" t="str">
        <f>IF(IFERROR(CHOOSE(viewIdx,'Income Statement'!$F$32,'Income Statement'!$J$32)/ABS(CHOOSE(viewIdx,'Income Statement'!$E$32,'Income Statement'!$I$32)),0)&gt;=0,IF(IFERROR(CHOOSE(viewIdx,'Income Statement'!$F$32,'Income Statement'!$J$32)/ABS(CHOOSE(viewIdx,'Income Statement'!$E$32,'Income Statement'!$I$32)),0)&gt;=0,"▲ "&amp;FIXED(ABS(IFERROR(CHOOSE(viewIdx,'Income Statement'!$F$32,'Income Statement'!$J$32)/ABS(CHOOSE(viewIdx,'Income Statement'!$E$32,'Income Statement'!$I$32)),0))*100,1)&amp;"%"&amp;" vs budget","▼ "&amp;FIXED(ABS(IFERROR(CHOOSE(viewIdx,'Income Statement'!$F$32,'Income Statement'!$J$32)/ABS(CHOOSE(viewIdx,'Income Statement'!$E$32,'Income Statement'!$I$32)),0))*100,1)&amp;"%"&amp;" vs budget"),"")</f>
        <v/>
      </c>
    </row>
    <row r="149" spans="1:2" x14ac:dyDescent="0.25">
      <c r="A149" s="123" t="s">
        <v>511</v>
      </c>
      <c r="B149" s="123" t="str">
        <f>IF(IFERROR(CHOOSE(viewIdx,'Income Statement'!$F$32,'Income Statement'!$J$32)/ABS(CHOOSE(viewIdx,'Income Statement'!$E$32,'Income Statement'!$I$32)),0)&lt;0,IF(IFERROR(CHOOSE(viewIdx,'Income Statement'!$F$32,'Income Statement'!$J$32)/ABS(CHOOSE(viewIdx,'Income Statement'!$E$32,'Income Statement'!$I$32)),0)&gt;=0,"▲ "&amp;FIXED(ABS(IFERROR(CHOOSE(viewIdx,'Income Statement'!$F$32,'Income Statement'!$J$32)/ABS(CHOOSE(viewIdx,'Income Statement'!$E$32,'Income Statement'!$I$32)),0))*100,1)&amp;"%"&amp;" vs budget","▼ "&amp;FIXED(ABS(IFERROR(CHOOSE(viewIdx,'Income Statement'!$F$32,'Income Statement'!$J$32)/ABS(CHOOSE(viewIdx,'Income Statement'!$E$32,'Income Statement'!$I$32)),0))*100,1)&amp;"%"&amp;" vs budget"),"")</f>
        <v>▼ 14.3% vs budget</v>
      </c>
    </row>
    <row r="150" spans="1:2" x14ac:dyDescent="0.25">
      <c r="A150" s="123" t="s">
        <v>512</v>
      </c>
      <c r="B150" s="123" t="str">
        <f>IF(CHOOSE(viewIdx,'Cash Flow'!$D$18,'Cash Flow'!$E$18)&lt;0,"-","")&amp;"$"&amp;FIXED(ABS(CHOOSE(viewIdx,'Cash Flow'!$D$18,'Cash Flow'!$E$18))/1000000,2)&amp;"m"</f>
        <v>$0.85m</v>
      </c>
    </row>
    <row r="151" spans="1:2" x14ac:dyDescent="0.25">
      <c r="A151" s="123" t="s">
        <v>513</v>
      </c>
      <c r="B151" s="123" t="str">
        <f>IF(CHOOSE(viewIdx,'Cash Flow'!$D$18,'Cash Flow'!$E$18)-CHOOSE(viewIdx,'Cash Flow'!$D$8,'Cash Flow'!$E$8)&gt;=0,IF(CHOOSE(viewIdx,'Cash Flow'!$D$18,'Cash Flow'!$E$18)-CHOOSE(viewIdx,'Cash Flow'!$D$8,'Cash Flow'!$E$8)&gt;=0,"▲ "&amp;"$"&amp;FIXED(ABS(CHOOSE(viewIdx,'Cash Flow'!$D$18,'Cash Flow'!$E$18)-CHOOSE(viewIdx,'Cash Flow'!$D$8,'Cash Flow'!$E$8))/1000,0)&amp;"k"&amp;" vs net profit","▼ "&amp;"$"&amp;FIXED(ABS(CHOOSE(viewIdx,'Cash Flow'!$D$18,'Cash Flow'!$E$18)-CHOOSE(viewIdx,'Cash Flow'!$D$8,'Cash Flow'!$E$8))/1000,0)&amp;"k"&amp;" vs net profit"),"")</f>
        <v/>
      </c>
    </row>
    <row r="152" spans="1:2" x14ac:dyDescent="0.25">
      <c r="A152" s="123" t="s">
        <v>514</v>
      </c>
      <c r="B152" s="123" t="str">
        <f>IF(CHOOSE(viewIdx,'Cash Flow'!$D$18,'Cash Flow'!$E$18)-CHOOSE(viewIdx,'Cash Flow'!$D$8,'Cash Flow'!$E$8)&lt;0,IF(CHOOSE(viewIdx,'Cash Flow'!$D$18,'Cash Flow'!$E$18)-CHOOSE(viewIdx,'Cash Flow'!$D$8,'Cash Flow'!$E$8)&gt;=0,"▲ "&amp;"$"&amp;FIXED(ABS(CHOOSE(viewIdx,'Cash Flow'!$D$18,'Cash Flow'!$E$18)-CHOOSE(viewIdx,'Cash Flow'!$D$8,'Cash Flow'!$E$8))/1000,0)&amp;"k"&amp;" vs net profit","▼ "&amp;"$"&amp;FIXED(ABS(CHOOSE(viewIdx,'Cash Flow'!$D$18,'Cash Flow'!$E$18)-CHOOSE(viewIdx,'Cash Flow'!$D$8,'Cash Flow'!$E$8))/1000,0)&amp;"k"&amp;" vs net profit"),"")</f>
        <v>▼ $463k vs net profit</v>
      </c>
    </row>
    <row r="153" spans="1:2" x14ac:dyDescent="0.25">
      <c r="A153" s="123" t="s">
        <v>515</v>
      </c>
      <c r="B153" s="123" t="str">
        <f>IF(KPIs!$E$17&lt;0,"-","")&amp;"$"&amp;FIXED(ABS(KPIs!$E$17)/1000000,2)&amp;"m"</f>
        <v>$1.92m</v>
      </c>
    </row>
    <row r="154" spans="1:2" x14ac:dyDescent="0.25">
      <c r="A154" s="123" t="s">
        <v>516</v>
      </c>
      <c r="B154" s="123" t="str">
        <f>IF(('Balance Sheet'!$D$17-'Balance Sheet'!$E$17)&gt;=0,IF(('Balance Sheet'!$D$17-'Balance Sheet'!$E$17)&gt;=0,"▲ "&amp;"$"&amp;FIXED(ABS(('Balance Sheet'!$D$17-'Balance Sheet'!$E$17))/1000,0)&amp;"k"&amp;" vs prior month","▼ "&amp;"$"&amp;FIXED(ABS(('Balance Sheet'!$D$17-'Balance Sheet'!$E$17))/1000,0)&amp;"k"&amp;" vs prior month"),"")</f>
        <v>▲ $111k vs prior month</v>
      </c>
    </row>
    <row r="155" spans="1:2" x14ac:dyDescent="0.25">
      <c r="A155" s="123" t="s">
        <v>517</v>
      </c>
      <c r="B155" s="123" t="str">
        <f>IF(('Balance Sheet'!$D$17-'Balance Sheet'!$E$17)&lt;0,IF(('Balance Sheet'!$D$17-'Balance Sheet'!$E$17)&gt;=0,"▲ "&amp;"$"&amp;FIXED(ABS(('Balance Sheet'!$D$17-'Balance Sheet'!$E$17))/1000,0)&amp;"k"&amp;" vs prior month","▼ "&amp;"$"&amp;FIXED(ABS(('Balance Sheet'!$D$17-'Balance Sheet'!$E$17))/1000,0)&amp;"k"&amp;" vs prior month"),"")</f>
        <v/>
      </c>
    </row>
    <row r="156" spans="1:2" x14ac:dyDescent="0.25">
      <c r="A156" s="123" t="s">
        <v>518</v>
      </c>
      <c r="B156" s="123" t="str">
        <f>IF(INDEX(Analytics!C58:'Analytics'!N58,mSel)&lt;0,"-","")&amp;"$"&amp;FIXED(ABS(INDEX(Analytics!C58:'Analytics'!N58,mSel))/1000000,2)&amp;"m"</f>
        <v>-$0.18m</v>
      </c>
    </row>
    <row r="157" spans="1:2" x14ac:dyDescent="0.25">
      <c r="A157" s="123" t="s">
        <v>519</v>
      </c>
      <c r="B157" s="123" t="str">
        <f>IF((INDEX(Analytics!C58:N58,mSel)-IF(mSel&gt;1,INDEX(Analytics!C58:N58,mSel-1),INDEX(Analytics!C58:N58,mSel)))&lt;=0,IF((INDEX(Analytics!C58:N58,mSel)-IF(mSel&gt;1,INDEX(Analytics!C58:N58,mSel-1),INDEX(Analytics!C58:N58,mSel)))&gt;=0,"▲ "&amp;"$"&amp;FIXED(ABS((INDEX(Analytics!C58:N58,mSel)-IF(mSel&gt;1,INDEX(Analytics!C58:N58,mSel-1),INDEX(Analytics!C58:N58,mSel))))/1000,0)&amp;"k"&amp;" vs prior month","▼ "&amp;"$"&amp;FIXED(ABS((INDEX(Analytics!C58:N58,mSel)-IF(mSel&gt;1,INDEX(Analytics!C58:N58,mSel-1),INDEX(Analytics!C58:N58,mSel))))/1000,0)&amp;"k"&amp;" vs prior month"),"")</f>
        <v>▼ $171k vs prior month</v>
      </c>
    </row>
    <row r="158" spans="1:2" x14ac:dyDescent="0.25">
      <c r="A158" s="123" t="s">
        <v>520</v>
      </c>
      <c r="B158" s="123" t="str">
        <f>IF((INDEX(Analytics!C58:N58,mSel)-IF(mSel&gt;1,INDEX(Analytics!C58:N58,mSel-1),INDEX(Analytics!C58:N58,mSel)))&gt;0,IF((INDEX(Analytics!C58:N58,mSel)-IF(mSel&gt;1,INDEX(Analytics!C58:N58,mSel-1),INDEX(Analytics!C58:N58,mSel)))&gt;=0,"▲ "&amp;"$"&amp;FIXED(ABS((INDEX(Analytics!C58:N58,mSel)-IF(mSel&gt;1,INDEX(Analytics!C58:N58,mSel-1),INDEX(Analytics!C58:N58,mSel))))/1000,0)&amp;"k"&amp;" vs prior month","▼ "&amp;"$"&amp;FIXED(ABS((INDEX(Analytics!C58:N58,mSel)-IF(mSel&gt;1,INDEX(Analytics!C58:N58,mSel-1),INDEX(Analytics!C58:N58,mSel))))/1000,0)&amp;"k"&amp;" vs prior month"),"")</f>
        <v/>
      </c>
    </row>
    <row r="159" spans="1:2" x14ac:dyDescent="0.25">
      <c r="A159" s="123" t="s">
        <v>521</v>
      </c>
      <c r="B159" s="123" t="str">
        <f>FIXED(KPIs!$E$15,2)&amp;"x"</f>
        <v>3.77x</v>
      </c>
    </row>
    <row r="160" spans="1:2" x14ac:dyDescent="0.25">
      <c r="A160" s="123" t="s">
        <v>522</v>
      </c>
      <c r="B160" s="123" t="str">
        <f>IF((KPIs!$E$15-KPIs!$F$15)&gt;=0,IF((KPIs!$E$15-KPIs!$F$15)&gt;=0,"▲ "&amp;FIXED(ABS((KPIs!$E$15-KPIs!$F$15)),2)&amp;"x"&amp;" vs target","▼ "&amp;FIXED(ABS((KPIs!$E$15-KPIs!$F$15)),2)&amp;"x"&amp;" vs target"),"")</f>
        <v>▲ 2.27x vs target</v>
      </c>
    </row>
    <row r="161" spans="1:2" x14ac:dyDescent="0.25">
      <c r="A161" s="123" t="s">
        <v>523</v>
      </c>
      <c r="B161" s="123" t="str">
        <f>IF((KPIs!$E$15-KPIs!$F$15)&lt;0,IF((KPIs!$E$15-KPIs!$F$15)&gt;=0,"▲ "&amp;FIXED(ABS((KPIs!$E$15-KPIs!$F$15)),2)&amp;"x"&amp;" vs target","▼ "&amp;FIXED(ABS((KPIs!$E$15-KPIs!$F$15)),2)&amp;"x"&amp;" vs target"),"")</f>
        <v/>
      </c>
    </row>
    <row r="162" spans="1:2" x14ac:dyDescent="0.25">
      <c r="A162" s="123" t="s">
        <v>524</v>
      </c>
      <c r="B162" s="123" t="str">
        <f>FIXED(KPIs!$E$20,0)</f>
        <v>46</v>
      </c>
    </row>
    <row r="163" spans="1:2" x14ac:dyDescent="0.25">
      <c r="A163" s="123" t="s">
        <v>525</v>
      </c>
      <c r="B163" s="123" t="str">
        <f>IF((KPIs!$E$20-KPIs!$F$20)&lt;=0,IF((KPIs!$E$20-KPIs!$F$20)&gt;=0,"▲ "&amp;FIXED(ABS((KPIs!$E$20-KPIs!$F$20)),1)&amp;" days"&amp;" vs target","▼ "&amp;FIXED(ABS((KPIs!$E$20-KPIs!$F$20)),1)&amp;" days"&amp;" vs target"),"")</f>
        <v/>
      </c>
    </row>
    <row r="164" spans="1:2" x14ac:dyDescent="0.25">
      <c r="A164" s="123" t="s">
        <v>526</v>
      </c>
      <c r="B164" s="123" t="str">
        <f>IF((KPIs!$E$20-KPIs!$F$20)&gt;0,IF((KPIs!$E$20-KPIs!$F$20)&gt;=0,"▲ "&amp;FIXED(ABS((KPIs!$E$20-KPIs!$F$20)),1)&amp;" days"&amp;" vs target","▼ "&amp;FIXED(ABS((KPIs!$E$20-KPIs!$F$20)),1)&amp;" days"&amp;" vs target"),"")</f>
        <v>▲ 0.5 days vs target</v>
      </c>
    </row>
    <row r="165" spans="1:2" x14ac:dyDescent="0.25">
      <c r="A165" s="123" t="s">
        <v>527</v>
      </c>
      <c r="B165" s="123" t="str">
        <f>FIXED(KPIs!$E$23,0)&amp;" days"</f>
        <v>64 days</v>
      </c>
    </row>
    <row r="166" spans="1:2" x14ac:dyDescent="0.25">
      <c r="A166" s="123" t="s">
        <v>528</v>
      </c>
      <c r="B166" s="123" t="str">
        <f>IF((KPIs!$E$23-KPIs!$F$23)&lt;=0,IF((KPIs!$E$23-KPIs!$F$23)&gt;=0,"▲ "&amp;FIXED(ABS((KPIs!$E$23-KPIs!$F$23)),1)&amp;" days"&amp;" vs target","▼ "&amp;FIXED(ABS((KPIs!$E$23-KPIs!$F$23)),1)&amp;" days"&amp;" vs target"),"")</f>
        <v/>
      </c>
    </row>
    <row r="167" spans="1:2" x14ac:dyDescent="0.25">
      <c r="A167" s="123" t="s">
        <v>529</v>
      </c>
      <c r="B167" s="123" t="str">
        <f>IF((KPIs!$E$23-KPIs!$F$23)&gt;0,IF((KPIs!$E$23-KPIs!$F$23)&gt;=0,"▲ "&amp;FIXED(ABS((KPIs!$E$23-KPIs!$F$23)),1)&amp;" days"&amp;" vs target","▼ "&amp;FIXED(ABS((KPIs!$E$23-KPIs!$F$23)),1)&amp;" days"&amp;" vs target"),"")</f>
        <v>▲ 3.9 days vs target</v>
      </c>
    </row>
    <row r="168" spans="1:2" x14ac:dyDescent="0.25">
      <c r="A168" s="123" t="s">
        <v>530</v>
      </c>
      <c r="B168" s="123" t="str">
        <f>FIXED(KPIs!$E$18,1)</f>
        <v>1.2</v>
      </c>
    </row>
    <row r="169" spans="1:2" x14ac:dyDescent="0.25">
      <c r="A169" s="123" t="s">
        <v>531</v>
      </c>
      <c r="B169" s="123" t="str">
        <f>IF((KPIs!$E$18-KPIs!$F$18)&gt;=0,IF((KPIs!$E$18-KPIs!$F$18)&gt;=0,"▲ "&amp;FIXED(ABS((KPIs!$E$18-KPIs!$F$18)),1)&amp;" months"&amp;" vs target","▼ "&amp;FIXED(ABS((KPIs!$E$18-KPIs!$F$18)),1)&amp;" months"&amp;" vs target"),"")</f>
        <v/>
      </c>
    </row>
    <row r="170" spans="1:2" x14ac:dyDescent="0.25">
      <c r="A170" s="123" t="s">
        <v>532</v>
      </c>
      <c r="B170" s="123" t="str">
        <f>IF((KPIs!$E$18-KPIs!$F$18)&lt;0,IF((KPIs!$E$18-KPIs!$F$18)&gt;=0,"▲ "&amp;FIXED(ABS((KPIs!$E$18-KPIs!$F$18)),1)&amp;" months"&amp;" vs target","▼ "&amp;FIXED(ABS((KPIs!$E$18-KPIs!$F$18)),1)&amp;" months"&amp;" vs target"),"")</f>
        <v>▼ 0.8 months vs target</v>
      </c>
    </row>
    <row r="171" spans="1:2" x14ac:dyDescent="0.25">
      <c r="A171" s="123" t="s">
        <v>533</v>
      </c>
      <c r="B171" s="123" t="str">
        <f>IF(Analytics!$D$135&lt;0,"-","")&amp;"$"&amp;FIXED(ABS(Analytics!$D$135)/1000000,2)&amp;"m"</f>
        <v>$3.14m</v>
      </c>
    </row>
    <row r="172" spans="1:2" x14ac:dyDescent="0.25">
      <c r="A172" s="123" t="s">
        <v>534</v>
      </c>
      <c r="B172" s="123" t="str">
        <f>IF(IFERROR(Analytics!$D$135/Analytics!$D$134-1,0)&gt;=0,IF(IFERROR(Analytics!$D$135/Analytics!$D$134-1,0)&gt;=0,"▲ "&amp;FIXED(ABS(IFERROR(Analytics!$D$135/Analytics!$D$134-1,0))*100,1)&amp;"%"&amp;" vs budget","▼ "&amp;FIXED(ABS(IFERROR(Analytics!$D$135/Analytics!$D$134-1,0))*100,1)&amp;"%"&amp;" vs budget"),"")</f>
        <v/>
      </c>
    </row>
    <row r="173" spans="1:2" x14ac:dyDescent="0.25">
      <c r="A173" s="123" t="s">
        <v>535</v>
      </c>
      <c r="B173" s="123" t="str">
        <f>IF(IFERROR(Analytics!$D$135/Analytics!$D$134-1,0)&lt;0,IF(IFERROR(Analytics!$D$135/Analytics!$D$134-1,0)&gt;=0,"▲ "&amp;FIXED(ABS(IFERROR(Analytics!$D$135/Analytics!$D$134-1,0))*100,1)&amp;"%"&amp;" vs budget","▼ "&amp;FIXED(ABS(IFERROR(Analytics!$D$135/Analytics!$D$134-1,0))*100,1)&amp;"%"&amp;" vs budget"),"")</f>
        <v>▼ 8.5% vs budget</v>
      </c>
    </row>
    <row r="174" spans="1:2" x14ac:dyDescent="0.25">
      <c r="A174" s="123" t="s">
        <v>536</v>
      </c>
      <c r="B174" s="123" t="str">
        <f>INDEX(tblMetric[Metric],metIdx)&amp;" by month, $k: actual vs budget"</f>
        <v>Revenue by month, $k: actual vs budget</v>
      </c>
    </row>
    <row r="175" spans="1:2" x14ac:dyDescent="0.25">
      <c r="A175" s="123" t="s">
        <v>537</v>
      </c>
      <c r="B175" s="123" t="str">
        <f>"EBITDA bridge, budget to actual, $k: "&amp;viewLbl&amp;" (axis truncated)"</f>
        <v>EBITDA bridge, budget to actual, $k: YTD October 2026 (axis truncated)</v>
      </c>
    </row>
    <row r="176" spans="1:2" x14ac:dyDescent="0.25">
      <c r="A176" s="123" t="s">
        <v>538</v>
      </c>
      <c r="B176" s="123" t="str">
        <f>"Cash bridge, $k: "&amp;viewLbl&amp;" (axis truncated)"</f>
        <v>Cash bridge, $k: YTD October 2026 (axis truncated)</v>
      </c>
    </row>
    <row r="177" spans="1:2" x14ac:dyDescent="0.25">
      <c r="A177" s="123" t="s">
        <v>539</v>
      </c>
      <c r="B177" s="123" t="str">
        <f>"Operating costs, $k: "&amp;viewLbl&amp;", "&amp;costLbl</f>
        <v>Operating costs, $k: YTD October 2026, all cost lines</v>
      </c>
    </row>
    <row r="178" spans="1:2" x14ac:dyDescent="0.25">
      <c r="A178" s="123" t="s">
        <v>540</v>
      </c>
      <c r="B178" s="123" t="str">
        <f>"EBITDA margin by month: actual vs budget"</f>
        <v>EBITDA margin by month: actual vs budget</v>
      </c>
    </row>
    <row r="179" spans="1:2" x14ac:dyDescent="0.25">
      <c r="A179" s="123" t="s">
        <v>541</v>
      </c>
      <c r="B179" s="123" t="str">
        <f>"Working capital days"</f>
        <v>Working capital days</v>
      </c>
    </row>
    <row r="180" spans="1:2" x14ac:dyDescent="0.25">
      <c r="A180" s="123" t="s">
        <v>542</v>
      </c>
      <c r="B180" s="123" t="str">
        <f>"Net cash and net debt, $k"</f>
        <v>Net cash and net debt, $k</v>
      </c>
    </row>
    <row r="181" spans="1:2" x14ac:dyDescent="0.25">
      <c r="A181" s="123" t="s">
        <v>543</v>
      </c>
      <c r="B181" s="123" t="str">
        <f>"What funds the balance sheet, $k"</f>
        <v>What funds the balance sheet, $k</v>
      </c>
    </row>
    <row r="182" spans="1:2" x14ac:dyDescent="0.25">
      <c r="A182" s="123" t="s">
        <v>544</v>
      </c>
      <c r="B182" s="123" t="str">
        <f>"Full-year EBITDA landing, $k: actual to date plus remaining budget"</f>
        <v>Full-year EBITDA landing, $k: actual to date plus remaining budget</v>
      </c>
    </row>
    <row r="183" spans="1:2" x14ac:dyDescent="0.25">
      <c r="A183" s="123" t="s">
        <v>545</v>
      </c>
      <c r="B183" s="123" t="str">
        <f>"Cumulative revenue, $k"</f>
        <v>Cumulative revenue, $k</v>
      </c>
    </row>
    <row r="184" spans="1:2" x14ac:dyDescent="0.25">
      <c r="A184" s="123" t="s">
        <v>546</v>
      </c>
      <c r="B184" s="123" t="str">
        <f>"Operating costs by month, $k"</f>
        <v>Operating costs by month, $k</v>
      </c>
    </row>
    <row r="185" spans="1:2" x14ac:dyDescent="0.25">
      <c r="A185" s="123" t="s">
        <v>547</v>
      </c>
      <c r="B185" s="123" t="str">
        <f>"Selected cost lines by month, $k: "&amp;costLbl</f>
        <v>Selected cost lines by month, $k: all cost lines</v>
      </c>
    </row>
    <row r="186" spans="1:2" x14ac:dyDescent="0.25">
      <c r="A186" s="123" t="s">
        <v>548</v>
      </c>
      <c r="B186" s="123" t="str">
        <f>"Cash flow by month, $k"</f>
        <v>Cash flow by month, $k</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B4BCC8"/>
  </sheetPr>
  <dimension ref="B1:D42"/>
  <sheetViews>
    <sheetView workbookViewId="0"/>
  </sheetViews>
  <sheetFormatPr defaultRowHeight="15" x14ac:dyDescent="0.25"/>
  <cols>
    <col min="1" max="1" width="2" customWidth="1"/>
    <col min="2" max="5" width="24.28515625" customWidth="1"/>
  </cols>
  <sheetData>
    <row r="1" spans="2:4" x14ac:dyDescent="0.25">
      <c r="B1" s="122" t="s">
        <v>414</v>
      </c>
    </row>
    <row r="3" spans="2:4" x14ac:dyDescent="0.25">
      <c r="B3" t="s">
        <v>415</v>
      </c>
      <c r="C3" t="s">
        <v>108</v>
      </c>
      <c r="D3" t="s">
        <v>416</v>
      </c>
    </row>
    <row r="4" spans="2:4" hidden="1" x14ac:dyDescent="0.25">
      <c r="B4">
        <v>1</v>
      </c>
      <c r="C4" t="str">
        <f>TEXT(tblMonth[[#This Row],[N]],"00")&amp;" "&amp;TEXT(INDEX(Setup!$B$24:$B$35,tblMonth[[#This Row],[N]]),"mmm")</f>
        <v>01 Jan</v>
      </c>
      <c r="D4">
        <f>SUBTOTAL(103,tblMonth[[#This Row],[N]])</f>
        <v>0</v>
      </c>
    </row>
    <row r="5" spans="2:4" hidden="1" x14ac:dyDescent="0.25">
      <c r="B5">
        <v>2</v>
      </c>
      <c r="C5" t="str">
        <f>TEXT(tblMonth[[#This Row],[N]],"00")&amp;" "&amp;TEXT(INDEX(Setup!$B$24:$B$35,tblMonth[[#This Row],[N]]),"mmm")</f>
        <v>02 Feb</v>
      </c>
      <c r="D5">
        <f>SUBTOTAL(103,tblMonth[[#This Row],[N]])</f>
        <v>0</v>
      </c>
    </row>
    <row r="6" spans="2:4" hidden="1" x14ac:dyDescent="0.25">
      <c r="B6">
        <v>3</v>
      </c>
      <c r="C6" t="str">
        <f>TEXT(tblMonth[[#This Row],[N]],"00")&amp;" "&amp;TEXT(INDEX(Setup!$B$24:$B$35,tblMonth[[#This Row],[N]]),"mmm")</f>
        <v>03 Mar</v>
      </c>
      <c r="D6">
        <f>SUBTOTAL(103,tblMonth[[#This Row],[N]])</f>
        <v>0</v>
      </c>
    </row>
    <row r="7" spans="2:4" hidden="1" x14ac:dyDescent="0.25">
      <c r="B7">
        <v>4</v>
      </c>
      <c r="C7" t="str">
        <f>TEXT(tblMonth[[#This Row],[N]],"00")&amp;" "&amp;TEXT(INDEX(Setup!$B$24:$B$35,tblMonth[[#This Row],[N]]),"mmm")</f>
        <v>04 Apr</v>
      </c>
      <c r="D7">
        <f>SUBTOTAL(103,tblMonth[[#This Row],[N]])</f>
        <v>0</v>
      </c>
    </row>
    <row r="8" spans="2:4" hidden="1" x14ac:dyDescent="0.25">
      <c r="B8">
        <v>5</v>
      </c>
      <c r="C8" t="str">
        <f>TEXT(tblMonth[[#This Row],[N]],"00")&amp;" "&amp;TEXT(INDEX(Setup!$B$24:$B$35,tblMonth[[#This Row],[N]]),"mmm")</f>
        <v>05 May</v>
      </c>
      <c r="D8">
        <f>SUBTOTAL(103,tblMonth[[#This Row],[N]])</f>
        <v>0</v>
      </c>
    </row>
    <row r="9" spans="2:4" hidden="1" x14ac:dyDescent="0.25">
      <c r="B9">
        <v>6</v>
      </c>
      <c r="C9" t="str">
        <f>TEXT(tblMonth[[#This Row],[N]],"00")&amp;" "&amp;TEXT(INDEX(Setup!$B$24:$B$35,tblMonth[[#This Row],[N]]),"mmm")</f>
        <v>06 Jun</v>
      </c>
      <c r="D9">
        <f>SUBTOTAL(103,tblMonth[[#This Row],[N]])</f>
        <v>0</v>
      </c>
    </row>
    <row r="10" spans="2:4" hidden="1" x14ac:dyDescent="0.25">
      <c r="B10">
        <v>7</v>
      </c>
      <c r="C10" t="str">
        <f>TEXT(tblMonth[[#This Row],[N]],"00")&amp;" "&amp;TEXT(INDEX(Setup!$B$24:$B$35,tblMonth[[#This Row],[N]]),"mmm")</f>
        <v>07 Jul</v>
      </c>
      <c r="D10">
        <f>SUBTOTAL(103,tblMonth[[#This Row],[N]])</f>
        <v>0</v>
      </c>
    </row>
    <row r="11" spans="2:4" hidden="1" x14ac:dyDescent="0.25">
      <c r="B11">
        <v>8</v>
      </c>
      <c r="C11" t="str">
        <f>TEXT(tblMonth[[#This Row],[N]],"00")&amp;" "&amp;TEXT(INDEX(Setup!$B$24:$B$35,tblMonth[[#This Row],[N]]),"mmm")</f>
        <v>08 Aug</v>
      </c>
      <c r="D11">
        <f>SUBTOTAL(103,tblMonth[[#This Row],[N]])</f>
        <v>0</v>
      </c>
    </row>
    <row r="12" spans="2:4" hidden="1" x14ac:dyDescent="0.25">
      <c r="B12">
        <v>9</v>
      </c>
      <c r="C12" t="str">
        <f>TEXT(tblMonth[[#This Row],[N]],"00")&amp;" "&amp;TEXT(INDEX(Setup!$B$24:$B$35,tblMonth[[#This Row],[N]]),"mmm")</f>
        <v>09 Sep</v>
      </c>
      <c r="D12">
        <f>SUBTOTAL(103,tblMonth[[#This Row],[N]])</f>
        <v>0</v>
      </c>
    </row>
    <row r="13" spans="2:4" x14ac:dyDescent="0.25">
      <c r="B13">
        <v>10</v>
      </c>
      <c r="C13" t="str">
        <f>TEXT(tblMonth[[#This Row],[N]],"00")&amp;" "&amp;TEXT(INDEX(Setup!$B$24:$B$35,tblMonth[[#This Row],[N]]),"mmm")</f>
        <v>10 Oct</v>
      </c>
      <c r="D13">
        <f>SUBTOTAL(103,tblMonth[[#This Row],[N]])</f>
        <v>1</v>
      </c>
    </row>
    <row r="14" spans="2:4" hidden="1" x14ac:dyDescent="0.25">
      <c r="B14">
        <v>11</v>
      </c>
      <c r="C14" t="str">
        <f>TEXT(tblMonth[[#This Row],[N]],"00")&amp;" "&amp;TEXT(INDEX(Setup!$B$24:$B$35,tblMonth[[#This Row],[N]]),"mmm")</f>
        <v>11 Nov</v>
      </c>
      <c r="D14">
        <f>SUBTOTAL(103,tblMonth[[#This Row],[N]])</f>
        <v>0</v>
      </c>
    </row>
    <row r="15" spans="2:4" hidden="1" x14ac:dyDescent="0.25">
      <c r="B15">
        <v>12</v>
      </c>
      <c r="C15" t="str">
        <f>TEXT(tblMonth[[#This Row],[N]],"00")&amp;" "&amp;TEXT(INDEX(Setup!$B$24:$B$35,tblMonth[[#This Row],[N]]),"mmm")</f>
        <v>12 Dec</v>
      </c>
      <c r="D15">
        <f>SUBTOTAL(103,tblMonth[[#This Row],[N]])</f>
        <v>0</v>
      </c>
    </row>
    <row r="19" spans="2:3" x14ac:dyDescent="0.25">
      <c r="B19" t="s">
        <v>417</v>
      </c>
      <c r="C19" t="s">
        <v>416</v>
      </c>
    </row>
    <row r="20" spans="2:3" hidden="1" x14ac:dyDescent="0.25">
      <c r="B20" t="s">
        <v>108</v>
      </c>
      <c r="C20">
        <f>SUBTOTAL(103,tblView[[#This Row],[View]])</f>
        <v>0</v>
      </c>
    </row>
    <row r="21" spans="2:3" x14ac:dyDescent="0.25">
      <c r="B21" t="s">
        <v>418</v>
      </c>
      <c r="C21">
        <f>SUBTOTAL(103,tblView[[#This Row],[View]])</f>
        <v>1</v>
      </c>
    </row>
    <row r="24" spans="2:3" x14ac:dyDescent="0.25">
      <c r="B24" t="s">
        <v>419</v>
      </c>
      <c r="C24" t="s">
        <v>416</v>
      </c>
    </row>
    <row r="25" spans="2:3" x14ac:dyDescent="0.25">
      <c r="B25" t="s">
        <v>7</v>
      </c>
      <c r="C25">
        <f>SUBTOTAL(103,tblMetric[[#This Row],[Metric]])</f>
        <v>1</v>
      </c>
    </row>
    <row r="26" spans="2:3" hidden="1" x14ac:dyDescent="0.25">
      <c r="B26" t="s">
        <v>9</v>
      </c>
      <c r="C26">
        <f>SUBTOTAL(103,tblMetric[[#This Row],[Metric]])</f>
        <v>0</v>
      </c>
    </row>
    <row r="27" spans="2:3" hidden="1" x14ac:dyDescent="0.25">
      <c r="B27" t="s">
        <v>24</v>
      </c>
      <c r="C27">
        <f>SUBTOTAL(103,tblMetric[[#This Row],[Metric]])</f>
        <v>0</v>
      </c>
    </row>
    <row r="28" spans="2:3" hidden="1" x14ac:dyDescent="0.25">
      <c r="B28" t="s">
        <v>420</v>
      </c>
      <c r="C28">
        <f>SUBTOTAL(103,tblMetric[[#This Row],[Metric]])</f>
        <v>0</v>
      </c>
    </row>
    <row r="29" spans="2:3" hidden="1" x14ac:dyDescent="0.25">
      <c r="B29" t="s">
        <v>12</v>
      </c>
      <c r="C29">
        <f>SUBTOTAL(103,tblMetric[[#This Row],[Metric]])</f>
        <v>0</v>
      </c>
    </row>
    <row r="32" spans="2:3" x14ac:dyDescent="0.25">
      <c r="B32" t="s">
        <v>421</v>
      </c>
      <c r="C32" t="s">
        <v>416</v>
      </c>
    </row>
    <row r="33" spans="2:3" x14ac:dyDescent="0.25">
      <c r="B33" t="s">
        <v>315</v>
      </c>
      <c r="C33">
        <f>SUBTOTAL(103,tblCost[[#This Row],[Cost line]])</f>
        <v>1</v>
      </c>
    </row>
    <row r="34" spans="2:3" x14ac:dyDescent="0.25">
      <c r="B34" t="s">
        <v>319</v>
      </c>
      <c r="C34">
        <f>SUBTOTAL(103,tblCost[[#This Row],[Cost line]])</f>
        <v>1</v>
      </c>
    </row>
    <row r="35" spans="2:3" x14ac:dyDescent="0.25">
      <c r="B35" t="s">
        <v>322</v>
      </c>
      <c r="C35">
        <f>SUBTOTAL(103,tblCost[[#This Row],[Cost line]])</f>
        <v>1</v>
      </c>
    </row>
    <row r="36" spans="2:3" x14ac:dyDescent="0.25">
      <c r="B36" t="s">
        <v>325</v>
      </c>
      <c r="C36">
        <f>SUBTOTAL(103,tblCost[[#This Row],[Cost line]])</f>
        <v>1</v>
      </c>
    </row>
    <row r="37" spans="2:3" x14ac:dyDescent="0.25">
      <c r="B37" t="s">
        <v>329</v>
      </c>
      <c r="C37">
        <f>SUBTOTAL(103,tblCost[[#This Row],[Cost line]])</f>
        <v>1</v>
      </c>
    </row>
    <row r="38" spans="2:3" x14ac:dyDescent="0.25">
      <c r="B38" t="s">
        <v>333</v>
      </c>
      <c r="C38">
        <f>SUBTOTAL(103,tblCost[[#This Row],[Cost line]])</f>
        <v>1</v>
      </c>
    </row>
    <row r="39" spans="2:3" x14ac:dyDescent="0.25">
      <c r="B39" t="s">
        <v>335</v>
      </c>
      <c r="C39">
        <f>SUBTOTAL(103,tblCost[[#This Row],[Cost line]])</f>
        <v>1</v>
      </c>
    </row>
    <row r="40" spans="2:3" x14ac:dyDescent="0.25">
      <c r="B40" t="s">
        <v>336</v>
      </c>
      <c r="C40">
        <f>SUBTOTAL(103,tblCost[[#This Row],[Cost line]])</f>
        <v>1</v>
      </c>
    </row>
    <row r="41" spans="2:3" x14ac:dyDescent="0.25">
      <c r="B41" t="s">
        <v>337</v>
      </c>
      <c r="C41">
        <f>SUBTOTAL(103,tblCost[[#This Row],[Cost line]])</f>
        <v>1</v>
      </c>
    </row>
    <row r="42" spans="2:3" x14ac:dyDescent="0.25">
      <c r="B42" t="s">
        <v>339</v>
      </c>
      <c r="C42">
        <f>SUBTOTAL(103,tblCost[[#This Row],[Cost line]])</f>
        <v>1</v>
      </c>
    </row>
  </sheetData>
  <pageMargins left="0.7" right="0.7" top="0.75" bottom="0.75" header="0.3" footer="0.3"/>
  <tableParts count="4">
    <tablePart r:id="rId1"/>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8</vt:i4>
      </vt:variant>
    </vt:vector>
  </HeadingPairs>
  <TitlesOfParts>
    <vt:vector size="24" baseType="lpstr">
      <vt:lpstr>Start Here</vt:lpstr>
      <vt:lpstr>Setup</vt:lpstr>
      <vt:lpstr>Dashboard</vt:lpstr>
      <vt:lpstr>Monthly Trends</vt:lpstr>
      <vt:lpstr>Income Statement</vt:lpstr>
      <vt:lpstr>Balance Sheet</vt:lpstr>
      <vt:lpstr>Cash Flow</vt:lpstr>
      <vt:lpstr>KPIs</vt:lpstr>
      <vt:lpstr>Commentary</vt:lpstr>
      <vt:lpstr>Trial Balance</vt:lpstr>
      <vt:lpstr>Budget</vt:lpstr>
      <vt:lpstr>Checks</vt:lpstr>
      <vt:lpstr>Calc</vt:lpstr>
      <vt:lpstr>Mapping</vt:lpstr>
      <vt:lpstr>Analytics</vt:lpstr>
      <vt:lpstr>Lists</vt:lpstr>
      <vt:lpstr>costLbl</vt:lpstr>
      <vt:lpstr>metIdx</vt:lpstr>
      <vt:lpstr>mSel</vt:lpstr>
      <vt:lpstr>Dashboard!Print_Area</vt:lpstr>
      <vt:lpstr>'Income Statement'!Print_Area</vt:lpstr>
      <vt:lpstr>'Monthly Trends'!Print_Area</vt:lpstr>
      <vt:lpstr>viewIdx</vt:lpstr>
      <vt:lpstr>viewLbl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Veysel Coskun</cp:lastModifiedBy>
  <dcterms:created xsi:type="dcterms:W3CDTF">2026-11-07T17:13:25Z</dcterms:created>
  <dcterms:modified xsi:type="dcterms:W3CDTF">2026-11-07T17:20:08Z</dcterms:modified>
</cp:coreProperties>
</file>